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D89D602D-733D-4A75-BD82-2DBF3CB2B05D}" xr6:coauthVersionLast="47" xr6:coauthVersionMax="47" xr10:uidLastSave="{00000000-0000-0000-0000-000000000000}"/>
  <bookViews>
    <workbookView xWindow="-120" yWindow="-120" windowWidth="29040" windowHeight="15720" tabRatio="676" firstSheet="2" activeTab="5" xr2:uid="{64775554-0202-47AA-A9D4-780FE0DD1AC8}"/>
  </bookViews>
  <sheets>
    <sheet name="Portfolio_v1" sheetId="1" r:id="rId1"/>
    <sheet name="Portfolio_v1 MoM" sheetId="16" r:id="rId2"/>
    <sheet name="Transactions" sheetId="21" r:id="rId3"/>
    <sheet name="Portfolio_v2" sheetId="23" r:id="rId4"/>
    <sheet name="Historical Price" sheetId="27" r:id="rId5"/>
    <sheet name="Dashboard" sheetId="22" r:id="rId6"/>
    <sheet name="CoinGeko API" sheetId="26" r:id="rId7"/>
    <sheet name="Defi position" sheetId="2" r:id="rId8"/>
    <sheet name="Watch List" sheetId="24" r:id="rId9"/>
    <sheet name="Pivot Table" sheetId="20" r:id="rId10"/>
    <sheet name="AirdropList" sheetId="5" r:id="rId11"/>
  </sheets>
  <definedNames>
    <definedName name="_xlnm._FilterDatabase" localSheetId="5" hidden="1">Dashboard!$B$40:$L$40</definedName>
    <definedName name="_xlnm._FilterDatabase" localSheetId="0" hidden="1">Portfolio_v1!$A$1:$I$1</definedName>
    <definedName name="_xlnm._FilterDatabase" localSheetId="1" hidden="1">'Portfolio_v1 MoM'!$A$2:$I$2</definedName>
    <definedName name="_xlnm._FilterDatabase" localSheetId="2" hidden="1">Transactions!$A$2:$W$350</definedName>
    <definedName name="_xlchart.v1.0" hidden="1">Dashboard!$N$41:$N$52</definedName>
    <definedName name="_xlchart.v1.1" hidden="1">Dashboard!$Q$40</definedName>
    <definedName name="_xlchart.v1.2" hidden="1">Dashboard!$Q$41:$Q$52</definedName>
    <definedName name="ExternalData_3" localSheetId="6" hidden="1">'CoinGeko API'!$A$1:$J$54</definedName>
  </definedNames>
  <calcPr calcId="191029"/>
  <pivotCaches>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43" i="21" l="1"/>
  <c r="M443" i="21"/>
  <c r="N443" i="21"/>
  <c r="T443" i="21"/>
  <c r="U443" i="21"/>
  <c r="V443" i="21"/>
  <c r="W443" i="21"/>
  <c r="Q443" i="21"/>
  <c r="O442" i="21"/>
  <c r="M442" i="21"/>
  <c r="N442" i="21"/>
  <c r="T442" i="21"/>
  <c r="U442" i="21"/>
  <c r="V442" i="21"/>
  <c r="W442" i="21"/>
  <c r="Q442" i="21"/>
  <c r="O441" i="21"/>
  <c r="M441" i="21"/>
  <c r="N441" i="21"/>
  <c r="T441" i="21"/>
  <c r="U441" i="21"/>
  <c r="V441" i="21"/>
  <c r="W441" i="21"/>
  <c r="Q441" i="21"/>
  <c r="O440" i="21"/>
  <c r="M440" i="21"/>
  <c r="N440" i="21"/>
  <c r="T440" i="21"/>
  <c r="U440" i="21"/>
  <c r="V440" i="21"/>
  <c r="W440" i="21"/>
  <c r="Q440" i="21"/>
  <c r="O439" i="21"/>
  <c r="M439" i="21"/>
  <c r="N439" i="21"/>
  <c r="T439" i="21"/>
  <c r="U439" i="21"/>
  <c r="V439" i="21"/>
  <c r="W439" i="21"/>
  <c r="Q439" i="21"/>
  <c r="T437" i="21"/>
  <c r="U437" i="21"/>
  <c r="V437" i="21"/>
  <c r="W437" i="21"/>
  <c r="T438" i="21"/>
  <c r="U438" i="21"/>
  <c r="V438" i="21"/>
  <c r="W438" i="21"/>
  <c r="Q437" i="21"/>
  <c r="Q438" i="21"/>
  <c r="O437" i="21"/>
  <c r="O438" i="21"/>
  <c r="N438" i="21"/>
  <c r="M438" i="21"/>
  <c r="M437" i="21"/>
  <c r="N437" i="21"/>
  <c r="T435" i="21"/>
  <c r="U435" i="21"/>
  <c r="V435" i="21"/>
  <c r="W435" i="21"/>
  <c r="T436" i="21"/>
  <c r="U436" i="21"/>
  <c r="V436" i="21"/>
  <c r="W436" i="21"/>
  <c r="Q435" i="21"/>
  <c r="Q436" i="21"/>
  <c r="O435" i="21"/>
  <c r="O436" i="21"/>
  <c r="M436" i="21"/>
  <c r="N436" i="21"/>
  <c r="M435" i="21"/>
  <c r="N435" i="21"/>
  <c r="O434" i="21"/>
  <c r="M434" i="21"/>
  <c r="N434" i="21"/>
  <c r="T434" i="21"/>
  <c r="U434" i="21"/>
  <c r="V434" i="21"/>
  <c r="W434" i="21"/>
  <c r="W433" i="21"/>
  <c r="V433" i="21"/>
  <c r="U433" i="21"/>
  <c r="T433" i="21"/>
  <c r="Q433" i="21"/>
  <c r="O433" i="21"/>
  <c r="W432" i="21"/>
  <c r="V432" i="21"/>
  <c r="U432" i="21"/>
  <c r="T432" i="21"/>
  <c r="Q432" i="21"/>
  <c r="O432" i="21"/>
  <c r="W431" i="21"/>
  <c r="V431" i="21"/>
  <c r="U431" i="21"/>
  <c r="T431" i="21"/>
  <c r="Q431" i="21"/>
  <c r="O431" i="21"/>
  <c r="W430" i="21"/>
  <c r="V430" i="21"/>
  <c r="U430" i="21"/>
  <c r="T430" i="21"/>
  <c r="Q430" i="21"/>
  <c r="O430" i="21"/>
  <c r="M431" i="21"/>
  <c r="N431" i="21"/>
  <c r="M430" i="21"/>
  <c r="N430" i="21"/>
  <c r="N428" i="21"/>
  <c r="O428" i="21"/>
  <c r="Q428" i="21"/>
  <c r="T428" i="21"/>
  <c r="U428" i="21"/>
  <c r="V428" i="21"/>
  <c r="W428" i="21"/>
  <c r="N429" i="21"/>
  <c r="O429" i="21"/>
  <c r="Q429" i="21"/>
  <c r="T429" i="21"/>
  <c r="U429" i="21"/>
  <c r="V429" i="21"/>
  <c r="W429" i="21"/>
  <c r="N432" i="21"/>
  <c r="N433" i="21"/>
  <c r="M428" i="21"/>
  <c r="M429" i="21"/>
  <c r="M432" i="21"/>
  <c r="M433" i="21"/>
  <c r="M427" i="21"/>
  <c r="N427" i="21"/>
  <c r="T427" i="21"/>
  <c r="U427" i="21"/>
  <c r="V427" i="21"/>
  <c r="W427" i="21"/>
  <c r="Q427" i="21"/>
  <c r="M426" i="21"/>
  <c r="N426" i="21"/>
  <c r="O425" i="21"/>
  <c r="O426" i="21"/>
  <c r="M425" i="21"/>
  <c r="N425" i="21"/>
  <c r="T426" i="21"/>
  <c r="U426" i="21"/>
  <c r="V426" i="21"/>
  <c r="W426" i="21"/>
  <c r="T425" i="21"/>
  <c r="U425" i="21"/>
  <c r="V425" i="21"/>
  <c r="W425" i="21"/>
  <c r="Q426" i="21"/>
  <c r="Q425" i="21"/>
  <c r="O423" i="21"/>
  <c r="Q423" i="21"/>
  <c r="T423" i="21"/>
  <c r="U423" i="21"/>
  <c r="V423" i="21"/>
  <c r="W423" i="21"/>
  <c r="Q424" i="21"/>
  <c r="T424" i="21"/>
  <c r="U424" i="21"/>
  <c r="V424" i="21"/>
  <c r="W424" i="21"/>
  <c r="M424" i="21"/>
  <c r="N424" i="21"/>
  <c r="M423" i="21"/>
  <c r="N423" i="21"/>
  <c r="O421" i="21"/>
  <c r="O422" i="21"/>
  <c r="M422" i="21"/>
  <c r="N422" i="21"/>
  <c r="M421" i="21"/>
  <c r="N421" i="21"/>
  <c r="T422" i="21"/>
  <c r="U422" i="21"/>
  <c r="V422" i="21"/>
  <c r="W422" i="21"/>
  <c r="Q422" i="21"/>
  <c r="T421" i="21"/>
  <c r="U421" i="21"/>
  <c r="V421" i="21"/>
  <c r="W421" i="21"/>
  <c r="Q421" i="21"/>
  <c r="M420" i="21"/>
  <c r="N420" i="21"/>
  <c r="T420" i="21"/>
  <c r="U420" i="21"/>
  <c r="V420" i="21"/>
  <c r="W420" i="21"/>
  <c r="Q420" i="21"/>
  <c r="O419" i="21"/>
  <c r="M419" i="21"/>
  <c r="N419" i="21"/>
  <c r="T419" i="21"/>
  <c r="U419" i="21"/>
  <c r="V419" i="21"/>
  <c r="W419" i="21"/>
  <c r="Q419" i="21"/>
  <c r="O417" i="21"/>
  <c r="M418" i="21"/>
  <c r="N418" i="21"/>
  <c r="M417" i="21"/>
  <c r="N417" i="21"/>
  <c r="T418" i="21"/>
  <c r="U418" i="21"/>
  <c r="V418" i="21"/>
  <c r="W418" i="21"/>
  <c r="T417" i="21"/>
  <c r="U417" i="21"/>
  <c r="V417" i="21"/>
  <c r="W417" i="21"/>
  <c r="Q418" i="21"/>
  <c r="Q417" i="21"/>
  <c r="O416" i="21"/>
  <c r="M416" i="21"/>
  <c r="N416" i="21"/>
  <c r="T416" i="21"/>
  <c r="U416" i="21"/>
  <c r="V416" i="21"/>
  <c r="W416" i="21"/>
  <c r="Q416" i="21"/>
  <c r="O414" i="21"/>
  <c r="M415" i="21"/>
  <c r="N415" i="21"/>
  <c r="M414" i="21"/>
  <c r="N414" i="21"/>
  <c r="T415" i="21"/>
  <c r="U415" i="21"/>
  <c r="V415" i="21"/>
  <c r="W415" i="21"/>
  <c r="T414" i="21"/>
  <c r="U414" i="21"/>
  <c r="V414" i="21"/>
  <c r="W414" i="21"/>
  <c r="Q415" i="21"/>
  <c r="Q414" i="21"/>
  <c r="O412" i="21"/>
  <c r="O413" i="21"/>
  <c r="M413" i="21"/>
  <c r="M412" i="21"/>
  <c r="N413" i="21"/>
  <c r="N412" i="21"/>
  <c r="T413" i="21"/>
  <c r="U413" i="21"/>
  <c r="V413" i="21"/>
  <c r="W413" i="21"/>
  <c r="T412" i="21"/>
  <c r="U412" i="21"/>
  <c r="V412" i="21"/>
  <c r="W412" i="21"/>
  <c r="Q413" i="21"/>
  <c r="Q412" i="21"/>
  <c r="O411" i="21"/>
  <c r="M411" i="21"/>
  <c r="N411" i="21"/>
  <c r="T411" i="21"/>
  <c r="U411" i="21"/>
  <c r="V411" i="21"/>
  <c r="W411" i="21"/>
  <c r="Q411" i="21"/>
  <c r="O410" i="21"/>
  <c r="M410" i="21"/>
  <c r="N410" i="21"/>
  <c r="T410" i="21"/>
  <c r="U410" i="21"/>
  <c r="V410" i="21"/>
  <c r="W410" i="21"/>
  <c r="Q410" i="21"/>
  <c r="O409" i="21"/>
  <c r="M409" i="21"/>
  <c r="N409" i="21"/>
  <c r="T409" i="21"/>
  <c r="U409" i="21"/>
  <c r="V409" i="21"/>
  <c r="W409" i="21"/>
  <c r="Q409" i="21"/>
  <c r="O408" i="21"/>
  <c r="M408" i="21"/>
  <c r="N408" i="21"/>
  <c r="M407" i="21"/>
  <c r="N407" i="21"/>
  <c r="T408" i="21"/>
  <c r="U408" i="21"/>
  <c r="V408" i="21"/>
  <c r="W408" i="21"/>
  <c r="T407" i="21"/>
  <c r="U407" i="21"/>
  <c r="V407" i="21"/>
  <c r="W407" i="21"/>
  <c r="Q408" i="21"/>
  <c r="Q407" i="21"/>
  <c r="O406" i="21"/>
  <c r="M406" i="21"/>
  <c r="N406" i="21"/>
  <c r="T406" i="21"/>
  <c r="U406" i="21"/>
  <c r="V406" i="21"/>
  <c r="W406" i="21"/>
  <c r="Q406" i="21"/>
  <c r="O404" i="21"/>
  <c r="M404" i="21"/>
  <c r="M405" i="21"/>
  <c r="N405" i="21"/>
  <c r="T405" i="21"/>
  <c r="U405" i="21"/>
  <c r="V405" i="21"/>
  <c r="W405" i="21"/>
  <c r="Q405" i="21"/>
  <c r="N404" i="21"/>
  <c r="T404" i="21"/>
  <c r="U404" i="21"/>
  <c r="V404" i="21"/>
  <c r="W404" i="21"/>
  <c r="Q404" i="21"/>
  <c r="O403" i="21"/>
  <c r="M403" i="21"/>
  <c r="N403" i="21"/>
  <c r="T403" i="21"/>
  <c r="U403" i="21"/>
  <c r="V403" i="21"/>
  <c r="W403" i="21"/>
  <c r="Q403" i="21"/>
  <c r="O401" i="21"/>
  <c r="Q401" i="21"/>
  <c r="T401" i="21"/>
  <c r="U401" i="21"/>
  <c r="V401" i="21"/>
  <c r="W401" i="21"/>
  <c r="Q402" i="21"/>
  <c r="T402" i="21"/>
  <c r="U402" i="21"/>
  <c r="V402" i="21"/>
  <c r="W402" i="21"/>
  <c r="M402" i="21"/>
  <c r="N402" i="21"/>
  <c r="M401" i="21"/>
  <c r="N401" i="21"/>
  <c r="O400" i="21"/>
  <c r="M400" i="21"/>
  <c r="N400" i="21"/>
  <c r="T400" i="21"/>
  <c r="U400" i="21"/>
  <c r="V400" i="21"/>
  <c r="W400" i="21"/>
  <c r="Q400" i="21"/>
  <c r="R46" i="27" a="1"/>
  <c r="R46" i="27" s="1"/>
  <c r="M399" i="21"/>
  <c r="N399" i="21"/>
  <c r="T399" i="21"/>
  <c r="U399" i="21"/>
  <c r="V399" i="21"/>
  <c r="W399" i="21"/>
  <c r="Q399" i="21"/>
  <c r="M398" i="21"/>
  <c r="N398" i="21"/>
  <c r="T398" i="21"/>
  <c r="U398" i="21"/>
  <c r="V398" i="21"/>
  <c r="W398" i="21"/>
  <c r="O378" i="21"/>
  <c r="O379" i="21"/>
  <c r="M379" i="21"/>
  <c r="N379" i="21"/>
  <c r="M378" i="21"/>
  <c r="N378" i="21"/>
  <c r="T379" i="21"/>
  <c r="U379" i="21"/>
  <c r="V379" i="21"/>
  <c r="W379" i="21"/>
  <c r="T378" i="21"/>
  <c r="U378" i="21"/>
  <c r="V378" i="21"/>
  <c r="W378" i="21"/>
  <c r="Q379" i="21"/>
  <c r="Q378" i="21"/>
  <c r="Q398" i="21"/>
  <c r="O397" i="21"/>
  <c r="Q397" i="21"/>
  <c r="T397" i="21"/>
  <c r="U397" i="21"/>
  <c r="V397" i="21"/>
  <c r="W397" i="21"/>
  <c r="M397" i="21"/>
  <c r="N397" i="21"/>
  <c r="O393" i="21"/>
  <c r="Q393" i="21"/>
  <c r="T393" i="21"/>
  <c r="U393" i="21"/>
  <c r="V393" i="21"/>
  <c r="W393" i="21"/>
  <c r="Q394" i="21"/>
  <c r="T394" i="21"/>
  <c r="U394" i="21"/>
  <c r="V394" i="21"/>
  <c r="W394" i="21"/>
  <c r="O395" i="21"/>
  <c r="Q395" i="21"/>
  <c r="T395" i="21"/>
  <c r="U395" i="21"/>
  <c r="V395" i="21"/>
  <c r="W395" i="21"/>
  <c r="Q396" i="21"/>
  <c r="T396" i="21"/>
  <c r="U396" i="21"/>
  <c r="V396" i="21"/>
  <c r="W396" i="21"/>
  <c r="M396" i="21"/>
  <c r="N396" i="21"/>
  <c r="M395" i="21"/>
  <c r="N395" i="21"/>
  <c r="M394" i="21"/>
  <c r="N394" i="21"/>
  <c r="M393" i="21"/>
  <c r="N393" i="21"/>
  <c r="O391" i="21"/>
  <c r="Q391" i="21"/>
  <c r="T391" i="21"/>
  <c r="U391" i="21"/>
  <c r="V391" i="21"/>
  <c r="W391" i="21"/>
  <c r="Q392" i="21"/>
  <c r="T392" i="21"/>
  <c r="U392" i="21"/>
  <c r="V392" i="21"/>
  <c r="W392" i="21"/>
  <c r="M392" i="21"/>
  <c r="N392" i="21"/>
  <c r="M391" i="21"/>
  <c r="N391" i="21"/>
  <c r="O389" i="21"/>
  <c r="Q389" i="21"/>
  <c r="T389" i="21"/>
  <c r="U389" i="21"/>
  <c r="V389" i="21"/>
  <c r="W389" i="21"/>
  <c r="Q390" i="21"/>
  <c r="T390" i="21"/>
  <c r="U390" i="21"/>
  <c r="V390" i="21"/>
  <c r="W390" i="21"/>
  <c r="M390" i="21"/>
  <c r="N390" i="21"/>
  <c r="M389" i="21"/>
  <c r="N389" i="21"/>
  <c r="O387" i="21"/>
  <c r="O388" i="21"/>
  <c r="M387" i="21"/>
  <c r="M388" i="21"/>
  <c r="N388" i="21"/>
  <c r="T388" i="21"/>
  <c r="U388" i="21"/>
  <c r="V388" i="21"/>
  <c r="W388" i="21"/>
  <c r="Q388" i="21"/>
  <c r="N387" i="21"/>
  <c r="T387" i="21"/>
  <c r="U387" i="21"/>
  <c r="V387" i="21"/>
  <c r="W387" i="21"/>
  <c r="Q387" i="21"/>
  <c r="O386" i="21"/>
  <c r="Q386" i="21"/>
  <c r="T386" i="21"/>
  <c r="U386" i="21"/>
  <c r="V386" i="21"/>
  <c r="W386" i="21"/>
  <c r="M386" i="21"/>
  <c r="N386" i="21"/>
  <c r="O384" i="21"/>
  <c r="Q384" i="21"/>
  <c r="T384" i="21"/>
  <c r="U384" i="21"/>
  <c r="V384" i="21"/>
  <c r="W384" i="21"/>
  <c r="Q385" i="21"/>
  <c r="T385" i="21"/>
  <c r="U385" i="21"/>
  <c r="V385" i="21"/>
  <c r="W385" i="21"/>
  <c r="M385" i="21"/>
  <c r="N385" i="21"/>
  <c r="M384" i="21"/>
  <c r="N384" i="21"/>
  <c r="X4" i="23"/>
  <c r="X5" i="23"/>
  <c r="X6" i="23"/>
  <c r="X7" i="23"/>
  <c r="X8" i="23"/>
  <c r="X9" i="23"/>
  <c r="X10" i="23"/>
  <c r="X11" i="23"/>
  <c r="X12" i="23"/>
  <c r="X13" i="23"/>
  <c r="X14" i="23"/>
  <c r="X15" i="23"/>
  <c r="X16" i="23"/>
  <c r="X17" i="23"/>
  <c r="X18" i="23"/>
  <c r="X19" i="23"/>
  <c r="X20" i="23"/>
  <c r="X21" i="23"/>
  <c r="X22" i="23"/>
  <c r="X23" i="23"/>
  <c r="X24" i="23"/>
  <c r="X25" i="23"/>
  <c r="X26" i="23"/>
  <c r="X27" i="23"/>
  <c r="X28" i="23"/>
  <c r="X29" i="23"/>
  <c r="X30" i="23"/>
  <c r="X31" i="23"/>
  <c r="X32" i="23"/>
  <c r="X33" i="23"/>
  <c r="X34" i="23"/>
  <c r="X35" i="23"/>
  <c r="X36" i="23"/>
  <c r="X37" i="23"/>
  <c r="X38" i="23"/>
  <c r="X39" i="23"/>
  <c r="X40" i="23"/>
  <c r="X41" i="23"/>
  <c r="X42" i="23"/>
  <c r="X43" i="23"/>
  <c r="X44" i="23"/>
  <c r="X45" i="23"/>
  <c r="X46" i="23"/>
  <c r="X47" i="23"/>
  <c r="X48" i="23"/>
  <c r="X49" i="23"/>
  <c r="X50" i="23"/>
  <c r="X51" i="23"/>
  <c r="P93" i="21" a="1"/>
  <c r="P93" i="21" s="1"/>
  <c r="P112" i="21" a="1"/>
  <c r="P112" i="21" s="1"/>
  <c r="P259" i="21" a="1"/>
  <c r="P259" i="21" s="1"/>
  <c r="O383" i="21"/>
  <c r="M383" i="21"/>
  <c r="N383" i="21"/>
  <c r="T383" i="21"/>
  <c r="U383" i="21"/>
  <c r="V383" i="21"/>
  <c r="W383" i="21"/>
  <c r="Q383" i="21"/>
  <c r="M382" i="21"/>
  <c r="N382" i="21"/>
  <c r="T382" i="21"/>
  <c r="U382" i="21"/>
  <c r="V382" i="21"/>
  <c r="W382" i="21"/>
  <c r="Q382" i="21"/>
  <c r="O5" i="21"/>
  <c r="O7" i="21"/>
  <c r="O9" i="21"/>
  <c r="O11" i="21"/>
  <c r="O13" i="21"/>
  <c r="O15" i="21"/>
  <c r="O17" i="21"/>
  <c r="O20" i="21"/>
  <c r="O22" i="21"/>
  <c r="O24" i="21"/>
  <c r="O26" i="21"/>
  <c r="O28" i="21"/>
  <c r="O30" i="21"/>
  <c r="O32" i="21"/>
  <c r="O34" i="21"/>
  <c r="O36" i="21"/>
  <c r="O38" i="21"/>
  <c r="O40" i="21"/>
  <c r="O42" i="21"/>
  <c r="O44" i="21"/>
  <c r="O46" i="21"/>
  <c r="O48" i="21"/>
  <c r="O50" i="21"/>
  <c r="O52" i="21"/>
  <c r="O53" i="21"/>
  <c r="O54" i="21"/>
  <c r="O55" i="21"/>
  <c r="O56" i="21"/>
  <c r="O57" i="21"/>
  <c r="O58" i="21"/>
  <c r="O59" i="21"/>
  <c r="O60" i="21"/>
  <c r="O61" i="21"/>
  <c r="O62" i="21"/>
  <c r="O63" i="21"/>
  <c r="O64" i="21"/>
  <c r="O65" i="21"/>
  <c r="O66" i="21"/>
  <c r="O67" i="21"/>
  <c r="O68" i="21"/>
  <c r="O69" i="21"/>
  <c r="O70" i="21"/>
  <c r="O71" i="21"/>
  <c r="O72" i="21"/>
  <c r="O73" i="21"/>
  <c r="O74" i="21"/>
  <c r="O75" i="21"/>
  <c r="O76" i="21"/>
  <c r="O77" i="21"/>
  <c r="O78" i="21"/>
  <c r="O79" i="21"/>
  <c r="O80" i="21"/>
  <c r="O81" i="21"/>
  <c r="O82" i="21"/>
  <c r="O83" i="21"/>
  <c r="O84" i="21"/>
  <c r="O85" i="21"/>
  <c r="O86" i="21"/>
  <c r="O87" i="21"/>
  <c r="O88" i="21"/>
  <c r="O89" i="21"/>
  <c r="O90" i="21"/>
  <c r="O91" i="21"/>
  <c r="O92" i="21"/>
  <c r="O93" i="21"/>
  <c r="O94" i="21"/>
  <c r="O95" i="21"/>
  <c r="O96" i="21"/>
  <c r="O97" i="21"/>
  <c r="O98" i="21"/>
  <c r="O99" i="21"/>
  <c r="O100" i="21"/>
  <c r="O101" i="21"/>
  <c r="O102" i="21"/>
  <c r="O103" i="21"/>
  <c r="O104" i="21"/>
  <c r="O105" i="21"/>
  <c r="O106" i="21"/>
  <c r="O107" i="21"/>
  <c r="O108" i="21"/>
  <c r="O109" i="21"/>
  <c r="O110" i="21"/>
  <c r="O111" i="21"/>
  <c r="O112" i="21"/>
  <c r="O113" i="21"/>
  <c r="O114" i="21"/>
  <c r="O115" i="21"/>
  <c r="O116" i="21"/>
  <c r="O117" i="21"/>
  <c r="O118" i="21"/>
  <c r="O119" i="21"/>
  <c r="O120" i="21"/>
  <c r="O121" i="21"/>
  <c r="O122" i="21"/>
  <c r="O123" i="21"/>
  <c r="O124" i="21"/>
  <c r="O125" i="21"/>
  <c r="O126" i="21"/>
  <c r="O127" i="21"/>
  <c r="O128" i="21"/>
  <c r="O129" i="21"/>
  <c r="O130" i="21"/>
  <c r="O131" i="21"/>
  <c r="O132" i="21"/>
  <c r="O133" i="21"/>
  <c r="O134" i="21"/>
  <c r="O135" i="21"/>
  <c r="O136" i="21"/>
  <c r="O137" i="21"/>
  <c r="O138" i="21"/>
  <c r="O139" i="21"/>
  <c r="O140" i="21"/>
  <c r="O141" i="21"/>
  <c r="O142" i="21"/>
  <c r="O143" i="21"/>
  <c r="O144" i="21"/>
  <c r="O145" i="21"/>
  <c r="O146" i="21"/>
  <c r="O147" i="21"/>
  <c r="O148" i="21"/>
  <c r="O149" i="21"/>
  <c r="O150" i="21"/>
  <c r="O151" i="21"/>
  <c r="O152" i="21"/>
  <c r="O153" i="21"/>
  <c r="O154" i="21"/>
  <c r="O155" i="21"/>
  <c r="O156" i="21"/>
  <c r="O157" i="21"/>
  <c r="O158" i="21"/>
  <c r="O159" i="21"/>
  <c r="O160" i="21"/>
  <c r="O161" i="21"/>
  <c r="O162" i="21"/>
  <c r="O163" i="21"/>
  <c r="O164" i="21"/>
  <c r="O165" i="21"/>
  <c r="O166" i="21"/>
  <c r="O167" i="21"/>
  <c r="O168" i="21"/>
  <c r="O169" i="21"/>
  <c r="O170" i="21"/>
  <c r="O171" i="21"/>
  <c r="O172" i="21"/>
  <c r="O173" i="21"/>
  <c r="O174" i="21"/>
  <c r="O175" i="21"/>
  <c r="O176" i="21"/>
  <c r="O177" i="21"/>
  <c r="O178" i="21"/>
  <c r="O179" i="21"/>
  <c r="O180" i="21"/>
  <c r="O181" i="21"/>
  <c r="O182" i="21"/>
  <c r="O183" i="21"/>
  <c r="O184" i="21"/>
  <c r="O185" i="21"/>
  <c r="O186" i="21"/>
  <c r="O187" i="21"/>
  <c r="O188" i="21"/>
  <c r="O190" i="21"/>
  <c r="O191" i="21"/>
  <c r="O192" i="21"/>
  <c r="O193" i="21"/>
  <c r="O194" i="21"/>
  <c r="O195" i="21"/>
  <c r="O196" i="21"/>
  <c r="O197" i="21"/>
  <c r="O198" i="21"/>
  <c r="O199" i="21"/>
  <c r="O200" i="21"/>
  <c r="O201" i="21"/>
  <c r="O202" i="21"/>
  <c r="O203" i="21"/>
  <c r="O204" i="21"/>
  <c r="O205" i="21"/>
  <c r="O206" i="21"/>
  <c r="O207" i="21"/>
  <c r="O208" i="21"/>
  <c r="O209" i="21"/>
  <c r="O210" i="21"/>
  <c r="O211" i="21"/>
  <c r="O212" i="21"/>
  <c r="O213" i="21"/>
  <c r="O214" i="21"/>
  <c r="O216" i="21"/>
  <c r="O217" i="21"/>
  <c r="O218" i="21"/>
  <c r="O219" i="21"/>
  <c r="O220" i="21"/>
  <c r="O221" i="21"/>
  <c r="O222" i="21"/>
  <c r="O223" i="21"/>
  <c r="O224" i="21"/>
  <c r="O225" i="21"/>
  <c r="O226" i="21"/>
  <c r="O227" i="21"/>
  <c r="O228" i="21"/>
  <c r="O229" i="21"/>
  <c r="O230" i="21"/>
  <c r="O231" i="21"/>
  <c r="O233" i="21"/>
  <c r="O234" i="21"/>
  <c r="O235" i="21"/>
  <c r="O236" i="21"/>
  <c r="O237" i="21"/>
  <c r="O238" i="21"/>
  <c r="O239" i="21"/>
  <c r="O240" i="21"/>
  <c r="O241" i="21"/>
  <c r="O242" i="21"/>
  <c r="O243" i="21"/>
  <c r="O244" i="21"/>
  <c r="O245" i="21"/>
  <c r="P245" i="21" s="1" a="1"/>
  <c r="P245" i="21" s="1"/>
  <c r="P246" i="21" s="1" a="1"/>
  <c r="P246" i="21" s="1"/>
  <c r="O246" i="21"/>
  <c r="O247" i="21"/>
  <c r="O248" i="21"/>
  <c r="O249" i="21"/>
  <c r="O250" i="21"/>
  <c r="O251" i="21"/>
  <c r="O252" i="21"/>
  <c r="O253" i="21"/>
  <c r="O254" i="21"/>
  <c r="O255" i="21"/>
  <c r="O256" i="21"/>
  <c r="O257" i="21"/>
  <c r="O258" i="21"/>
  <c r="O259" i="21"/>
  <c r="O260" i="21"/>
  <c r="O261" i="21"/>
  <c r="O262" i="21"/>
  <c r="O263" i="21"/>
  <c r="O264" i="21"/>
  <c r="O265" i="21"/>
  <c r="O266" i="21"/>
  <c r="O267" i="21"/>
  <c r="O268" i="21"/>
  <c r="O269" i="21"/>
  <c r="O270" i="21"/>
  <c r="O271" i="21"/>
  <c r="O272" i="21"/>
  <c r="O273" i="21"/>
  <c r="O274" i="21"/>
  <c r="O275" i="21"/>
  <c r="O276" i="21"/>
  <c r="O277" i="21"/>
  <c r="O278" i="21"/>
  <c r="O279" i="21"/>
  <c r="O280" i="21"/>
  <c r="O281" i="21"/>
  <c r="O282" i="21"/>
  <c r="O283" i="21"/>
  <c r="O284" i="21"/>
  <c r="O285" i="21"/>
  <c r="O286" i="21"/>
  <c r="O287" i="21"/>
  <c r="O288" i="21"/>
  <c r="O289" i="21"/>
  <c r="O290" i="21"/>
  <c r="O291" i="21"/>
  <c r="O292" i="21"/>
  <c r="O293" i="21"/>
  <c r="O294" i="21"/>
  <c r="O295" i="21"/>
  <c r="O296" i="21"/>
  <c r="O297" i="21"/>
  <c r="O298" i="21"/>
  <c r="O299" i="21"/>
  <c r="O300" i="21"/>
  <c r="O301" i="21"/>
  <c r="O302" i="21"/>
  <c r="O303" i="21"/>
  <c r="O305" i="21"/>
  <c r="O306" i="21"/>
  <c r="O308" i="21"/>
  <c r="O310" i="21"/>
  <c r="O311" i="21"/>
  <c r="O312" i="21"/>
  <c r="O313" i="21"/>
  <c r="O314" i="21"/>
  <c r="O316" i="21"/>
  <c r="O317" i="21"/>
  <c r="O318" i="21"/>
  <c r="O319" i="21"/>
  <c r="P319" i="21" s="1" a="1"/>
  <c r="P319" i="21" s="1"/>
  <c r="O320" i="21"/>
  <c r="O321" i="21"/>
  <c r="O322" i="21"/>
  <c r="O324" i="21"/>
  <c r="O326" i="21"/>
  <c r="O328" i="21"/>
  <c r="O329" i="21"/>
  <c r="O330" i="21"/>
  <c r="O331" i="21"/>
  <c r="O332" i="21"/>
  <c r="O333" i="21"/>
  <c r="O335" i="21"/>
  <c r="O336" i="21"/>
  <c r="O337" i="21"/>
  <c r="O338" i="21"/>
  <c r="O339" i="21"/>
  <c r="O340" i="21"/>
  <c r="O343" i="21"/>
  <c r="O344" i="21"/>
  <c r="O345" i="21"/>
  <c r="O346" i="21"/>
  <c r="O347" i="21"/>
  <c r="O349" i="21"/>
  <c r="O350" i="21"/>
  <c r="O351" i="21"/>
  <c r="O353" i="21"/>
  <c r="O355" i="21"/>
  <c r="O358" i="21"/>
  <c r="O359" i="21"/>
  <c r="O361" i="21"/>
  <c r="O363" i="21"/>
  <c r="O365" i="21"/>
  <c r="O367" i="21"/>
  <c r="O369" i="21"/>
  <c r="O371" i="21"/>
  <c r="O372" i="21"/>
  <c r="O374" i="21"/>
  <c r="O376" i="21"/>
  <c r="O377" i="21"/>
  <c r="O380" i="21"/>
  <c r="M381" i="21"/>
  <c r="N381" i="21"/>
  <c r="T381" i="21"/>
  <c r="U381" i="21"/>
  <c r="V381" i="21"/>
  <c r="W381" i="21"/>
  <c r="Q381" i="21"/>
  <c r="M380" i="21"/>
  <c r="N380" i="21"/>
  <c r="T380" i="21"/>
  <c r="U380" i="21"/>
  <c r="V380" i="21"/>
  <c r="W380" i="21"/>
  <c r="Q380" i="21"/>
  <c r="M377" i="21"/>
  <c r="N377" i="21"/>
  <c r="T377" i="21"/>
  <c r="U377" i="21"/>
  <c r="V377" i="21"/>
  <c r="W377" i="21"/>
  <c r="Q377" i="21"/>
  <c r="M376" i="21"/>
  <c r="N376" i="21"/>
  <c r="T376" i="21"/>
  <c r="U376" i="21"/>
  <c r="V376" i="21"/>
  <c r="W376" i="21"/>
  <c r="Q376" i="21"/>
  <c r="M375" i="21"/>
  <c r="N375" i="21"/>
  <c r="M373" i="21"/>
  <c r="N373" i="21"/>
  <c r="T373" i="21"/>
  <c r="U373" i="21"/>
  <c r="V373" i="21"/>
  <c r="W373" i="21"/>
  <c r="Q373" i="21"/>
  <c r="T375" i="21"/>
  <c r="U375" i="21"/>
  <c r="V375" i="21"/>
  <c r="W375" i="21"/>
  <c r="Q375" i="21"/>
  <c r="M374" i="21"/>
  <c r="N374" i="21"/>
  <c r="T374" i="21"/>
  <c r="U374" i="21"/>
  <c r="V374" i="21"/>
  <c r="W374" i="21"/>
  <c r="Q374" i="21"/>
  <c r="M372" i="21"/>
  <c r="N372" i="21"/>
  <c r="T372" i="21"/>
  <c r="U372" i="21"/>
  <c r="V372" i="21"/>
  <c r="W372" i="21"/>
  <c r="Q372" i="21"/>
  <c r="M371" i="21"/>
  <c r="N371" i="21"/>
  <c r="T371" i="21"/>
  <c r="U371" i="21"/>
  <c r="V371" i="21"/>
  <c r="W371" i="21"/>
  <c r="Q371" i="21"/>
  <c r="N356" i="21"/>
  <c r="N357" i="21"/>
  <c r="N358" i="21"/>
  <c r="N359" i="21"/>
  <c r="N360" i="21"/>
  <c r="N361" i="21"/>
  <c r="N362" i="21"/>
  <c r="N363" i="21"/>
  <c r="N364" i="21"/>
  <c r="N365" i="21"/>
  <c r="N366" i="21"/>
  <c r="N367" i="21"/>
  <c r="N368" i="21"/>
  <c r="N369" i="21"/>
  <c r="N370" i="21"/>
  <c r="M370" i="21"/>
  <c r="T370" i="21"/>
  <c r="U370" i="21"/>
  <c r="V370" i="21"/>
  <c r="W370" i="21"/>
  <c r="Q370" i="21"/>
  <c r="M369" i="21"/>
  <c r="T369" i="21"/>
  <c r="U369" i="21"/>
  <c r="V369" i="21"/>
  <c r="W369" i="21"/>
  <c r="Q369" i="21"/>
  <c r="Q363" i="21"/>
  <c r="T363" i="21"/>
  <c r="U363" i="21"/>
  <c r="V363" i="21"/>
  <c r="W363" i="21"/>
  <c r="Q364" i="21"/>
  <c r="T364" i="21"/>
  <c r="U364" i="21"/>
  <c r="V364" i="21"/>
  <c r="W364" i="21"/>
  <c r="Q365" i="21"/>
  <c r="T365" i="21"/>
  <c r="U365" i="21"/>
  <c r="V365" i="21"/>
  <c r="W365" i="21"/>
  <c r="Q366" i="21"/>
  <c r="T366" i="21"/>
  <c r="U366" i="21"/>
  <c r="V366" i="21"/>
  <c r="W366" i="21"/>
  <c r="Q367" i="21"/>
  <c r="T367" i="21"/>
  <c r="U367" i="21"/>
  <c r="V367" i="21"/>
  <c r="W367" i="21"/>
  <c r="Q368" i="21"/>
  <c r="T368" i="21"/>
  <c r="U368" i="21"/>
  <c r="V368" i="21"/>
  <c r="W368" i="21"/>
  <c r="M364" i="21"/>
  <c r="M365" i="21"/>
  <c r="M366" i="21"/>
  <c r="M367" i="21"/>
  <c r="M368" i="21"/>
  <c r="M363" i="21"/>
  <c r="Q361" i="21"/>
  <c r="T361" i="21"/>
  <c r="U361" i="21"/>
  <c r="V361" i="21"/>
  <c r="W361" i="21"/>
  <c r="Q362" i="21"/>
  <c r="T362" i="21"/>
  <c r="U362" i="21"/>
  <c r="V362" i="21"/>
  <c r="W362" i="21"/>
  <c r="M362" i="21"/>
  <c r="M361" i="21"/>
  <c r="M359" i="21"/>
  <c r="M360" i="21"/>
  <c r="M357" i="21"/>
  <c r="M358" i="21"/>
  <c r="Q359" i="21"/>
  <c r="T359" i="21"/>
  <c r="U359" i="21"/>
  <c r="V359" i="21"/>
  <c r="W359" i="21"/>
  <c r="Q360" i="21"/>
  <c r="T360" i="21"/>
  <c r="U360" i="21"/>
  <c r="V360" i="21"/>
  <c r="W360" i="21"/>
  <c r="R52" i="27" a="1"/>
  <c r="R52" i="27" s="1"/>
  <c r="R53" i="27" a="1"/>
  <c r="R53" i="27" s="1"/>
  <c r="R54" i="27" a="1"/>
  <c r="R54" i="27" s="1"/>
  <c r="R55" i="27" a="1"/>
  <c r="R55" i="27" s="1"/>
  <c r="R56" i="27" a="1"/>
  <c r="R56" i="27" s="1"/>
  <c r="R57" i="27" a="1"/>
  <c r="R57" i="27" s="1"/>
  <c r="R58" i="27" a="1"/>
  <c r="R58" i="27" s="1"/>
  <c r="R59" i="27" a="1"/>
  <c r="R59" i="27" s="1"/>
  <c r="R60" i="27" a="1"/>
  <c r="R60" i="27" s="1"/>
  <c r="R61" i="27" a="1"/>
  <c r="R61" i="27" s="1"/>
  <c r="R62" i="27" a="1"/>
  <c r="R62" i="27" s="1"/>
  <c r="R63" i="27" a="1"/>
  <c r="R63" i="27" s="1"/>
  <c r="R64" i="27" a="1"/>
  <c r="R64" i="27" s="1"/>
  <c r="R51" i="27" a="1"/>
  <c r="R51" i="27" s="1"/>
  <c r="R3" i="27" a="1"/>
  <c r="R3" i="27" s="1"/>
  <c r="R4" i="27" a="1"/>
  <c r="R4" i="27" s="1"/>
  <c r="R5" i="27" a="1"/>
  <c r="R5" i="27" s="1"/>
  <c r="R6" i="27" a="1"/>
  <c r="R6" i="27" s="1"/>
  <c r="R7" i="27" a="1"/>
  <c r="R7" i="27" s="1"/>
  <c r="R8" i="27" a="1"/>
  <c r="R8" i="27" s="1"/>
  <c r="R9" i="27" a="1"/>
  <c r="R9" i="27" s="1"/>
  <c r="R10" i="27" a="1"/>
  <c r="R10" i="27" s="1"/>
  <c r="R11" i="27" a="1"/>
  <c r="R11" i="27" s="1"/>
  <c r="R12" i="27" a="1"/>
  <c r="R12" i="27" s="1"/>
  <c r="R13" i="27" a="1"/>
  <c r="R13" i="27" s="1"/>
  <c r="R14" i="27" a="1"/>
  <c r="R14" i="27" s="1"/>
  <c r="R15" i="27" a="1"/>
  <c r="R15" i="27" s="1"/>
  <c r="R16" i="27" a="1"/>
  <c r="R16" i="27" s="1"/>
  <c r="R17" i="27" a="1"/>
  <c r="R17" i="27" s="1"/>
  <c r="R18" i="27" a="1"/>
  <c r="R18" i="27" s="1"/>
  <c r="R19" i="27" a="1"/>
  <c r="R19" i="27" s="1"/>
  <c r="R20" i="27" a="1"/>
  <c r="R20" i="27" s="1"/>
  <c r="R21" i="27" a="1"/>
  <c r="R21" i="27" s="1"/>
  <c r="R22" i="27" a="1"/>
  <c r="R22" i="27" s="1"/>
  <c r="R23" i="27" a="1"/>
  <c r="R23" i="27" s="1"/>
  <c r="R26" i="27" a="1"/>
  <c r="R26" i="27" s="1"/>
  <c r="R27" i="27" a="1"/>
  <c r="R27" i="27" s="1"/>
  <c r="R28" i="27" a="1"/>
  <c r="R28" i="27" s="1"/>
  <c r="R29" i="27" a="1"/>
  <c r="R29" i="27" s="1"/>
  <c r="R30" i="27" a="1"/>
  <c r="R30" i="27" s="1"/>
  <c r="R31" i="27" a="1"/>
  <c r="R31" i="27" s="1"/>
  <c r="R32" i="27" a="1"/>
  <c r="R32" i="27" s="1"/>
  <c r="R33" i="27" a="1"/>
  <c r="R33" i="27" s="1"/>
  <c r="R34" i="27" a="1"/>
  <c r="R34" i="27" s="1"/>
  <c r="R35" i="27" a="1"/>
  <c r="R35" i="27" s="1"/>
  <c r="R36" i="27" a="1"/>
  <c r="R36" i="27" s="1"/>
  <c r="R37" i="27" a="1"/>
  <c r="R37" i="27" s="1"/>
  <c r="R38" i="27" a="1"/>
  <c r="R38" i="27" s="1"/>
  <c r="R39" i="27" a="1"/>
  <c r="R39" i="27" s="1"/>
  <c r="R40" i="27" a="1"/>
  <c r="R40" i="27" s="1"/>
  <c r="R41" i="27" a="1"/>
  <c r="R41" i="27" s="1"/>
  <c r="R42" i="27" a="1"/>
  <c r="R42" i="27" s="1"/>
  <c r="R43" i="27" a="1"/>
  <c r="R43" i="27" s="1"/>
  <c r="R44" i="27" a="1"/>
  <c r="R44" i="27" s="1"/>
  <c r="R45" i="27" a="1"/>
  <c r="R45" i="27" s="1"/>
  <c r="R47" i="27" a="1"/>
  <c r="R47" i="27" s="1"/>
  <c r="R48" i="27" a="1"/>
  <c r="R48" i="27" s="1"/>
  <c r="R49" i="27" a="1"/>
  <c r="R49" i="27" s="1"/>
  <c r="R50" i="27" a="1"/>
  <c r="R50" i="27" s="1"/>
  <c r="Q357" i="21"/>
  <c r="T357" i="21"/>
  <c r="U357" i="21"/>
  <c r="V357" i="21"/>
  <c r="W357" i="21"/>
  <c r="Q358" i="21"/>
  <c r="T358" i="21"/>
  <c r="U358" i="21"/>
  <c r="V358" i="21"/>
  <c r="W358" i="21"/>
  <c r="T355" i="21"/>
  <c r="U355" i="21"/>
  <c r="V355" i="21"/>
  <c r="W355" i="21"/>
  <c r="T356" i="21"/>
  <c r="U356" i="21"/>
  <c r="V356" i="21"/>
  <c r="W356" i="21"/>
  <c r="Q355" i="21"/>
  <c r="Q356" i="21"/>
  <c r="M356" i="21"/>
  <c r="M355" i="21"/>
  <c r="N355" i="21"/>
  <c r="W353" i="21"/>
  <c r="W354" i="21"/>
  <c r="V353" i="21"/>
  <c r="V354" i="21"/>
  <c r="U353" i="21"/>
  <c r="U354" i="21"/>
  <c r="T353" i="21"/>
  <c r="T354" i="21"/>
  <c r="Q353" i="21"/>
  <c r="Q354" i="21"/>
  <c r="M354" i="21"/>
  <c r="N354" i="21"/>
  <c r="M353" i="21"/>
  <c r="N353" i="21"/>
  <c r="M352" i="21"/>
  <c r="N352" i="21"/>
  <c r="M351" i="21"/>
  <c r="N351" i="21"/>
  <c r="T352" i="21"/>
  <c r="U352" i="21"/>
  <c r="V352" i="21"/>
  <c r="W352" i="21"/>
  <c r="T351" i="21"/>
  <c r="U351" i="21"/>
  <c r="V351" i="21"/>
  <c r="W351" i="21"/>
  <c r="Q352" i="21"/>
  <c r="Q351" i="21"/>
  <c r="R2" i="27" a="1"/>
  <c r="R2" i="27" s="1"/>
  <c r="N5" i="21"/>
  <c r="P5" i="21" s="1" a="1"/>
  <c r="P5" i="21" s="1"/>
  <c r="N7" i="21"/>
  <c r="N9" i="21"/>
  <c r="P9" i="21" s="1" a="1"/>
  <c r="P9" i="21" s="1"/>
  <c r="N11" i="21"/>
  <c r="P11" i="21" s="1" a="1"/>
  <c r="P11" i="21" s="1"/>
  <c r="N13" i="21"/>
  <c r="P13" i="21" s="1" a="1"/>
  <c r="P13" i="21" s="1"/>
  <c r="N15" i="21"/>
  <c r="P15" i="21" s="1" a="1"/>
  <c r="P15" i="21" s="1"/>
  <c r="N17" i="21"/>
  <c r="N18" i="21"/>
  <c r="N20" i="21"/>
  <c r="N22" i="21"/>
  <c r="P22" i="21" s="1" a="1"/>
  <c r="P22" i="21" s="1"/>
  <c r="N24" i="21"/>
  <c r="P24" i="21" s="1" a="1"/>
  <c r="P24" i="21" s="1"/>
  <c r="N26" i="21"/>
  <c r="N28" i="21"/>
  <c r="P28" i="21" s="1" a="1"/>
  <c r="P28" i="21" s="1"/>
  <c r="N30" i="21"/>
  <c r="N32" i="21"/>
  <c r="P32" i="21" s="1" a="1"/>
  <c r="P32" i="21" s="1"/>
  <c r="N34" i="21"/>
  <c r="P34" i="21" s="1" a="1"/>
  <c r="P34" i="21" s="1"/>
  <c r="N36" i="21"/>
  <c r="P36" i="21" s="1" a="1"/>
  <c r="P36" i="21" s="1"/>
  <c r="N38" i="21"/>
  <c r="P38" i="21" s="1" a="1"/>
  <c r="P38" i="21" s="1"/>
  <c r="N40" i="21"/>
  <c r="P40" i="21" s="1" a="1"/>
  <c r="P40" i="21" s="1"/>
  <c r="N42" i="21"/>
  <c r="P42" i="21" s="1" a="1"/>
  <c r="P42" i="21" s="1"/>
  <c r="N44" i="21"/>
  <c r="P44" i="21" s="1" a="1"/>
  <c r="P44" i="21" s="1"/>
  <c r="N46" i="21"/>
  <c r="P46" i="21" s="1" a="1"/>
  <c r="P46" i="21" s="1"/>
  <c r="N48" i="21"/>
  <c r="P48" i="21" s="1" a="1"/>
  <c r="P48" i="21" s="1"/>
  <c r="N50" i="21"/>
  <c r="P50" i="21" s="1" a="1"/>
  <c r="P50" i="21" s="1"/>
  <c r="N52" i="21"/>
  <c r="P52" i="21" s="1" a="1"/>
  <c r="P52" i="21" s="1"/>
  <c r="N53" i="21"/>
  <c r="P53" i="21" s="1" a="1"/>
  <c r="P53" i="21" s="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95" i="21"/>
  <c r="N96" i="21"/>
  <c r="N97" i="21"/>
  <c r="N98" i="21"/>
  <c r="N99" i="21"/>
  <c r="N100" i="21"/>
  <c r="N101" i="21"/>
  <c r="N102" i="21"/>
  <c r="N103" i="21"/>
  <c r="N104" i="21"/>
  <c r="N105" i="21"/>
  <c r="N106" i="21"/>
  <c r="N107" i="21"/>
  <c r="N108" i="21"/>
  <c r="N109" i="21"/>
  <c r="N110" i="21"/>
  <c r="N111" i="21"/>
  <c r="N112" i="21"/>
  <c r="N113" i="21"/>
  <c r="N114" i="21"/>
  <c r="N115" i="21"/>
  <c r="N116" i="21"/>
  <c r="N117" i="21"/>
  <c r="N118" i="21"/>
  <c r="N119" i="21"/>
  <c r="N120" i="21"/>
  <c r="N121" i="21"/>
  <c r="N122" i="21"/>
  <c r="N123" i="21"/>
  <c r="N124" i="21"/>
  <c r="N125" i="21"/>
  <c r="N126" i="21"/>
  <c r="N127" i="21"/>
  <c r="N128" i="21"/>
  <c r="N129" i="21"/>
  <c r="N130" i="21"/>
  <c r="N131" i="21"/>
  <c r="N132" i="21"/>
  <c r="N133" i="21"/>
  <c r="N134" i="21"/>
  <c r="N135" i="21"/>
  <c r="N136" i="21"/>
  <c r="N137" i="21"/>
  <c r="N138" i="21"/>
  <c r="N139" i="21"/>
  <c r="N140" i="21"/>
  <c r="N141" i="21"/>
  <c r="N142" i="21"/>
  <c r="N143" i="21"/>
  <c r="N144" i="21"/>
  <c r="N145" i="21"/>
  <c r="N146" i="21"/>
  <c r="N147" i="21"/>
  <c r="N148" i="21"/>
  <c r="N149" i="21"/>
  <c r="N150" i="21"/>
  <c r="N151" i="21"/>
  <c r="N152" i="21"/>
  <c r="N153" i="21"/>
  <c r="N154" i="21"/>
  <c r="N155" i="21"/>
  <c r="N156" i="21"/>
  <c r="N157" i="21"/>
  <c r="N158" i="21"/>
  <c r="N159" i="21"/>
  <c r="N160" i="21"/>
  <c r="N161" i="21"/>
  <c r="N162" i="21"/>
  <c r="N163" i="21"/>
  <c r="N164" i="21"/>
  <c r="N165" i="21"/>
  <c r="N166" i="21"/>
  <c r="N167" i="21"/>
  <c r="N168" i="21"/>
  <c r="N169" i="21"/>
  <c r="N170" i="21"/>
  <c r="N171" i="21"/>
  <c r="N172" i="21"/>
  <c r="N173" i="21"/>
  <c r="N174" i="21"/>
  <c r="N175" i="21"/>
  <c r="N176" i="21"/>
  <c r="N177" i="21"/>
  <c r="N178" i="21"/>
  <c r="N179" i="21"/>
  <c r="N180" i="21"/>
  <c r="N181" i="21"/>
  <c r="N182" i="21"/>
  <c r="N183" i="21"/>
  <c r="N184" i="21"/>
  <c r="N185" i="21"/>
  <c r="N186" i="21"/>
  <c r="N187" i="21"/>
  <c r="N188" i="21"/>
  <c r="N189" i="21"/>
  <c r="N190" i="21"/>
  <c r="N191" i="21"/>
  <c r="N192" i="21"/>
  <c r="N193" i="21"/>
  <c r="N194" i="21"/>
  <c r="N195" i="21"/>
  <c r="N196" i="21"/>
  <c r="N197" i="21"/>
  <c r="N198" i="21"/>
  <c r="N199" i="21"/>
  <c r="N200" i="21"/>
  <c r="N201" i="21"/>
  <c r="N202" i="21"/>
  <c r="N203" i="21"/>
  <c r="N204" i="21"/>
  <c r="N205" i="21"/>
  <c r="N206" i="21"/>
  <c r="N207" i="21"/>
  <c r="N208" i="21"/>
  <c r="N209" i="21"/>
  <c r="N210" i="21"/>
  <c r="N211" i="21"/>
  <c r="N212" i="21"/>
  <c r="N213" i="21"/>
  <c r="N214" i="21"/>
  <c r="N215" i="21"/>
  <c r="N216" i="21"/>
  <c r="N217" i="21"/>
  <c r="N218" i="21"/>
  <c r="N219" i="21"/>
  <c r="N220" i="21"/>
  <c r="N221" i="21"/>
  <c r="N222" i="21"/>
  <c r="N223" i="21"/>
  <c r="N224" i="21"/>
  <c r="N225" i="21"/>
  <c r="N226" i="21"/>
  <c r="N227" i="21"/>
  <c r="N228" i="21"/>
  <c r="N229" i="21"/>
  <c r="N230" i="21"/>
  <c r="N231" i="21"/>
  <c r="N232" i="21"/>
  <c r="N233" i="21"/>
  <c r="N234" i="21"/>
  <c r="N235" i="21"/>
  <c r="N236" i="21"/>
  <c r="N237" i="21"/>
  <c r="N238" i="21"/>
  <c r="N239" i="21"/>
  <c r="N240" i="21"/>
  <c r="N241" i="21"/>
  <c r="N242" i="21"/>
  <c r="N243" i="21"/>
  <c r="N244" i="21"/>
  <c r="N245" i="21"/>
  <c r="N246" i="21"/>
  <c r="N247" i="21"/>
  <c r="N248" i="21"/>
  <c r="N249" i="21"/>
  <c r="N250" i="21"/>
  <c r="N251" i="21"/>
  <c r="N252" i="21"/>
  <c r="N253" i="21"/>
  <c r="N254" i="21"/>
  <c r="N255" i="21"/>
  <c r="N256" i="21"/>
  <c r="N257" i="21"/>
  <c r="N258" i="21"/>
  <c r="N259" i="21"/>
  <c r="N260" i="21"/>
  <c r="N262" i="21"/>
  <c r="N263" i="21"/>
  <c r="N264" i="21"/>
  <c r="N265" i="21"/>
  <c r="N266" i="21"/>
  <c r="N267" i="21"/>
  <c r="N268" i="21"/>
  <c r="N269" i="21"/>
  <c r="N270" i="21"/>
  <c r="N271" i="21"/>
  <c r="N272" i="21"/>
  <c r="N273" i="21"/>
  <c r="N274" i="21"/>
  <c r="N275" i="21"/>
  <c r="N276" i="21"/>
  <c r="N277" i="21"/>
  <c r="N278" i="21"/>
  <c r="N279" i="21"/>
  <c r="N280" i="21"/>
  <c r="N281" i="21"/>
  <c r="N282" i="21"/>
  <c r="N283" i="21"/>
  <c r="N284" i="21"/>
  <c r="N285" i="21"/>
  <c r="N286" i="21"/>
  <c r="N287" i="21"/>
  <c r="N288" i="21"/>
  <c r="N289" i="21"/>
  <c r="N290" i="21"/>
  <c r="N291" i="21"/>
  <c r="N292" i="21"/>
  <c r="N293" i="21"/>
  <c r="N294" i="21"/>
  <c r="N295" i="21"/>
  <c r="N296" i="21"/>
  <c r="N297" i="21"/>
  <c r="N298" i="21"/>
  <c r="N299" i="21"/>
  <c r="N300" i="21"/>
  <c r="N301" i="21"/>
  <c r="N302" i="21"/>
  <c r="N303" i="21"/>
  <c r="N304" i="21"/>
  <c r="N305" i="21"/>
  <c r="N306" i="21"/>
  <c r="N307" i="21"/>
  <c r="N308" i="21"/>
  <c r="N309" i="21"/>
  <c r="N310" i="21"/>
  <c r="N311" i="21"/>
  <c r="N312" i="21"/>
  <c r="N313" i="21"/>
  <c r="N314" i="21"/>
  <c r="N315" i="21"/>
  <c r="N316" i="21"/>
  <c r="N318" i="21"/>
  <c r="N319" i="21"/>
  <c r="N320" i="21"/>
  <c r="N321" i="21"/>
  <c r="N323" i="21"/>
  <c r="N324" i="21"/>
  <c r="N325" i="21"/>
  <c r="N326" i="21"/>
  <c r="N327" i="21"/>
  <c r="N328" i="21"/>
  <c r="N329" i="21"/>
  <c r="N330" i="21"/>
  <c r="N331" i="21"/>
  <c r="N332" i="21"/>
  <c r="N333" i="21"/>
  <c r="N334" i="21"/>
  <c r="N335" i="21"/>
  <c r="N336" i="21"/>
  <c r="J337" i="21" s="1"/>
  <c r="N337" i="21" s="1"/>
  <c r="N338" i="21"/>
  <c r="N339" i="21"/>
  <c r="N340" i="21"/>
  <c r="N341" i="21"/>
  <c r="N342" i="21"/>
  <c r="N343" i="21"/>
  <c r="N344" i="21"/>
  <c r="N345" i="21"/>
  <c r="N346" i="21"/>
  <c r="N347" i="21"/>
  <c r="N348" i="21"/>
  <c r="N349" i="21"/>
  <c r="N350" i="21"/>
  <c r="M350" i="21"/>
  <c r="T350" i="21"/>
  <c r="U350" i="21"/>
  <c r="V350" i="21"/>
  <c r="W350" i="21"/>
  <c r="Q350" i="21"/>
  <c r="M348" i="21"/>
  <c r="T348" i="21"/>
  <c r="U348" i="21"/>
  <c r="V348" i="21"/>
  <c r="W348" i="21"/>
  <c r="Q348" i="21"/>
  <c r="M349" i="21"/>
  <c r="T349" i="21"/>
  <c r="U349" i="21"/>
  <c r="V349" i="21"/>
  <c r="W349" i="21"/>
  <c r="Q349" i="21"/>
  <c r="M347" i="21"/>
  <c r="T347" i="21"/>
  <c r="U347" i="21"/>
  <c r="V347" i="21"/>
  <c r="W347" i="21"/>
  <c r="Q347" i="21"/>
  <c r="N41" i="22" a="1"/>
  <c r="N41" i="22" s="1"/>
  <c r="M346" i="21"/>
  <c r="T346" i="21"/>
  <c r="U346" i="21"/>
  <c r="V346" i="21"/>
  <c r="W346" i="21"/>
  <c r="Q346" i="21"/>
  <c r="M345" i="21"/>
  <c r="T345" i="21"/>
  <c r="U345" i="21"/>
  <c r="V345" i="21"/>
  <c r="W345" i="21"/>
  <c r="Q345" i="21"/>
  <c r="M344" i="21"/>
  <c r="T344" i="21"/>
  <c r="U344" i="21"/>
  <c r="V344" i="21"/>
  <c r="W344" i="21"/>
  <c r="Q344" i="21"/>
  <c r="M343" i="21"/>
  <c r="M342" i="21"/>
  <c r="T343" i="21"/>
  <c r="U343" i="21"/>
  <c r="V343" i="21"/>
  <c r="W343" i="21"/>
  <c r="T342" i="21"/>
  <c r="U342" i="21"/>
  <c r="V342" i="21"/>
  <c r="W342" i="21"/>
  <c r="Q343" i="21"/>
  <c r="Q342" i="21"/>
  <c r="M341" i="21"/>
  <c r="M340" i="21"/>
  <c r="T341" i="21"/>
  <c r="U341" i="21"/>
  <c r="V341" i="21"/>
  <c r="W341" i="21"/>
  <c r="T340" i="21"/>
  <c r="U340" i="21"/>
  <c r="V340" i="21"/>
  <c r="W340" i="21"/>
  <c r="Q341" i="21"/>
  <c r="Q340" i="21"/>
  <c r="M338" i="21"/>
  <c r="M339" i="21"/>
  <c r="T339" i="21"/>
  <c r="U339" i="21"/>
  <c r="V339" i="21"/>
  <c r="W339" i="21"/>
  <c r="T338" i="21"/>
  <c r="U338" i="21"/>
  <c r="V338" i="21"/>
  <c r="W338" i="21"/>
  <c r="Q339" i="21"/>
  <c r="Q338" i="21"/>
  <c r="M56" i="21"/>
  <c r="T56" i="21"/>
  <c r="U56" i="21"/>
  <c r="V56" i="21"/>
  <c r="W56" i="21"/>
  <c r="Q56" i="21"/>
  <c r="M336" i="21"/>
  <c r="T337" i="21"/>
  <c r="U337" i="21"/>
  <c r="V337" i="21"/>
  <c r="W337" i="21"/>
  <c r="T336" i="21"/>
  <c r="U336" i="21"/>
  <c r="V336" i="21"/>
  <c r="W336" i="21"/>
  <c r="Q337" i="21"/>
  <c r="Q336" i="21"/>
  <c r="A201" i="27" a="1"/>
  <c r="A201" i="27" s="1"/>
  <c r="M335" i="21"/>
  <c r="M334" i="21"/>
  <c r="T335" i="21"/>
  <c r="U335" i="21"/>
  <c r="V335" i="21"/>
  <c r="W335" i="21"/>
  <c r="T334" i="21"/>
  <c r="U334" i="21"/>
  <c r="V334" i="21"/>
  <c r="W334" i="21"/>
  <c r="Q335" i="21"/>
  <c r="Q334" i="21"/>
  <c r="M333" i="21"/>
  <c r="T333" i="21"/>
  <c r="U333" i="21"/>
  <c r="V333" i="21"/>
  <c r="W333" i="21"/>
  <c r="Q333" i="21"/>
  <c r="M332" i="21"/>
  <c r="T332" i="21"/>
  <c r="U332" i="21"/>
  <c r="V332" i="21"/>
  <c r="W332" i="21"/>
  <c r="Q332" i="21"/>
  <c r="M329" i="21"/>
  <c r="T329" i="21"/>
  <c r="U329" i="21"/>
  <c r="V329" i="21"/>
  <c r="W329" i="21"/>
  <c r="Q329" i="21"/>
  <c r="M320" i="21"/>
  <c r="T320" i="21"/>
  <c r="U320" i="21"/>
  <c r="V320" i="21"/>
  <c r="W320" i="21"/>
  <c r="Q320" i="21"/>
  <c r="M319" i="21"/>
  <c r="T319" i="21"/>
  <c r="U319" i="21"/>
  <c r="V319" i="21"/>
  <c r="W319" i="21"/>
  <c r="Q319" i="21"/>
  <c r="M331" i="21"/>
  <c r="T331" i="21"/>
  <c r="U331" i="21"/>
  <c r="V331" i="21"/>
  <c r="W331" i="21"/>
  <c r="Q331" i="21"/>
  <c r="M330" i="21"/>
  <c r="T330" i="21"/>
  <c r="U330" i="21"/>
  <c r="V330" i="21"/>
  <c r="W330" i="21"/>
  <c r="Q330" i="21"/>
  <c r="M327" i="21"/>
  <c r="M328" i="21"/>
  <c r="T328" i="21"/>
  <c r="U328" i="21"/>
  <c r="V328" i="21"/>
  <c r="W328" i="21"/>
  <c r="T327" i="21"/>
  <c r="U327" i="21"/>
  <c r="V327" i="21"/>
  <c r="W327" i="21"/>
  <c r="Q328" i="21"/>
  <c r="Q327" i="21"/>
  <c r="W325" i="21"/>
  <c r="W326" i="21"/>
  <c r="V325" i="21"/>
  <c r="V326" i="21"/>
  <c r="U325" i="21"/>
  <c r="U326" i="21"/>
  <c r="T325" i="21"/>
  <c r="T326" i="21"/>
  <c r="M323" i="21"/>
  <c r="M324" i="21"/>
  <c r="M325" i="21"/>
  <c r="M326" i="21"/>
  <c r="T324" i="21"/>
  <c r="U324" i="21"/>
  <c r="V324" i="21"/>
  <c r="W324" i="21"/>
  <c r="T323" i="21"/>
  <c r="U323" i="21"/>
  <c r="V323" i="21"/>
  <c r="W323" i="21"/>
  <c r="Q326" i="21"/>
  <c r="Q325" i="21"/>
  <c r="Q324" i="21"/>
  <c r="Q323" i="21"/>
  <c r="M321" i="21"/>
  <c r="J322" i="21"/>
  <c r="N322" i="21" s="1"/>
  <c r="T322" i="21"/>
  <c r="U322" i="21"/>
  <c r="V322" i="21"/>
  <c r="W322" i="21"/>
  <c r="T321" i="21"/>
  <c r="U321" i="21"/>
  <c r="V321" i="21"/>
  <c r="W321" i="21"/>
  <c r="Q322" i="21"/>
  <c r="Q321" i="21"/>
  <c r="M318" i="21"/>
  <c r="T318" i="21"/>
  <c r="U318" i="21"/>
  <c r="V318" i="21"/>
  <c r="W318" i="21"/>
  <c r="Q318" i="21"/>
  <c r="J317" i="21"/>
  <c r="M316" i="21"/>
  <c r="T317" i="21"/>
  <c r="U317" i="21"/>
  <c r="V317" i="21"/>
  <c r="W317" i="21"/>
  <c r="T316" i="21"/>
  <c r="U316" i="21"/>
  <c r="V316" i="21"/>
  <c r="W316" i="21"/>
  <c r="Q317" i="21"/>
  <c r="Q316" i="21"/>
  <c r="M315" i="21"/>
  <c r="M314" i="21"/>
  <c r="T315" i="21"/>
  <c r="U315" i="21"/>
  <c r="V315" i="21"/>
  <c r="W315" i="21"/>
  <c r="T314" i="21"/>
  <c r="U314" i="21"/>
  <c r="V314" i="21"/>
  <c r="W314" i="21"/>
  <c r="Q315" i="21"/>
  <c r="Q314" i="21"/>
  <c r="Z12" i="21" a="1"/>
  <c r="Z12" i="21" s="1"/>
  <c r="Z13" i="21" a="1"/>
  <c r="Z13" i="21" s="1"/>
  <c r="Z14" i="21" a="1"/>
  <c r="Z14" i="21" s="1"/>
  <c r="Z10" i="21" a="1"/>
  <c r="Z10" i="21" s="1"/>
  <c r="Z11" i="21" a="1"/>
  <c r="Z11" i="21" s="1"/>
  <c r="Z8" i="21" a="1"/>
  <c r="Z8" i="21" s="1"/>
  <c r="Z5" i="21" a="1"/>
  <c r="Z5" i="21" s="1"/>
  <c r="Z9" i="21" a="1"/>
  <c r="Z9" i="21" s="1"/>
  <c r="M313" i="21"/>
  <c r="M312" i="21"/>
  <c r="T313" i="21"/>
  <c r="U313" i="21"/>
  <c r="V313" i="21"/>
  <c r="W313" i="21"/>
  <c r="T312" i="21"/>
  <c r="U312" i="21"/>
  <c r="V312" i="21"/>
  <c r="W312" i="21"/>
  <c r="Q313" i="21"/>
  <c r="Q312" i="21"/>
  <c r="M311" i="21"/>
  <c r="M310" i="21"/>
  <c r="T311" i="21"/>
  <c r="U311" i="21"/>
  <c r="V311" i="21"/>
  <c r="W311" i="21"/>
  <c r="T310" i="21"/>
  <c r="U310" i="21"/>
  <c r="V310" i="21"/>
  <c r="W310" i="21"/>
  <c r="Q311" i="21"/>
  <c r="Q310" i="21"/>
  <c r="O3" i="21"/>
  <c r="U55" i="22" a="1"/>
  <c r="U55" i="22" s="1"/>
  <c r="T55" i="22" a="1"/>
  <c r="T55" i="22" s="1"/>
  <c r="R55" i="22" a="1"/>
  <c r="R55" i="22" s="1"/>
  <c r="A101" i="27" a="1"/>
  <c r="A101" i="27" s="1"/>
  <c r="W309" i="21"/>
  <c r="V309" i="21"/>
  <c r="U309" i="21"/>
  <c r="T309" i="21"/>
  <c r="Q309" i="21"/>
  <c r="M309" i="21"/>
  <c r="M308" i="21"/>
  <c r="T308" i="21"/>
  <c r="U308" i="21"/>
  <c r="V308" i="21"/>
  <c r="W308" i="21"/>
  <c r="Q308" i="21"/>
  <c r="M307" i="21"/>
  <c r="T307" i="21"/>
  <c r="U307" i="21"/>
  <c r="V307" i="21"/>
  <c r="W307" i="21"/>
  <c r="Q307" i="21"/>
  <c r="M306" i="21"/>
  <c r="T306" i="21"/>
  <c r="U306" i="21"/>
  <c r="V306" i="21"/>
  <c r="W306" i="21"/>
  <c r="Q306" i="21"/>
  <c r="W5" i="21"/>
  <c r="W6" i="21"/>
  <c r="W7" i="21"/>
  <c r="W8" i="21"/>
  <c r="W9" i="21"/>
  <c r="W10" i="21"/>
  <c r="W11" i="21"/>
  <c r="W12" i="21"/>
  <c r="W13" i="21"/>
  <c r="W14" i="21"/>
  <c r="W15" i="21"/>
  <c r="W16" i="21"/>
  <c r="W17" i="21"/>
  <c r="W18" i="21"/>
  <c r="W19" i="21"/>
  <c r="W20" i="21"/>
  <c r="W21" i="21"/>
  <c r="W22" i="21"/>
  <c r="W23" i="21"/>
  <c r="W24" i="21"/>
  <c r="W25" i="21"/>
  <c r="W26" i="21"/>
  <c r="W27" i="21"/>
  <c r="W28" i="21"/>
  <c r="W29" i="21"/>
  <c r="W30" i="21"/>
  <c r="W31" i="21"/>
  <c r="W32" i="21"/>
  <c r="W33" i="21"/>
  <c r="W34" i="21"/>
  <c r="W35" i="21"/>
  <c r="W36" i="21"/>
  <c r="W37" i="21"/>
  <c r="W38" i="21"/>
  <c r="W39" i="21"/>
  <c r="W40" i="21"/>
  <c r="W41" i="21"/>
  <c r="W42" i="21"/>
  <c r="W43" i="21"/>
  <c r="W44" i="21"/>
  <c r="W45" i="21"/>
  <c r="W46" i="21"/>
  <c r="W47" i="21"/>
  <c r="W48" i="21"/>
  <c r="W49" i="21"/>
  <c r="W50" i="21"/>
  <c r="W51" i="21"/>
  <c r="W52" i="21"/>
  <c r="W53" i="21"/>
  <c r="W54" i="21"/>
  <c r="W55" i="21"/>
  <c r="W57" i="21"/>
  <c r="W58" i="21"/>
  <c r="W59" i="21"/>
  <c r="W60" i="21"/>
  <c r="W61" i="21"/>
  <c r="W62" i="21"/>
  <c r="W63" i="21"/>
  <c r="W64" i="21"/>
  <c r="W65" i="21"/>
  <c r="W66" i="21"/>
  <c r="W67" i="21"/>
  <c r="W68" i="21"/>
  <c r="W69" i="21"/>
  <c r="W70" i="21"/>
  <c r="W186" i="21"/>
  <c r="W71" i="21"/>
  <c r="W72" i="21"/>
  <c r="W73" i="21"/>
  <c r="W74" i="21"/>
  <c r="W75" i="21"/>
  <c r="W76" i="21"/>
  <c r="W77" i="21"/>
  <c r="W78" i="21"/>
  <c r="W79" i="21"/>
  <c r="W80" i="21"/>
  <c r="W81" i="21"/>
  <c r="W82" i="21"/>
  <c r="W83" i="21"/>
  <c r="W84" i="21"/>
  <c r="W85" i="21"/>
  <c r="W86" i="21"/>
  <c r="W87" i="21"/>
  <c r="W88" i="21"/>
  <c r="W89" i="21"/>
  <c r="W90" i="21"/>
  <c r="W91" i="21"/>
  <c r="W92" i="21"/>
  <c r="W93" i="21"/>
  <c r="W94" i="21"/>
  <c r="W95" i="21"/>
  <c r="W96" i="21"/>
  <c r="W97" i="21"/>
  <c r="W98" i="21"/>
  <c r="W99" i="21"/>
  <c r="W100" i="21"/>
  <c r="W101" i="21"/>
  <c r="W102" i="21"/>
  <c r="W103" i="21"/>
  <c r="W104" i="21"/>
  <c r="W105" i="21"/>
  <c r="W106" i="21"/>
  <c r="W107" i="21"/>
  <c r="W108" i="21"/>
  <c r="W109" i="21"/>
  <c r="W110" i="21"/>
  <c r="W111" i="21"/>
  <c r="W112" i="21"/>
  <c r="W113" i="21"/>
  <c r="W114" i="21"/>
  <c r="W115" i="21"/>
  <c r="W116" i="21"/>
  <c r="W117" i="21"/>
  <c r="W118" i="21"/>
  <c r="W119" i="21"/>
  <c r="W120" i="21"/>
  <c r="W121" i="21"/>
  <c r="W122" i="21"/>
  <c r="W123" i="21"/>
  <c r="W124" i="21"/>
  <c r="W125" i="21"/>
  <c r="W126" i="21"/>
  <c r="W127" i="21"/>
  <c r="W128" i="21"/>
  <c r="W129" i="21"/>
  <c r="W130" i="21"/>
  <c r="W131" i="21"/>
  <c r="W132" i="21"/>
  <c r="W133" i="21"/>
  <c r="W134" i="21"/>
  <c r="W135" i="21"/>
  <c r="W136" i="21"/>
  <c r="W137" i="21"/>
  <c r="W138" i="21"/>
  <c r="W139" i="21"/>
  <c r="W140" i="21"/>
  <c r="W141" i="21"/>
  <c r="W142" i="21"/>
  <c r="W143" i="21"/>
  <c r="W144" i="21"/>
  <c r="W145" i="21"/>
  <c r="W146" i="21"/>
  <c r="W147" i="21"/>
  <c r="W148" i="21"/>
  <c r="W149" i="21"/>
  <c r="W150" i="21"/>
  <c r="W151" i="21"/>
  <c r="W152" i="21"/>
  <c r="W153" i="21"/>
  <c r="W154" i="21"/>
  <c r="W155" i="21"/>
  <c r="W156" i="21"/>
  <c r="W157" i="21"/>
  <c r="W158" i="21"/>
  <c r="W159" i="21"/>
  <c r="W160" i="21"/>
  <c r="W161" i="21"/>
  <c r="W162" i="21"/>
  <c r="W163" i="21"/>
  <c r="W164" i="21"/>
  <c r="W165" i="21"/>
  <c r="W166" i="21"/>
  <c r="W167" i="21"/>
  <c r="W168" i="21"/>
  <c r="W169" i="21"/>
  <c r="W170" i="21"/>
  <c r="W171" i="21"/>
  <c r="W172" i="21"/>
  <c r="W173" i="21"/>
  <c r="W174" i="21"/>
  <c r="W175" i="21"/>
  <c r="W176" i="21"/>
  <c r="W177" i="21"/>
  <c r="W178" i="21"/>
  <c r="W179" i="21"/>
  <c r="W180" i="21"/>
  <c r="W181" i="21"/>
  <c r="W182" i="21"/>
  <c r="W183" i="21"/>
  <c r="W184" i="21"/>
  <c r="W185" i="21"/>
  <c r="W187" i="21"/>
  <c r="W188" i="21"/>
  <c r="W251" i="21"/>
  <c r="W189" i="21"/>
  <c r="W190" i="21"/>
  <c r="W191" i="21"/>
  <c r="W192" i="21"/>
  <c r="W193" i="21"/>
  <c r="W194" i="21"/>
  <c r="W195" i="21"/>
  <c r="W196" i="21"/>
  <c r="W197" i="21"/>
  <c r="W198" i="21"/>
  <c r="W199" i="21"/>
  <c r="W200" i="21"/>
  <c r="W201" i="21"/>
  <c r="W202" i="21"/>
  <c r="W203" i="21"/>
  <c r="W204" i="21"/>
  <c r="W205" i="21"/>
  <c r="W206" i="21"/>
  <c r="W207" i="21"/>
  <c r="W208" i="21"/>
  <c r="W209" i="21"/>
  <c r="W210" i="21"/>
  <c r="W211" i="21"/>
  <c r="W212" i="21"/>
  <c r="W213" i="21"/>
  <c r="W214" i="21"/>
  <c r="W215" i="21"/>
  <c r="W216" i="21"/>
  <c r="W217" i="21"/>
  <c r="W218" i="21"/>
  <c r="W219" i="21"/>
  <c r="W220" i="21"/>
  <c r="W221" i="21"/>
  <c r="W222" i="21"/>
  <c r="W223" i="21"/>
  <c r="W224" i="21"/>
  <c r="W225" i="21"/>
  <c r="W226" i="21"/>
  <c r="W227" i="21"/>
  <c r="W228" i="21"/>
  <c r="W229" i="21"/>
  <c r="W230" i="21"/>
  <c r="W231" i="21"/>
  <c r="W232" i="21"/>
  <c r="W233" i="21"/>
  <c r="W234" i="21"/>
  <c r="W235" i="21"/>
  <c r="W236" i="21"/>
  <c r="W237" i="21"/>
  <c r="W238" i="21"/>
  <c r="W239" i="21"/>
  <c r="W240" i="21"/>
  <c r="W241" i="21"/>
  <c r="W242" i="21"/>
  <c r="W243" i="21"/>
  <c r="W244" i="21"/>
  <c r="W245" i="21"/>
  <c r="W246" i="21"/>
  <c r="W247" i="21"/>
  <c r="W248" i="21"/>
  <c r="W249" i="21"/>
  <c r="W250" i="21"/>
  <c r="W252" i="21"/>
  <c r="W253" i="21"/>
  <c r="W254" i="21"/>
  <c r="W255" i="21"/>
  <c r="W256" i="21"/>
  <c r="W257" i="21"/>
  <c r="W258" i="21"/>
  <c r="W259" i="21"/>
  <c r="W260" i="21"/>
  <c r="W261" i="21"/>
  <c r="W262" i="21"/>
  <c r="W263" i="21"/>
  <c r="W264" i="21"/>
  <c r="W265" i="21"/>
  <c r="W266" i="21"/>
  <c r="W267" i="21"/>
  <c r="W268" i="21"/>
  <c r="W269" i="21"/>
  <c r="W270" i="21"/>
  <c r="W271" i="21"/>
  <c r="W272" i="21"/>
  <c r="W273" i="21"/>
  <c r="W274" i="21"/>
  <c r="W275" i="21"/>
  <c r="W276" i="21"/>
  <c r="W277" i="21"/>
  <c r="W278" i="21"/>
  <c r="W279" i="21"/>
  <c r="W280" i="21"/>
  <c r="W281" i="21"/>
  <c r="W282" i="21"/>
  <c r="W283" i="21"/>
  <c r="W284" i="21"/>
  <c r="W285" i="21"/>
  <c r="W286" i="21"/>
  <c r="W287" i="21"/>
  <c r="W288" i="21"/>
  <c r="W289" i="21"/>
  <c r="W290" i="21"/>
  <c r="W291" i="21"/>
  <c r="W292" i="21"/>
  <c r="W293" i="21"/>
  <c r="W294" i="21"/>
  <c r="W295" i="21"/>
  <c r="W296" i="21"/>
  <c r="W297" i="21"/>
  <c r="W298" i="21"/>
  <c r="W299" i="21"/>
  <c r="W300" i="21"/>
  <c r="W301" i="21"/>
  <c r="W302" i="21"/>
  <c r="W303" i="21"/>
  <c r="W304" i="21"/>
  <c r="W305" i="21"/>
  <c r="V5" i="2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7" i="21"/>
  <c r="V58" i="21"/>
  <c r="V59" i="21"/>
  <c r="V60" i="21"/>
  <c r="V61" i="21"/>
  <c r="V62" i="21"/>
  <c r="V63" i="21"/>
  <c r="V64" i="21"/>
  <c r="V65" i="21"/>
  <c r="V66" i="21"/>
  <c r="V67" i="21"/>
  <c r="V68" i="21"/>
  <c r="V69" i="21"/>
  <c r="V70" i="21"/>
  <c r="V186" i="21"/>
  <c r="V71" i="21"/>
  <c r="V72" i="21"/>
  <c r="V73" i="21"/>
  <c r="V74" i="21"/>
  <c r="V75" i="21"/>
  <c r="V76" i="21"/>
  <c r="V77" i="21"/>
  <c r="V78" i="21"/>
  <c r="V79" i="21"/>
  <c r="V80" i="21"/>
  <c r="V81" i="21"/>
  <c r="V82" i="21"/>
  <c r="V83" i="21"/>
  <c r="V84" i="21"/>
  <c r="V85" i="21"/>
  <c r="V86" i="21"/>
  <c r="V87" i="21"/>
  <c r="V88" i="21"/>
  <c r="V89" i="21"/>
  <c r="V90" i="21"/>
  <c r="V91" i="21"/>
  <c r="V92" i="21"/>
  <c r="V93" i="21"/>
  <c r="V94" i="21"/>
  <c r="V95" i="21"/>
  <c r="V96" i="21"/>
  <c r="V97" i="21"/>
  <c r="V98" i="21"/>
  <c r="V99" i="21"/>
  <c r="V100" i="21"/>
  <c r="V101" i="21"/>
  <c r="V102" i="21"/>
  <c r="V103" i="21"/>
  <c r="V104" i="21"/>
  <c r="V105" i="21"/>
  <c r="V106" i="21"/>
  <c r="V107" i="21"/>
  <c r="V108" i="21"/>
  <c r="V109" i="21"/>
  <c r="V110" i="21"/>
  <c r="V111" i="21"/>
  <c r="V112" i="21"/>
  <c r="V113" i="21"/>
  <c r="V114" i="21"/>
  <c r="V115" i="21"/>
  <c r="V116" i="21"/>
  <c r="V117" i="21"/>
  <c r="V118" i="21"/>
  <c r="V119" i="21"/>
  <c r="V120" i="21"/>
  <c r="V121" i="21"/>
  <c r="V122" i="21"/>
  <c r="V123" i="21"/>
  <c r="V124" i="21"/>
  <c r="V125" i="21"/>
  <c r="V126" i="21"/>
  <c r="V127" i="21"/>
  <c r="V128" i="21"/>
  <c r="V129" i="21"/>
  <c r="V130" i="21"/>
  <c r="V131" i="21"/>
  <c r="V132" i="21"/>
  <c r="V133" i="21"/>
  <c r="V134" i="21"/>
  <c r="V135" i="21"/>
  <c r="V136" i="21"/>
  <c r="V137" i="21"/>
  <c r="V138" i="21"/>
  <c r="V139" i="21"/>
  <c r="V140" i="21"/>
  <c r="V141" i="21"/>
  <c r="V142" i="21"/>
  <c r="V143" i="21"/>
  <c r="V144" i="21"/>
  <c r="V145" i="21"/>
  <c r="V146" i="21"/>
  <c r="V147" i="21"/>
  <c r="V148" i="21"/>
  <c r="V149" i="21"/>
  <c r="V150" i="21"/>
  <c r="V151" i="21"/>
  <c r="V152" i="21"/>
  <c r="V153" i="21"/>
  <c r="V154" i="21"/>
  <c r="V155" i="21"/>
  <c r="V156" i="21"/>
  <c r="V157" i="21"/>
  <c r="V158" i="21"/>
  <c r="V159" i="21"/>
  <c r="V160" i="21"/>
  <c r="V161" i="21"/>
  <c r="V162" i="21"/>
  <c r="V163" i="21"/>
  <c r="V164" i="21"/>
  <c r="V165" i="21"/>
  <c r="V166" i="21"/>
  <c r="V167" i="21"/>
  <c r="V168" i="21"/>
  <c r="V169" i="21"/>
  <c r="V170" i="21"/>
  <c r="V171" i="21"/>
  <c r="V172" i="21"/>
  <c r="V173" i="21"/>
  <c r="V174" i="21"/>
  <c r="V175" i="21"/>
  <c r="V176" i="21"/>
  <c r="V177" i="21"/>
  <c r="V178" i="21"/>
  <c r="V179" i="21"/>
  <c r="V180" i="21"/>
  <c r="V181" i="21"/>
  <c r="V182" i="21"/>
  <c r="V183" i="21"/>
  <c r="V184" i="21"/>
  <c r="V185" i="21"/>
  <c r="V187" i="21"/>
  <c r="V188" i="21"/>
  <c r="V251" i="21"/>
  <c r="V189" i="21"/>
  <c r="V190" i="21"/>
  <c r="V191" i="21"/>
  <c r="V192" i="21"/>
  <c r="V193" i="21"/>
  <c r="V194" i="21"/>
  <c r="V195" i="21"/>
  <c r="V196" i="21"/>
  <c r="V197" i="21"/>
  <c r="V198" i="21"/>
  <c r="V199" i="21"/>
  <c r="V200" i="21"/>
  <c r="V201" i="21"/>
  <c r="V202" i="21"/>
  <c r="V203" i="21"/>
  <c r="V204" i="21"/>
  <c r="V205" i="21"/>
  <c r="V206" i="21"/>
  <c r="V207" i="21"/>
  <c r="V208" i="21"/>
  <c r="V209" i="21"/>
  <c r="V210" i="21"/>
  <c r="V211" i="21"/>
  <c r="V212" i="21"/>
  <c r="V213" i="21"/>
  <c r="V214" i="21"/>
  <c r="V215" i="21"/>
  <c r="V216" i="21"/>
  <c r="V217" i="21"/>
  <c r="V218" i="21"/>
  <c r="V219" i="21"/>
  <c r="V220" i="21"/>
  <c r="V221" i="21"/>
  <c r="V222" i="21"/>
  <c r="V223" i="21"/>
  <c r="V224" i="21"/>
  <c r="V225" i="21"/>
  <c r="V226" i="21"/>
  <c r="V227" i="21"/>
  <c r="V228" i="21"/>
  <c r="V229" i="21"/>
  <c r="V230" i="21"/>
  <c r="V231" i="21"/>
  <c r="V232" i="21"/>
  <c r="V233" i="21"/>
  <c r="V234" i="21"/>
  <c r="V235" i="21"/>
  <c r="V236" i="21"/>
  <c r="V237" i="21"/>
  <c r="V238" i="21"/>
  <c r="V239" i="21"/>
  <c r="V240" i="21"/>
  <c r="V241" i="21"/>
  <c r="V242" i="21"/>
  <c r="V243" i="21"/>
  <c r="V244" i="21"/>
  <c r="V245" i="21"/>
  <c r="V246" i="21"/>
  <c r="V247" i="21"/>
  <c r="V248" i="21"/>
  <c r="V249" i="21"/>
  <c r="V250" i="21"/>
  <c r="V252" i="21"/>
  <c r="V253" i="21"/>
  <c r="V254" i="21"/>
  <c r="V255" i="21"/>
  <c r="V256" i="21"/>
  <c r="V257" i="21"/>
  <c r="V258" i="21"/>
  <c r="V259" i="21"/>
  <c r="V260" i="21"/>
  <c r="V261" i="21"/>
  <c r="V262" i="21"/>
  <c r="V263" i="21"/>
  <c r="V264" i="21"/>
  <c r="V265" i="21"/>
  <c r="V266" i="21"/>
  <c r="V267" i="21"/>
  <c r="V268" i="21"/>
  <c r="V269" i="21"/>
  <c r="V270" i="21"/>
  <c r="V271" i="21"/>
  <c r="V272" i="21"/>
  <c r="V273" i="21"/>
  <c r="V274" i="21"/>
  <c r="V275" i="21"/>
  <c r="V276" i="21"/>
  <c r="V277" i="21"/>
  <c r="V278" i="21"/>
  <c r="V279" i="21"/>
  <c r="V280" i="21"/>
  <c r="V281" i="21"/>
  <c r="V282" i="21"/>
  <c r="V283" i="21"/>
  <c r="V284" i="21"/>
  <c r="V285" i="21"/>
  <c r="V286" i="21"/>
  <c r="V287" i="21"/>
  <c r="V288" i="21"/>
  <c r="V289" i="21"/>
  <c r="V290" i="21"/>
  <c r="V291" i="21"/>
  <c r="V292" i="21"/>
  <c r="V293" i="21"/>
  <c r="V294" i="21"/>
  <c r="V295" i="21"/>
  <c r="V296" i="21"/>
  <c r="V297" i="21"/>
  <c r="V298" i="21"/>
  <c r="V299" i="21"/>
  <c r="V300" i="21"/>
  <c r="V301" i="21"/>
  <c r="V302" i="21"/>
  <c r="V303" i="21"/>
  <c r="V304" i="21"/>
  <c r="V305" i="21"/>
  <c r="U5" i="21"/>
  <c r="U6" i="21"/>
  <c r="U7" i="21"/>
  <c r="U8" i="21"/>
  <c r="U9" i="21"/>
  <c r="U10" i="21"/>
  <c r="U11" i="21"/>
  <c r="U12" i="21"/>
  <c r="U13" i="21"/>
  <c r="U14" i="21"/>
  <c r="U15" i="21"/>
  <c r="U16" i="21"/>
  <c r="U17" i="21"/>
  <c r="U18" i="21"/>
  <c r="U19" i="21"/>
  <c r="U20" i="21"/>
  <c r="U21" i="21"/>
  <c r="U22" i="21"/>
  <c r="U23" i="21"/>
  <c r="U24" i="21"/>
  <c r="U25" i="21"/>
  <c r="U26" i="21"/>
  <c r="U27" i="21"/>
  <c r="U28" i="21"/>
  <c r="U29" i="21"/>
  <c r="U30" i="21"/>
  <c r="U31" i="21"/>
  <c r="U32" i="21"/>
  <c r="U33" i="21"/>
  <c r="U34" i="21"/>
  <c r="U35" i="21"/>
  <c r="U36" i="21"/>
  <c r="U37" i="21"/>
  <c r="U38" i="21"/>
  <c r="U39" i="21"/>
  <c r="U40" i="21"/>
  <c r="U41" i="21"/>
  <c r="U42" i="21"/>
  <c r="U43" i="21"/>
  <c r="U44" i="21"/>
  <c r="U45" i="21"/>
  <c r="U46" i="21"/>
  <c r="U47" i="21"/>
  <c r="U48" i="21"/>
  <c r="U49" i="21"/>
  <c r="U50" i="21"/>
  <c r="U51" i="21"/>
  <c r="U52" i="21"/>
  <c r="U53" i="21"/>
  <c r="U54" i="21"/>
  <c r="U55" i="21"/>
  <c r="U57" i="21"/>
  <c r="U58" i="21"/>
  <c r="U59" i="21"/>
  <c r="U60" i="21"/>
  <c r="U61" i="21"/>
  <c r="U62" i="21"/>
  <c r="U63" i="21"/>
  <c r="U64" i="21"/>
  <c r="U65" i="21"/>
  <c r="U66" i="21"/>
  <c r="U67" i="21"/>
  <c r="U68" i="21"/>
  <c r="U69" i="21"/>
  <c r="U70" i="21"/>
  <c r="U186" i="21"/>
  <c r="U71" i="21"/>
  <c r="U72" i="21"/>
  <c r="U73" i="21"/>
  <c r="U74" i="21"/>
  <c r="U75" i="21"/>
  <c r="U76" i="21"/>
  <c r="U77" i="21"/>
  <c r="U78" i="21"/>
  <c r="U79" i="21"/>
  <c r="U80" i="21"/>
  <c r="U81" i="21"/>
  <c r="U82" i="21"/>
  <c r="U83" i="21"/>
  <c r="U84" i="21"/>
  <c r="U85" i="21"/>
  <c r="U86" i="21"/>
  <c r="U87" i="21"/>
  <c r="U88" i="21"/>
  <c r="U89" i="21"/>
  <c r="U90" i="21"/>
  <c r="U91" i="21"/>
  <c r="U92" i="21"/>
  <c r="U93" i="21"/>
  <c r="U94" i="21"/>
  <c r="U95" i="21"/>
  <c r="U96" i="21"/>
  <c r="U97" i="21"/>
  <c r="U98" i="21"/>
  <c r="U99" i="21"/>
  <c r="U100" i="21"/>
  <c r="U101" i="21"/>
  <c r="U102" i="21"/>
  <c r="U103" i="21"/>
  <c r="U104" i="21"/>
  <c r="U105" i="21"/>
  <c r="U106" i="21"/>
  <c r="U107" i="21"/>
  <c r="U108" i="21"/>
  <c r="U109" i="21"/>
  <c r="U110" i="21"/>
  <c r="U111" i="21"/>
  <c r="U112" i="21"/>
  <c r="U113" i="21"/>
  <c r="U114" i="21"/>
  <c r="U115" i="21"/>
  <c r="U116" i="21"/>
  <c r="U117" i="21"/>
  <c r="U118" i="21"/>
  <c r="U119" i="21"/>
  <c r="U120" i="21"/>
  <c r="U121" i="21"/>
  <c r="U122" i="21"/>
  <c r="U123" i="21"/>
  <c r="U124" i="21"/>
  <c r="U125" i="21"/>
  <c r="U126" i="21"/>
  <c r="U127" i="21"/>
  <c r="U128" i="21"/>
  <c r="U129" i="21"/>
  <c r="U130" i="21"/>
  <c r="U131" i="21"/>
  <c r="U132" i="21"/>
  <c r="U133" i="21"/>
  <c r="U134" i="21"/>
  <c r="U135" i="21"/>
  <c r="U136" i="21"/>
  <c r="U137" i="21"/>
  <c r="U138" i="21"/>
  <c r="U139" i="21"/>
  <c r="U140" i="21"/>
  <c r="U141" i="21"/>
  <c r="U142" i="21"/>
  <c r="U143" i="21"/>
  <c r="U144" i="21"/>
  <c r="U145" i="21"/>
  <c r="U146" i="21"/>
  <c r="U147" i="21"/>
  <c r="U148" i="21"/>
  <c r="U149" i="21"/>
  <c r="U150" i="21"/>
  <c r="U151" i="21"/>
  <c r="U152" i="21"/>
  <c r="U153" i="21"/>
  <c r="U154" i="21"/>
  <c r="U155" i="21"/>
  <c r="U156" i="21"/>
  <c r="U157" i="21"/>
  <c r="U158" i="21"/>
  <c r="U159" i="21"/>
  <c r="U160" i="21"/>
  <c r="U161" i="21"/>
  <c r="U162" i="21"/>
  <c r="U163" i="21"/>
  <c r="U164" i="21"/>
  <c r="U165" i="21"/>
  <c r="U166" i="21"/>
  <c r="U167" i="21"/>
  <c r="U168" i="21"/>
  <c r="U169" i="21"/>
  <c r="U170" i="21"/>
  <c r="U171" i="21"/>
  <c r="U172" i="21"/>
  <c r="U173" i="21"/>
  <c r="U174" i="21"/>
  <c r="U175" i="21"/>
  <c r="U176" i="21"/>
  <c r="U177" i="21"/>
  <c r="U178" i="21"/>
  <c r="U179" i="21"/>
  <c r="U180" i="21"/>
  <c r="U181" i="21"/>
  <c r="U182" i="21"/>
  <c r="U183" i="21"/>
  <c r="U184" i="21"/>
  <c r="U185" i="21"/>
  <c r="U187" i="21"/>
  <c r="U188" i="21"/>
  <c r="U251" i="21"/>
  <c r="U189" i="21"/>
  <c r="U190" i="21"/>
  <c r="U191" i="21"/>
  <c r="U192" i="21"/>
  <c r="U193" i="21"/>
  <c r="U194" i="21"/>
  <c r="U195" i="21"/>
  <c r="U196" i="21"/>
  <c r="U197" i="21"/>
  <c r="U198" i="21"/>
  <c r="U199" i="21"/>
  <c r="U200" i="21"/>
  <c r="U201" i="21"/>
  <c r="U202" i="21"/>
  <c r="U203" i="21"/>
  <c r="U204" i="21"/>
  <c r="U205" i="21"/>
  <c r="U206" i="21"/>
  <c r="U207" i="21"/>
  <c r="U208" i="21"/>
  <c r="U209" i="21"/>
  <c r="U210" i="21"/>
  <c r="U211" i="21"/>
  <c r="U212" i="21"/>
  <c r="U213" i="21"/>
  <c r="U214" i="21"/>
  <c r="U215" i="21"/>
  <c r="U216" i="21"/>
  <c r="U217" i="21"/>
  <c r="U218" i="21"/>
  <c r="U219" i="21"/>
  <c r="U220" i="21"/>
  <c r="U221" i="21"/>
  <c r="U222" i="21"/>
  <c r="U223" i="21"/>
  <c r="U224" i="21"/>
  <c r="U225" i="21"/>
  <c r="U226" i="21"/>
  <c r="U227" i="21"/>
  <c r="U228" i="21"/>
  <c r="U229" i="21"/>
  <c r="U230" i="21"/>
  <c r="U231" i="21"/>
  <c r="U232" i="21"/>
  <c r="U233" i="21"/>
  <c r="U234" i="21"/>
  <c r="U235" i="21"/>
  <c r="U236" i="21"/>
  <c r="U237" i="21"/>
  <c r="U238" i="21"/>
  <c r="U239" i="21"/>
  <c r="U240" i="21"/>
  <c r="U241" i="21"/>
  <c r="U242" i="21"/>
  <c r="U243" i="21"/>
  <c r="U244" i="21"/>
  <c r="U245" i="21"/>
  <c r="U246" i="21"/>
  <c r="U247" i="21"/>
  <c r="U248" i="21"/>
  <c r="U249" i="21"/>
  <c r="U250" i="21"/>
  <c r="U252" i="21"/>
  <c r="U253" i="21"/>
  <c r="U254" i="21"/>
  <c r="U255" i="21"/>
  <c r="U256" i="21"/>
  <c r="U257" i="21"/>
  <c r="U258" i="21"/>
  <c r="U259" i="21"/>
  <c r="U260" i="21"/>
  <c r="U261" i="21"/>
  <c r="U262" i="21"/>
  <c r="U263" i="21"/>
  <c r="U264" i="21"/>
  <c r="U265" i="21"/>
  <c r="U266" i="21"/>
  <c r="U267" i="21"/>
  <c r="U268" i="21"/>
  <c r="U269" i="21"/>
  <c r="U270" i="21"/>
  <c r="U271" i="21"/>
  <c r="U272" i="21"/>
  <c r="U273" i="21"/>
  <c r="U274" i="21"/>
  <c r="U275" i="21"/>
  <c r="U276" i="21"/>
  <c r="U277" i="21"/>
  <c r="U278" i="21"/>
  <c r="U279" i="21"/>
  <c r="U280" i="21"/>
  <c r="U281" i="21"/>
  <c r="U282" i="21"/>
  <c r="U283" i="21"/>
  <c r="U284" i="21"/>
  <c r="U285" i="21"/>
  <c r="U286" i="21"/>
  <c r="U287" i="21"/>
  <c r="U288" i="21"/>
  <c r="U289" i="21"/>
  <c r="U290" i="21"/>
  <c r="U291" i="21"/>
  <c r="U292" i="21"/>
  <c r="U293" i="21"/>
  <c r="U294" i="21"/>
  <c r="U295" i="21"/>
  <c r="U296" i="21"/>
  <c r="U297" i="21"/>
  <c r="U298" i="21"/>
  <c r="U299" i="21"/>
  <c r="U300" i="21"/>
  <c r="U301" i="21"/>
  <c r="U302" i="21"/>
  <c r="U303" i="21"/>
  <c r="U304" i="21"/>
  <c r="U305" i="21"/>
  <c r="T5" i="21"/>
  <c r="T6" i="21"/>
  <c r="T7" i="21"/>
  <c r="T8" i="21"/>
  <c r="T9" i="21"/>
  <c r="T10" i="21"/>
  <c r="T11" i="21"/>
  <c r="T12" i="21"/>
  <c r="T13" i="21"/>
  <c r="T14" i="21"/>
  <c r="T15" i="21"/>
  <c r="T16" i="21"/>
  <c r="T17" i="21"/>
  <c r="T18" i="21"/>
  <c r="T19" i="21"/>
  <c r="T20" i="21"/>
  <c r="T21" i="21"/>
  <c r="T22" i="21"/>
  <c r="T23" i="21"/>
  <c r="T24" i="21"/>
  <c r="T25" i="21"/>
  <c r="T26" i="21"/>
  <c r="T27" i="21"/>
  <c r="T28" i="21"/>
  <c r="T29" i="21"/>
  <c r="T30" i="21"/>
  <c r="T31" i="21"/>
  <c r="T32" i="21"/>
  <c r="T33" i="21"/>
  <c r="T34" i="21"/>
  <c r="T35" i="21"/>
  <c r="T36" i="21"/>
  <c r="T37" i="21"/>
  <c r="T38" i="21"/>
  <c r="T39" i="21"/>
  <c r="T40" i="21"/>
  <c r="T41" i="21"/>
  <c r="T42" i="21"/>
  <c r="T43" i="21"/>
  <c r="T44" i="21"/>
  <c r="T45" i="21"/>
  <c r="T46" i="21"/>
  <c r="T47" i="21"/>
  <c r="T48" i="21"/>
  <c r="T49" i="21"/>
  <c r="T50" i="21"/>
  <c r="T51" i="21"/>
  <c r="T52" i="21"/>
  <c r="T53" i="21"/>
  <c r="T54" i="21"/>
  <c r="T55" i="21"/>
  <c r="T57" i="21"/>
  <c r="T58" i="21"/>
  <c r="T59" i="21"/>
  <c r="T60" i="21"/>
  <c r="T61" i="21"/>
  <c r="T62" i="21"/>
  <c r="T63" i="21"/>
  <c r="T64" i="21"/>
  <c r="T65" i="21"/>
  <c r="T66" i="21"/>
  <c r="T67" i="21"/>
  <c r="T68" i="21"/>
  <c r="T69" i="21"/>
  <c r="T70" i="21"/>
  <c r="T186" i="21"/>
  <c r="T71" i="21"/>
  <c r="T72" i="21"/>
  <c r="T73" i="21"/>
  <c r="T74" i="21"/>
  <c r="T75" i="21"/>
  <c r="T76" i="21"/>
  <c r="T77" i="21"/>
  <c r="T78" i="21"/>
  <c r="T79" i="21"/>
  <c r="T80" i="21"/>
  <c r="T81" i="21"/>
  <c r="T82" i="21"/>
  <c r="T83" i="21"/>
  <c r="T84" i="21"/>
  <c r="T85" i="21"/>
  <c r="T86" i="21"/>
  <c r="T87" i="21"/>
  <c r="T88" i="21"/>
  <c r="T89" i="21"/>
  <c r="T90" i="21"/>
  <c r="T91" i="21"/>
  <c r="T92" i="21"/>
  <c r="T93" i="21"/>
  <c r="T94" i="21"/>
  <c r="T95" i="21"/>
  <c r="T96" i="21"/>
  <c r="T97" i="21"/>
  <c r="T98" i="21"/>
  <c r="T99" i="21"/>
  <c r="T100" i="21"/>
  <c r="T101" i="21"/>
  <c r="T102" i="21"/>
  <c r="T103" i="21"/>
  <c r="T104" i="21"/>
  <c r="T105" i="21"/>
  <c r="T106" i="21"/>
  <c r="T107" i="21"/>
  <c r="T108" i="21"/>
  <c r="T109" i="21"/>
  <c r="T110" i="21"/>
  <c r="T111" i="21"/>
  <c r="T112" i="21"/>
  <c r="T113" i="21"/>
  <c r="T114" i="21"/>
  <c r="T115" i="21"/>
  <c r="T116" i="21"/>
  <c r="T117" i="21"/>
  <c r="T118" i="21"/>
  <c r="T119" i="21"/>
  <c r="T120" i="21"/>
  <c r="T121" i="21"/>
  <c r="T122" i="21"/>
  <c r="T123" i="21"/>
  <c r="T124" i="21"/>
  <c r="T125" i="21"/>
  <c r="T126" i="21"/>
  <c r="T127" i="21"/>
  <c r="T128" i="21"/>
  <c r="T129" i="21"/>
  <c r="T130" i="21"/>
  <c r="T131" i="21"/>
  <c r="T132" i="21"/>
  <c r="T133" i="21"/>
  <c r="T134" i="21"/>
  <c r="T135" i="21"/>
  <c r="T136" i="21"/>
  <c r="T137" i="21"/>
  <c r="T138" i="21"/>
  <c r="T139" i="21"/>
  <c r="T140" i="21"/>
  <c r="T141" i="21"/>
  <c r="T142" i="21"/>
  <c r="T143" i="21"/>
  <c r="T144" i="21"/>
  <c r="T145" i="21"/>
  <c r="T146" i="21"/>
  <c r="T147" i="21"/>
  <c r="T148" i="21"/>
  <c r="T149" i="21"/>
  <c r="T150" i="21"/>
  <c r="T151" i="21"/>
  <c r="T152" i="21"/>
  <c r="T153" i="21"/>
  <c r="T154" i="21"/>
  <c r="T155" i="21"/>
  <c r="T156" i="21"/>
  <c r="T157" i="21"/>
  <c r="T158" i="21"/>
  <c r="T159" i="21"/>
  <c r="T160" i="21"/>
  <c r="T161" i="21"/>
  <c r="T162" i="21"/>
  <c r="T163" i="21"/>
  <c r="T164" i="21"/>
  <c r="T165" i="21"/>
  <c r="T166" i="21"/>
  <c r="T167" i="21"/>
  <c r="T168" i="21"/>
  <c r="T169" i="21"/>
  <c r="T170" i="21"/>
  <c r="T171" i="21"/>
  <c r="T172" i="21"/>
  <c r="T173" i="21"/>
  <c r="T174" i="21"/>
  <c r="T175" i="21"/>
  <c r="T176" i="21"/>
  <c r="T177" i="21"/>
  <c r="T178" i="21"/>
  <c r="T179" i="21"/>
  <c r="T180" i="21"/>
  <c r="T181" i="21"/>
  <c r="T182" i="21"/>
  <c r="T183" i="21"/>
  <c r="T184" i="21"/>
  <c r="T185" i="21"/>
  <c r="T187" i="21"/>
  <c r="T188" i="21"/>
  <c r="T251" i="21"/>
  <c r="T189" i="21"/>
  <c r="T190" i="21"/>
  <c r="T191" i="21"/>
  <c r="T192" i="21"/>
  <c r="T193" i="21"/>
  <c r="T194" i="21"/>
  <c r="T195" i="21"/>
  <c r="T196" i="21"/>
  <c r="T197" i="21"/>
  <c r="T198" i="21"/>
  <c r="T199" i="21"/>
  <c r="T200" i="21"/>
  <c r="T201" i="21"/>
  <c r="T202" i="21"/>
  <c r="T203" i="21"/>
  <c r="T204" i="21"/>
  <c r="T205" i="21"/>
  <c r="T206" i="21"/>
  <c r="T207" i="21"/>
  <c r="T208" i="21"/>
  <c r="T209" i="21"/>
  <c r="T210" i="21"/>
  <c r="T211" i="21"/>
  <c r="T212" i="21"/>
  <c r="T213" i="21"/>
  <c r="T214" i="21"/>
  <c r="T215" i="21"/>
  <c r="T216" i="21"/>
  <c r="T217" i="21"/>
  <c r="T218" i="21"/>
  <c r="T219" i="21"/>
  <c r="T220" i="21"/>
  <c r="T221" i="21"/>
  <c r="T222" i="21"/>
  <c r="T223" i="21"/>
  <c r="T224" i="21"/>
  <c r="T225" i="21"/>
  <c r="T226" i="21"/>
  <c r="T227" i="21"/>
  <c r="T228" i="21"/>
  <c r="T229" i="21"/>
  <c r="T230" i="21"/>
  <c r="T231" i="21"/>
  <c r="T232" i="21"/>
  <c r="T233" i="21"/>
  <c r="T234" i="21"/>
  <c r="T235" i="21"/>
  <c r="T236" i="21"/>
  <c r="T237" i="21"/>
  <c r="T238" i="21"/>
  <c r="T239" i="21"/>
  <c r="T240" i="21"/>
  <c r="T241" i="21"/>
  <c r="T242" i="21"/>
  <c r="T243" i="21"/>
  <c r="T244" i="21"/>
  <c r="T245" i="21"/>
  <c r="T246" i="21"/>
  <c r="T247" i="21"/>
  <c r="T248" i="21"/>
  <c r="T249" i="21"/>
  <c r="T250" i="21"/>
  <c r="T252" i="21"/>
  <c r="T253" i="21"/>
  <c r="T254" i="21"/>
  <c r="T255" i="21"/>
  <c r="T256" i="21"/>
  <c r="T257" i="21"/>
  <c r="T258" i="21"/>
  <c r="T259" i="21"/>
  <c r="T260" i="21"/>
  <c r="T261" i="21"/>
  <c r="T262" i="21"/>
  <c r="T263" i="21"/>
  <c r="T264" i="21"/>
  <c r="T265" i="21"/>
  <c r="T266" i="21"/>
  <c r="T267" i="21"/>
  <c r="T268" i="21"/>
  <c r="T269" i="21"/>
  <c r="T270" i="21"/>
  <c r="T271" i="21"/>
  <c r="T272" i="21"/>
  <c r="T273" i="21"/>
  <c r="T274" i="21"/>
  <c r="T275" i="21"/>
  <c r="T276" i="21"/>
  <c r="T277" i="21"/>
  <c r="T278" i="21"/>
  <c r="T279" i="21"/>
  <c r="T280" i="21"/>
  <c r="T281" i="21"/>
  <c r="T282" i="21"/>
  <c r="T283" i="21"/>
  <c r="T284" i="21"/>
  <c r="T285" i="21"/>
  <c r="T286" i="21"/>
  <c r="T287" i="21"/>
  <c r="T288" i="21"/>
  <c r="T289" i="21"/>
  <c r="T290" i="21"/>
  <c r="T291" i="21"/>
  <c r="T292" i="21"/>
  <c r="T293" i="21"/>
  <c r="T294" i="21"/>
  <c r="T295" i="21"/>
  <c r="T296" i="21"/>
  <c r="T297" i="21"/>
  <c r="T298" i="21"/>
  <c r="T299" i="21"/>
  <c r="T300" i="21"/>
  <c r="T301" i="21"/>
  <c r="T302" i="21"/>
  <c r="T303" i="21"/>
  <c r="T304" i="21"/>
  <c r="T305" i="21"/>
  <c r="Q5" i="21"/>
  <c r="Q6" i="21"/>
  <c r="Q7" i="21"/>
  <c r="Q8" i="21"/>
  <c r="Q9" i="21"/>
  <c r="Q10" i="21"/>
  <c r="Q11" i="21"/>
  <c r="Q12" i="21"/>
  <c r="Q13" i="21"/>
  <c r="Q14" i="21"/>
  <c r="Q15" i="21"/>
  <c r="Q16" i="21"/>
  <c r="Q17" i="21"/>
  <c r="Q18" i="21"/>
  <c r="Q19" i="21"/>
  <c r="Q20" i="21"/>
  <c r="Q21" i="21"/>
  <c r="Q22" i="21"/>
  <c r="Q23" i="21"/>
  <c r="Q24" i="21"/>
  <c r="Q25" i="21"/>
  <c r="Q26" i="21"/>
  <c r="Q27" i="21"/>
  <c r="Q28" i="21"/>
  <c r="Q29" i="21"/>
  <c r="Q30" i="21"/>
  <c r="Q31" i="21"/>
  <c r="Q32" i="21"/>
  <c r="Q33" i="21"/>
  <c r="Q34" i="21"/>
  <c r="Q35" i="21"/>
  <c r="Q36" i="21"/>
  <c r="Q37" i="21"/>
  <c r="Q38" i="21"/>
  <c r="Q39" i="21"/>
  <c r="Q40" i="21"/>
  <c r="Q41" i="21"/>
  <c r="Q42" i="21"/>
  <c r="Q43" i="21"/>
  <c r="Q44" i="21"/>
  <c r="Q45" i="21"/>
  <c r="Q46" i="21"/>
  <c r="Q47" i="21"/>
  <c r="Q48" i="21"/>
  <c r="Q49" i="21"/>
  <c r="Q50" i="21"/>
  <c r="Q51" i="21"/>
  <c r="Q52" i="21"/>
  <c r="Q53" i="21"/>
  <c r="Q54" i="21"/>
  <c r="Q55" i="21"/>
  <c r="Q57" i="21"/>
  <c r="Q58" i="21"/>
  <c r="Q59" i="21"/>
  <c r="Q60" i="21"/>
  <c r="Q61" i="21"/>
  <c r="Q62" i="21"/>
  <c r="Q63" i="21"/>
  <c r="Q64" i="21"/>
  <c r="Q65" i="21"/>
  <c r="Q66" i="21"/>
  <c r="Q67" i="21"/>
  <c r="Q68" i="21"/>
  <c r="Q69" i="21"/>
  <c r="Q70" i="21"/>
  <c r="Q186" i="21"/>
  <c r="Q71" i="21"/>
  <c r="Q72" i="21"/>
  <c r="Q73" i="21"/>
  <c r="Q74" i="21"/>
  <c r="Q75" i="21"/>
  <c r="Q76" i="21"/>
  <c r="Q77" i="21"/>
  <c r="Q78" i="21"/>
  <c r="Q79" i="21"/>
  <c r="Q80" i="21"/>
  <c r="Q81" i="21"/>
  <c r="Q82" i="21"/>
  <c r="Q83" i="21"/>
  <c r="Q84" i="21"/>
  <c r="Q85" i="21"/>
  <c r="Q86" i="21"/>
  <c r="Q87" i="21"/>
  <c r="Q88" i="21"/>
  <c r="Q89" i="21"/>
  <c r="Q90" i="21"/>
  <c r="Q91" i="21"/>
  <c r="Q92" i="21"/>
  <c r="Q93" i="21"/>
  <c r="Q94" i="21"/>
  <c r="Q95" i="21"/>
  <c r="Q96" i="21"/>
  <c r="Q97" i="21"/>
  <c r="Q98" i="21"/>
  <c r="Q99" i="21"/>
  <c r="Q100" i="21"/>
  <c r="Q101" i="21"/>
  <c r="Q102" i="21"/>
  <c r="Q103" i="21"/>
  <c r="Q104" i="21"/>
  <c r="Q105" i="21"/>
  <c r="Q106" i="21"/>
  <c r="Q107" i="21"/>
  <c r="Q108" i="21"/>
  <c r="Q109" i="21"/>
  <c r="Q110" i="21"/>
  <c r="Q111" i="21"/>
  <c r="Q112" i="21"/>
  <c r="Q113" i="21"/>
  <c r="Q114" i="21"/>
  <c r="Q115" i="21"/>
  <c r="Q116" i="21"/>
  <c r="Q117" i="21"/>
  <c r="Q118" i="21"/>
  <c r="Q119" i="21"/>
  <c r="Q120" i="21"/>
  <c r="Q121" i="21"/>
  <c r="Q122" i="21"/>
  <c r="Q123" i="21"/>
  <c r="Q124" i="21"/>
  <c r="Q125" i="21"/>
  <c r="Q126" i="21"/>
  <c r="Q127" i="21"/>
  <c r="Q128" i="21"/>
  <c r="Q129" i="21"/>
  <c r="Q130" i="21"/>
  <c r="Q131" i="21"/>
  <c r="Q132" i="21"/>
  <c r="Q133" i="21"/>
  <c r="Q134" i="21"/>
  <c r="Q135" i="21"/>
  <c r="Q136" i="21"/>
  <c r="Q137" i="21"/>
  <c r="Q138" i="21"/>
  <c r="Q139" i="21"/>
  <c r="Q140" i="21"/>
  <c r="Q141" i="21"/>
  <c r="Q142" i="21"/>
  <c r="Q143" i="21"/>
  <c r="Q144" i="21"/>
  <c r="Q145" i="21"/>
  <c r="Q146" i="21"/>
  <c r="Q147" i="21"/>
  <c r="Q148" i="21"/>
  <c r="Q149" i="21"/>
  <c r="Q150" i="21"/>
  <c r="Q151" i="21"/>
  <c r="Q152" i="21"/>
  <c r="Q153" i="21"/>
  <c r="Q154" i="21"/>
  <c r="Q155" i="21"/>
  <c r="Q156" i="21"/>
  <c r="Q157" i="21"/>
  <c r="Q158" i="21"/>
  <c r="Q159" i="21"/>
  <c r="Q160" i="21"/>
  <c r="Q161" i="21"/>
  <c r="Q162" i="21"/>
  <c r="Q163" i="21"/>
  <c r="Q164" i="21"/>
  <c r="Q165" i="21"/>
  <c r="Q166" i="21"/>
  <c r="Q167" i="21"/>
  <c r="Q168" i="21"/>
  <c r="Q169" i="21"/>
  <c r="Q170" i="21"/>
  <c r="Q171" i="21"/>
  <c r="Q172" i="21"/>
  <c r="Q173" i="21"/>
  <c r="Q174" i="21"/>
  <c r="Q175" i="21"/>
  <c r="Q176" i="21"/>
  <c r="Q177" i="21"/>
  <c r="Q178" i="21"/>
  <c r="Q179" i="21"/>
  <c r="Q180" i="21"/>
  <c r="Q181" i="21"/>
  <c r="Q182" i="21"/>
  <c r="Q183" i="21"/>
  <c r="Q184" i="21"/>
  <c r="Q185" i="21"/>
  <c r="Q187" i="21"/>
  <c r="Q188" i="21"/>
  <c r="Q251" i="21"/>
  <c r="Q189" i="21"/>
  <c r="Q190" i="21"/>
  <c r="Q191" i="21"/>
  <c r="Q192" i="21"/>
  <c r="Q193" i="21"/>
  <c r="Q194" i="21"/>
  <c r="Q195" i="21"/>
  <c r="Q196" i="21"/>
  <c r="Q197" i="21"/>
  <c r="Q198" i="21"/>
  <c r="Q199" i="21"/>
  <c r="Q200" i="21"/>
  <c r="Q201" i="21"/>
  <c r="Q202" i="21"/>
  <c r="Q203" i="21"/>
  <c r="Q204" i="21"/>
  <c r="Q205" i="21"/>
  <c r="Q206" i="21"/>
  <c r="Q207" i="21"/>
  <c r="Q208" i="21"/>
  <c r="Q209" i="21"/>
  <c r="Q210" i="21"/>
  <c r="Q211" i="21"/>
  <c r="Q212" i="21"/>
  <c r="Q213" i="21"/>
  <c r="Q214" i="21"/>
  <c r="Q215" i="21"/>
  <c r="Q216" i="21"/>
  <c r="Q217" i="21"/>
  <c r="Q218" i="21"/>
  <c r="Q219" i="21"/>
  <c r="Q220" i="21"/>
  <c r="Q221" i="21"/>
  <c r="Q222" i="21"/>
  <c r="Q223" i="21"/>
  <c r="Q224" i="21"/>
  <c r="Q225" i="21"/>
  <c r="Q226" i="21"/>
  <c r="Q227" i="21"/>
  <c r="Q228" i="21"/>
  <c r="Q229" i="21"/>
  <c r="Q230" i="21"/>
  <c r="Q231" i="21"/>
  <c r="Q232" i="21"/>
  <c r="Q233" i="21"/>
  <c r="Q234" i="21"/>
  <c r="Q235" i="21"/>
  <c r="Q236" i="21"/>
  <c r="Q237" i="21"/>
  <c r="Q238" i="21"/>
  <c r="Q239" i="21"/>
  <c r="Q240" i="21"/>
  <c r="Q241" i="21"/>
  <c r="Q242" i="21"/>
  <c r="Q243" i="21"/>
  <c r="Q244" i="21"/>
  <c r="Q245" i="21"/>
  <c r="Q246" i="21"/>
  <c r="Q247" i="21"/>
  <c r="Q248" i="21"/>
  <c r="Q249" i="21"/>
  <c r="Q250" i="21"/>
  <c r="Q252" i="21"/>
  <c r="Q253" i="21"/>
  <c r="Q254" i="21"/>
  <c r="Q255" i="21"/>
  <c r="Q256" i="21"/>
  <c r="Q257" i="21"/>
  <c r="Q258" i="21"/>
  <c r="Q259" i="21"/>
  <c r="Q260" i="21"/>
  <c r="Q261" i="21"/>
  <c r="Q262" i="21"/>
  <c r="Q263" i="21"/>
  <c r="Q264" i="21"/>
  <c r="Q265" i="21"/>
  <c r="Q266" i="21"/>
  <c r="Q267" i="21"/>
  <c r="Q268" i="21"/>
  <c r="Q269" i="21"/>
  <c r="Q270" i="21"/>
  <c r="Q271" i="21"/>
  <c r="Q272" i="21"/>
  <c r="Q273" i="21"/>
  <c r="Q274" i="21"/>
  <c r="Q275" i="21"/>
  <c r="Q276" i="21"/>
  <c r="Q277" i="21"/>
  <c r="Q278" i="21"/>
  <c r="Q279" i="21"/>
  <c r="Q280" i="21"/>
  <c r="Q281" i="21"/>
  <c r="Q282" i="21"/>
  <c r="Q283" i="21"/>
  <c r="Q284" i="21"/>
  <c r="Q285" i="21"/>
  <c r="Q286" i="21"/>
  <c r="Q287" i="21"/>
  <c r="Q288" i="21"/>
  <c r="Q289" i="21"/>
  <c r="Q290" i="21"/>
  <c r="Q291" i="21"/>
  <c r="Q292" i="21"/>
  <c r="Q293" i="21"/>
  <c r="Q294" i="21"/>
  <c r="Q295" i="21"/>
  <c r="Q296" i="21"/>
  <c r="Q297" i="21"/>
  <c r="Q298" i="21"/>
  <c r="Q299" i="21"/>
  <c r="Q300" i="21"/>
  <c r="Q301" i="21"/>
  <c r="Q302" i="21"/>
  <c r="Q303" i="21"/>
  <c r="Q304" i="21"/>
  <c r="Q305" i="21"/>
  <c r="M5" i="21"/>
  <c r="M7" i="21"/>
  <c r="M9" i="21"/>
  <c r="M11" i="21"/>
  <c r="M13" i="21"/>
  <c r="M15" i="21"/>
  <c r="M17" i="21"/>
  <c r="M18" i="21"/>
  <c r="M20" i="21"/>
  <c r="M22" i="21"/>
  <c r="M24" i="21"/>
  <c r="M26" i="21"/>
  <c r="M28" i="21"/>
  <c r="M30" i="21"/>
  <c r="M32" i="21"/>
  <c r="M34" i="21"/>
  <c r="M36" i="21"/>
  <c r="M38" i="21"/>
  <c r="M40" i="21"/>
  <c r="M42" i="21"/>
  <c r="M44" i="21"/>
  <c r="M46" i="21"/>
  <c r="M48" i="21"/>
  <c r="M50" i="21"/>
  <c r="M52" i="21"/>
  <c r="M53" i="21"/>
  <c r="M54" i="21"/>
  <c r="M55" i="21"/>
  <c r="M57" i="21"/>
  <c r="M58" i="21"/>
  <c r="M59" i="21"/>
  <c r="M60" i="21"/>
  <c r="M61" i="21"/>
  <c r="M62" i="21"/>
  <c r="M63" i="21"/>
  <c r="M64" i="21"/>
  <c r="M65" i="21"/>
  <c r="M66" i="21"/>
  <c r="M67" i="21"/>
  <c r="M68" i="21"/>
  <c r="M69" i="21"/>
  <c r="M70" i="21"/>
  <c r="M186"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7" i="21"/>
  <c r="M188" i="21"/>
  <c r="M251"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2" i="21"/>
  <c r="M253" i="21"/>
  <c r="M254" i="21"/>
  <c r="M255" i="21"/>
  <c r="M256" i="21"/>
  <c r="M257" i="21"/>
  <c r="M258" i="21"/>
  <c r="M259" i="21"/>
  <c r="M260"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A2" i="27" a="1"/>
  <c r="A2" i="27" s="1"/>
  <c r="U15" i="22" a="1"/>
  <c r="U15" i="22" s="1"/>
  <c r="U14" i="22" a="1"/>
  <c r="U14" i="22" s="1"/>
  <c r="U12" i="22" a="1"/>
  <c r="U12" i="22" s="1"/>
  <c r="U10" i="22" a="1"/>
  <c r="U10" i="22" s="1"/>
  <c r="U9" i="22" a="1"/>
  <c r="U9" i="22" s="1"/>
  <c r="R10" i="22" a="1"/>
  <c r="R10" i="22" s="1"/>
  <c r="R9" i="22" a="1"/>
  <c r="R9" i="22" s="1"/>
  <c r="S12" i="22" a="1"/>
  <c r="S12" i="22" s="1"/>
  <c r="AA3" i="23" a="1"/>
  <c r="AA3" i="23" s="1"/>
  <c r="AS3" i="23" s="1"/>
  <c r="B41" i="22" a="1"/>
  <c r="G53" i="22" s="1"/>
  <c r="J261" i="21"/>
  <c r="M261" i="21" s="1"/>
  <c r="N21" i="22" a="1"/>
  <c r="T15" i="22" a="1"/>
  <c r="T15" i="22" s="1"/>
  <c r="T14" i="22" a="1"/>
  <c r="T14" i="22" s="1"/>
  <c r="S15" i="22" a="1"/>
  <c r="S15" i="22" s="1"/>
  <c r="S14" i="22" a="1"/>
  <c r="S14" i="22" s="1"/>
  <c r="T12" i="22" a="1"/>
  <c r="T12" i="22" s="1"/>
  <c r="T10" i="22" a="1"/>
  <c r="T10" i="22" s="1"/>
  <c r="T9" i="22" a="1"/>
  <c r="T9" i="22" s="1"/>
  <c r="S9" i="22" a="1"/>
  <c r="S9" i="22" s="1"/>
  <c r="Q9" i="22" a="1"/>
  <c r="Q9" i="22" s="1"/>
  <c r="S10" i="22" a="1"/>
  <c r="S10" i="22" s="1"/>
  <c r="Q10" i="22" a="1"/>
  <c r="Q10" i="22" s="1"/>
  <c r="P10" i="22" a="1"/>
  <c r="P10" i="22" s="1"/>
  <c r="P9" i="22" a="1"/>
  <c r="P9" i="22" s="1"/>
  <c r="D24" i="22"/>
  <c r="D26" i="22" s="1"/>
  <c r="Z7" i="21" a="1"/>
  <c r="Z7" i="21" s="1"/>
  <c r="Z4" i="21" a="1"/>
  <c r="Z4" i="21" s="1"/>
  <c r="Z3" i="21" a="1"/>
  <c r="Z3" i="21" s="1"/>
  <c r="Z6" i="21" a="1"/>
  <c r="Z6" i="21" s="1"/>
  <c r="F3" i="1"/>
  <c r="H3" i="1" s="1"/>
  <c r="F4" i="1"/>
  <c r="H4" i="1" s="1"/>
  <c r="F5" i="1"/>
  <c r="H5" i="1" s="1"/>
  <c r="F6" i="1"/>
  <c r="H6" i="1" s="1"/>
  <c r="F7" i="1"/>
  <c r="H7" i="1" s="1"/>
  <c r="F8" i="1"/>
  <c r="H8" i="1" s="1"/>
  <c r="F9" i="1"/>
  <c r="H9" i="1" s="1"/>
  <c r="F10" i="1"/>
  <c r="H10" i="1" s="1"/>
  <c r="F11" i="1"/>
  <c r="H11" i="1" s="1"/>
  <c r="F12" i="1"/>
  <c r="H12" i="1" s="1"/>
  <c r="F13" i="1"/>
  <c r="H13" i="1" s="1"/>
  <c r="F14" i="1"/>
  <c r="H14" i="1" s="1"/>
  <c r="F15" i="1"/>
  <c r="H15" i="1" s="1"/>
  <c r="F16" i="1"/>
  <c r="H16" i="1" s="1"/>
  <c r="F17" i="1"/>
  <c r="H17" i="1" s="1"/>
  <c r="F18" i="1"/>
  <c r="H18" i="1" s="1"/>
  <c r="F19" i="1"/>
  <c r="H19" i="1" s="1"/>
  <c r="F20" i="1"/>
  <c r="H20" i="1" s="1"/>
  <c r="F21" i="1"/>
  <c r="H21" i="1" s="1"/>
  <c r="F22" i="1"/>
  <c r="H22" i="1" s="1"/>
  <c r="F23" i="1"/>
  <c r="H23" i="1" s="1"/>
  <c r="F24" i="1"/>
  <c r="H24" i="1" s="1"/>
  <c r="F25" i="1"/>
  <c r="H25" i="1" s="1"/>
  <c r="F26" i="1"/>
  <c r="H26" i="1" s="1"/>
  <c r="F27" i="1"/>
  <c r="H27" i="1" s="1"/>
  <c r="F28" i="1"/>
  <c r="H28" i="1" s="1"/>
  <c r="F29" i="1"/>
  <c r="H29" i="1" s="1"/>
  <c r="F30" i="1"/>
  <c r="H30" i="1" s="1"/>
  <c r="F31" i="1"/>
  <c r="H31" i="1" s="1"/>
  <c r="F32" i="1"/>
  <c r="H32" i="1" s="1"/>
  <c r="F33" i="1"/>
  <c r="H33" i="1" s="1"/>
  <c r="F34" i="1"/>
  <c r="H34" i="1" s="1"/>
  <c r="F35" i="1"/>
  <c r="H35" i="1" s="1"/>
  <c r="F36" i="1"/>
  <c r="H36" i="1" s="1"/>
  <c r="F37" i="1"/>
  <c r="H37" i="1" s="1"/>
  <c r="F38" i="1"/>
  <c r="H38" i="1" s="1"/>
  <c r="F39" i="1"/>
  <c r="H39" i="1" s="1"/>
  <c r="F40" i="1"/>
  <c r="H40" i="1" s="1"/>
  <c r="F41" i="1"/>
  <c r="H41" i="1" s="1"/>
  <c r="F42" i="1"/>
  <c r="H42" i="1" s="1"/>
  <c r="F43" i="1"/>
  <c r="H43" i="1" s="1"/>
  <c r="F44" i="1"/>
  <c r="H44" i="1" s="1"/>
  <c r="F45" i="1"/>
  <c r="H45" i="1" s="1"/>
  <c r="F46" i="1"/>
  <c r="H46" i="1" s="1"/>
  <c r="F47" i="1"/>
  <c r="H47" i="1" s="1"/>
  <c r="F48" i="1"/>
  <c r="H48" i="1" s="1"/>
  <c r="F49" i="1"/>
  <c r="H49" i="1" s="1"/>
  <c r="F50" i="1"/>
  <c r="H50" i="1" s="1"/>
  <c r="F51" i="1"/>
  <c r="H51" i="1" s="1"/>
  <c r="F52" i="1"/>
  <c r="H52" i="1" s="1"/>
  <c r="F2" i="1"/>
  <c r="H2" i="1" s="1"/>
  <c r="Q3" i="21"/>
  <c r="Q4" i="21"/>
  <c r="U3" i="21"/>
  <c r="V3" i="21"/>
  <c r="W3" i="21"/>
  <c r="U4" i="21"/>
  <c r="V4" i="21"/>
  <c r="W4" i="21"/>
  <c r="T3" i="21"/>
  <c r="T4" i="21"/>
  <c r="N3" i="21"/>
  <c r="P3" i="21" s="1" a="1"/>
  <c r="P3" i="21" s="1"/>
  <c r="M3" i="21"/>
  <c r="I51" i="21"/>
  <c r="N51" i="21" s="1"/>
  <c r="I49" i="21"/>
  <c r="M49" i="21" s="1"/>
  <c r="I47" i="21"/>
  <c r="M47" i="21" s="1"/>
  <c r="I45" i="21"/>
  <c r="N45" i="21" s="1"/>
  <c r="I43" i="21"/>
  <c r="N43" i="21" s="1"/>
  <c r="I41" i="21"/>
  <c r="M41" i="21" s="1"/>
  <c r="I39" i="21"/>
  <c r="M39" i="21" s="1"/>
  <c r="I37" i="21"/>
  <c r="N37" i="21" s="1"/>
  <c r="I35" i="21"/>
  <c r="M35" i="21" s="1"/>
  <c r="I33" i="21"/>
  <c r="N33" i="21" s="1"/>
  <c r="I31" i="21"/>
  <c r="N31" i="21" s="1"/>
  <c r="I29" i="21"/>
  <c r="N29" i="21" s="1"/>
  <c r="I27" i="21"/>
  <c r="N27" i="21" s="1"/>
  <c r="I25" i="21"/>
  <c r="M25" i="21" s="1"/>
  <c r="I23" i="21"/>
  <c r="I21" i="21"/>
  <c r="N21" i="21" s="1"/>
  <c r="I19" i="21"/>
  <c r="M19" i="21" s="1"/>
  <c r="A1" i="23"/>
  <c r="I16" i="21"/>
  <c r="M16" i="21" s="1"/>
  <c r="I14" i="21"/>
  <c r="M14" i="21" s="1"/>
  <c r="I12" i="21"/>
  <c r="M12" i="21" s="1"/>
  <c r="I10" i="21"/>
  <c r="M10" i="21" s="1"/>
  <c r="I8" i="21"/>
  <c r="N8" i="21" s="1"/>
  <c r="I6" i="21"/>
  <c r="M6" i="21" s="1"/>
  <c r="I4" i="21"/>
  <c r="R2" i="21"/>
  <c r="Q2" i="21"/>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5" i="16"/>
  <c r="H4" i="16"/>
  <c r="H3" i="16"/>
  <c r="S443" i="21" l="1" a="1"/>
  <c r="S443" i="21" s="1"/>
  <c r="R443" i="21" a="1"/>
  <c r="R443" i="21" s="1"/>
  <c r="R442" i="21" a="1"/>
  <c r="R442" i="21" s="1"/>
  <c r="S441" i="21" a="1"/>
  <c r="S441" i="21" s="1"/>
  <c r="S442" i="21" a="1"/>
  <c r="S442" i="21" s="1"/>
  <c r="R441" i="21" a="1"/>
  <c r="R441" i="21" s="1"/>
  <c r="S440" i="21" a="1"/>
  <c r="S440" i="21" s="1"/>
  <c r="R440" i="21" a="1"/>
  <c r="R440" i="21" s="1"/>
  <c r="S439" i="21" a="1"/>
  <c r="S439" i="21" s="1"/>
  <c r="R439" i="21" a="1"/>
  <c r="R439" i="21" s="1"/>
  <c r="R437" i="21" a="1"/>
  <c r="R437" i="21" s="1"/>
  <c r="R435" i="21" a="1"/>
  <c r="R435" i="21" s="1"/>
  <c r="S437" i="21" a="1"/>
  <c r="S437" i="21" s="1"/>
  <c r="R436" i="21" a="1"/>
  <c r="R436" i="21" s="1"/>
  <c r="R438" i="21" a="1"/>
  <c r="R438" i="21" s="1"/>
  <c r="S436" i="21" a="1"/>
  <c r="S436" i="21" s="1"/>
  <c r="S438" i="21" a="1"/>
  <c r="S438" i="21" s="1"/>
  <c r="S435" i="21" a="1"/>
  <c r="S435" i="21" s="1"/>
  <c r="S434" i="21" a="1"/>
  <c r="S434" i="21" s="1"/>
  <c r="R434" i="21" a="1"/>
  <c r="R434" i="21" s="1"/>
  <c r="R433" i="21" a="1"/>
  <c r="R433" i="21" s="1"/>
  <c r="S432" i="21" a="1"/>
  <c r="S432" i="21" s="1"/>
  <c r="S433" i="21" a="1"/>
  <c r="S433" i="21" s="1"/>
  <c r="R431" i="21" a="1"/>
  <c r="R431" i="21" s="1"/>
  <c r="S431" i="21" a="1"/>
  <c r="S431" i="21" s="1"/>
  <c r="R430" i="21" a="1"/>
  <c r="R430" i="21" s="1"/>
  <c r="S430" i="21" a="1"/>
  <c r="S430" i="21" s="1"/>
  <c r="R432" i="21" a="1"/>
  <c r="R432" i="21" s="1"/>
  <c r="R429" i="21" a="1"/>
  <c r="R429" i="21" s="1"/>
  <c r="R428" i="21" a="1"/>
  <c r="R428" i="21" s="1"/>
  <c r="S429" i="21" a="1"/>
  <c r="S429" i="21" s="1"/>
  <c r="Q110" i="27" a="1"/>
  <c r="Q110" i="27" s="1"/>
  <c r="Q210" i="27" s="1"/>
  <c r="O405" i="21"/>
  <c r="O407" i="21"/>
  <c r="O420" i="21"/>
  <c r="O424" i="21"/>
  <c r="S428" i="21" a="1"/>
  <c r="S428" i="21" s="1"/>
  <c r="O402" i="21"/>
  <c r="O415" i="21"/>
  <c r="O418" i="21"/>
  <c r="O427" i="21"/>
  <c r="S427" i="21" a="1"/>
  <c r="S427" i="21" s="1"/>
  <c r="R427" i="21" a="1"/>
  <c r="R427" i="21" s="1"/>
  <c r="S426" i="21" a="1"/>
  <c r="S426" i="21" s="1"/>
  <c r="R425" i="21" a="1"/>
  <c r="R425" i="21" s="1"/>
  <c r="S425" i="21" a="1"/>
  <c r="S425" i="21" s="1"/>
  <c r="R426" i="21" a="1"/>
  <c r="R426" i="21" s="1"/>
  <c r="S424" i="21" a="1"/>
  <c r="S424" i="21" s="1"/>
  <c r="S423" i="21" a="1"/>
  <c r="S423" i="21" s="1"/>
  <c r="R423" i="21" a="1"/>
  <c r="R423" i="21" s="1"/>
  <c r="R424" i="21" a="1"/>
  <c r="R424" i="21" s="1"/>
  <c r="S422" i="21" a="1"/>
  <c r="S422" i="21" s="1"/>
  <c r="R421" i="21" a="1"/>
  <c r="R421" i="21" s="1"/>
  <c r="S421" i="21" a="1"/>
  <c r="S421" i="21" s="1"/>
  <c r="R422" i="21" a="1"/>
  <c r="R422" i="21" s="1"/>
  <c r="R420" i="21" a="1"/>
  <c r="R420" i="21" s="1"/>
  <c r="S420" i="21" a="1"/>
  <c r="S420" i="21" s="1"/>
  <c r="S418" i="21" a="1"/>
  <c r="S418" i="21" s="1"/>
  <c r="R419" i="21" a="1"/>
  <c r="R419" i="21" s="1"/>
  <c r="R418" i="21" a="1"/>
  <c r="R418" i="21" s="1"/>
  <c r="S419" i="21" a="1"/>
  <c r="S419" i="21" s="1"/>
  <c r="S417" i="21" a="1"/>
  <c r="S417" i="21" s="1"/>
  <c r="R417" i="21" a="1"/>
  <c r="R417" i="21" s="1"/>
  <c r="R416" i="21" a="1"/>
  <c r="R416" i="21" s="1"/>
  <c r="S415" i="21" a="1"/>
  <c r="S415" i="21" s="1"/>
  <c r="S416" i="21" a="1"/>
  <c r="S416" i="21" s="1"/>
  <c r="R415" i="21" a="1"/>
  <c r="R415" i="21" s="1"/>
  <c r="R414" i="21" a="1"/>
  <c r="R414" i="21" s="1"/>
  <c r="S414" i="21" a="1"/>
  <c r="S414" i="21" s="1"/>
  <c r="R413" i="21" a="1"/>
  <c r="R413" i="21" s="1"/>
  <c r="R412" i="21" a="1"/>
  <c r="R412" i="21" s="1"/>
  <c r="S412" i="21" a="1"/>
  <c r="S412" i="21" s="1"/>
  <c r="S413" i="21" a="1"/>
  <c r="S413" i="21" s="1"/>
  <c r="R411" i="21" a="1"/>
  <c r="R411" i="21" s="1"/>
  <c r="S411" i="21" a="1"/>
  <c r="S411" i="21" s="1"/>
  <c r="S410" i="21" a="1"/>
  <c r="S410" i="21" s="1"/>
  <c r="R410" i="21" a="1"/>
  <c r="R410" i="21" s="1"/>
  <c r="E88" i="22"/>
  <c r="C84" i="22" a="1"/>
  <c r="C84" i="22" s="1"/>
  <c r="E89" i="22"/>
  <c r="G85" i="22"/>
  <c r="G81" i="22"/>
  <c r="C78" i="22" a="1"/>
  <c r="C78" i="22" s="1"/>
  <c r="C75" i="22" a="1"/>
  <c r="C75" i="22" s="1"/>
  <c r="F75" i="22" s="1" a="1"/>
  <c r="F75" i="22" s="1"/>
  <c r="H75" i="22" s="1"/>
  <c r="G93" i="22"/>
  <c r="E85" i="22"/>
  <c r="E81" i="22"/>
  <c r="G77" i="22"/>
  <c r="G74" i="22"/>
  <c r="G73" i="22"/>
  <c r="E93" i="22"/>
  <c r="C89" i="22" a="1"/>
  <c r="C89" i="22" s="1"/>
  <c r="C85" i="22" a="1"/>
  <c r="C85" i="22" s="1"/>
  <c r="C81" i="22" a="1"/>
  <c r="C81" i="22" s="1"/>
  <c r="F81" i="22" s="1" a="1"/>
  <c r="F81" i="22" s="1"/>
  <c r="H81" i="22" s="1"/>
  <c r="E77" i="22"/>
  <c r="E74" i="22"/>
  <c r="E80" i="22"/>
  <c r="C93" i="22" a="1"/>
  <c r="C93" i="22" s="1"/>
  <c r="G88" i="22"/>
  <c r="G84" i="22"/>
  <c r="G80" i="22"/>
  <c r="C74" i="22" a="1"/>
  <c r="C74" i="22" s="1"/>
  <c r="E91" i="22"/>
  <c r="G87" i="22"/>
  <c r="G83" i="22"/>
  <c r="C80" i="22" a="1"/>
  <c r="C80" i="22" s="1"/>
  <c r="E76" i="22"/>
  <c r="C73" i="22" a="1"/>
  <c r="C73" i="22" s="1"/>
  <c r="C77" i="22" a="1"/>
  <c r="C77" i="22" s="1"/>
  <c r="G91" i="22"/>
  <c r="G76" i="22"/>
  <c r="C91" i="22" a="1"/>
  <c r="C91" i="22" s="1"/>
  <c r="E87" i="22"/>
  <c r="E83" i="22"/>
  <c r="G79" i="22"/>
  <c r="C92" i="22" a="1"/>
  <c r="C92" i="22" s="1"/>
  <c r="E73" i="22"/>
  <c r="G90" i="22"/>
  <c r="C87" i="22" a="1"/>
  <c r="C87" i="22" s="1"/>
  <c r="C83" i="22" a="1"/>
  <c r="C83" i="22" s="1"/>
  <c r="E79" i="22"/>
  <c r="C76" i="22" a="1"/>
  <c r="C76" i="22" s="1"/>
  <c r="E84" i="22"/>
  <c r="E90" i="22"/>
  <c r="G86" i="22"/>
  <c r="G82" i="22"/>
  <c r="C79" i="22" a="1"/>
  <c r="C79" i="22" s="1"/>
  <c r="G75" i="22"/>
  <c r="C90" i="22" a="1"/>
  <c r="C90" i="22" s="1"/>
  <c r="F90" i="22" s="1" a="1"/>
  <c r="F90" i="22" s="1"/>
  <c r="H90" i="22" s="1"/>
  <c r="E86" i="22"/>
  <c r="E82" i="22"/>
  <c r="G78" i="22"/>
  <c r="E75" i="22"/>
  <c r="C88" i="22" a="1"/>
  <c r="C88" i="22" s="1"/>
  <c r="F88" i="22" s="1" a="1"/>
  <c r="F88" i="22" s="1"/>
  <c r="H88" i="22" s="1"/>
  <c r="G89" i="22"/>
  <c r="C86" i="22" a="1"/>
  <c r="C86" i="22" s="1"/>
  <c r="C82" i="22" a="1"/>
  <c r="C82" i="22" s="1"/>
  <c r="E78" i="22"/>
  <c r="AF59" i="23" a="1"/>
  <c r="AF59" i="23" s="1"/>
  <c r="G59" i="23" s="1"/>
  <c r="AF57" i="23" a="1"/>
  <c r="AF57" i="23" s="1"/>
  <c r="G57" i="23" s="1"/>
  <c r="AF46" i="23" a="1"/>
  <c r="AF46" i="23" s="1"/>
  <c r="G46" i="23" s="1"/>
  <c r="AF33" i="23" a="1"/>
  <c r="AF33" i="23" s="1"/>
  <c r="G33" i="23" s="1"/>
  <c r="AF22" i="23" a="1"/>
  <c r="AF22" i="23" s="1"/>
  <c r="G22" i="23" s="1"/>
  <c r="AF11" i="23" a="1"/>
  <c r="AF11" i="23" s="1"/>
  <c r="G11" i="23" s="1"/>
  <c r="AF44" i="23" a="1"/>
  <c r="AF44" i="23" s="1"/>
  <c r="G44" i="23" s="1"/>
  <c r="AF37" i="23" a="1"/>
  <c r="AF37" i="23" s="1"/>
  <c r="G37" i="23" s="1"/>
  <c r="AF18" i="23" a="1"/>
  <c r="AF18" i="23" s="1"/>
  <c r="G18" i="23" s="1"/>
  <c r="AF9" i="23" a="1"/>
  <c r="AF9" i="23" s="1"/>
  <c r="G9" i="23" s="1"/>
  <c r="AF58" i="23" a="1"/>
  <c r="AF58" i="23" s="1"/>
  <c r="G58" i="23" s="1"/>
  <c r="AF45" i="23" a="1"/>
  <c r="AF45" i="23" s="1"/>
  <c r="G45" i="23" s="1"/>
  <c r="AF32" i="23" a="1"/>
  <c r="AF32" i="23" s="1"/>
  <c r="G32" i="23" s="1"/>
  <c r="AF23" i="23" a="1"/>
  <c r="AF23" i="23" s="1"/>
  <c r="G23" i="23" s="1"/>
  <c r="AF10" i="23" a="1"/>
  <c r="AF10" i="23" s="1"/>
  <c r="G10" i="23" s="1"/>
  <c r="AF64" i="23" a="1"/>
  <c r="AF64" i="23" s="1"/>
  <c r="G64" i="23" s="1"/>
  <c r="AF51" i="23" a="1"/>
  <c r="AF51" i="23" s="1"/>
  <c r="G51" i="23" s="1"/>
  <c r="AF38" i="23" a="1"/>
  <c r="AF38" i="23" s="1"/>
  <c r="G38" i="23" s="1"/>
  <c r="AF31" i="23" a="1"/>
  <c r="AF31" i="23" s="1"/>
  <c r="G31" i="23" s="1"/>
  <c r="AF16" i="23" a="1"/>
  <c r="AF16" i="23" s="1"/>
  <c r="G16" i="23" s="1"/>
  <c r="AF63" i="23" a="1"/>
  <c r="AF63" i="23" s="1"/>
  <c r="G63" i="23" s="1"/>
  <c r="AF50" i="23" a="1"/>
  <c r="AF50" i="23" s="1"/>
  <c r="G50" i="23" s="1"/>
  <c r="AF43" i="23" a="1"/>
  <c r="AF43" i="23" s="1"/>
  <c r="G43" i="23" s="1"/>
  <c r="AF30" i="23" a="1"/>
  <c r="AF30" i="23" s="1"/>
  <c r="G30" i="23" s="1"/>
  <c r="AF15" i="23" a="1"/>
  <c r="AF15" i="23" s="1"/>
  <c r="G15" i="23" s="1"/>
  <c r="AF61" i="23" a="1"/>
  <c r="AF61" i="23" s="1"/>
  <c r="G61" i="23" s="1"/>
  <c r="AF48" i="23" a="1"/>
  <c r="AF48" i="23" s="1"/>
  <c r="G48" i="23" s="1"/>
  <c r="AF35" i="23" a="1"/>
  <c r="AF35" i="23" s="1"/>
  <c r="G35" i="23" s="1"/>
  <c r="AF20" i="23" a="1"/>
  <c r="AF20" i="23" s="1"/>
  <c r="G20" i="23" s="1"/>
  <c r="AF7" i="23" a="1"/>
  <c r="AF7" i="23" s="1"/>
  <c r="G7" i="23" s="1"/>
  <c r="AF54" i="23" a="1"/>
  <c r="AF54" i="23" s="1"/>
  <c r="G54" i="23" s="1"/>
  <c r="AF41" i="23" a="1"/>
  <c r="AF41" i="23" s="1"/>
  <c r="G41" i="23" s="1"/>
  <c r="AF28" i="23" a="1"/>
  <c r="AF28" i="23" s="1"/>
  <c r="G28" i="23" s="1"/>
  <c r="AF13" i="23" a="1"/>
  <c r="AF13" i="23" s="1"/>
  <c r="G13" i="23" s="1"/>
  <c r="AF56" i="23" a="1"/>
  <c r="AF56" i="23" s="1"/>
  <c r="G56" i="23" s="1"/>
  <c r="AF49" i="23" a="1"/>
  <c r="AF49" i="23" s="1"/>
  <c r="G49" i="23" s="1"/>
  <c r="AF36" i="23" a="1"/>
  <c r="AF36" i="23" s="1"/>
  <c r="G36" i="23" s="1"/>
  <c r="AF21" i="23" a="1"/>
  <c r="AF21" i="23" s="1"/>
  <c r="G21" i="23" s="1"/>
  <c r="AF8" i="23" a="1"/>
  <c r="AF8" i="23" s="1"/>
  <c r="G8" i="23" s="1"/>
  <c r="AF60" i="23" a="1"/>
  <c r="AF60" i="23" s="1"/>
  <c r="G60" i="23" s="1"/>
  <c r="AF47" i="23" a="1"/>
  <c r="AF47" i="23" s="1"/>
  <c r="G47" i="23" s="1"/>
  <c r="AF34" i="23" a="1"/>
  <c r="AF34" i="23" s="1"/>
  <c r="G34" i="23" s="1"/>
  <c r="AF19" i="23" a="1"/>
  <c r="AF19" i="23" s="1"/>
  <c r="G19" i="23" s="1"/>
  <c r="AF6" i="23" a="1"/>
  <c r="AF6" i="23" s="1"/>
  <c r="G6" i="23" s="1"/>
  <c r="AF62" i="23" a="1"/>
  <c r="AF62" i="23" s="1"/>
  <c r="G62" i="23" s="1"/>
  <c r="AF55" i="23" a="1"/>
  <c r="AF55" i="23" s="1"/>
  <c r="G55" i="23" s="1"/>
  <c r="AF42" i="23" a="1"/>
  <c r="AF42" i="23" s="1"/>
  <c r="G42" i="23" s="1"/>
  <c r="AF29" i="23" a="1"/>
  <c r="AF29" i="23" s="1"/>
  <c r="G29" i="23" s="1"/>
  <c r="AF14" i="23" a="1"/>
  <c r="AF14" i="23" s="1"/>
  <c r="G14" i="23" s="1"/>
  <c r="AF53" i="23" a="1"/>
  <c r="AF53" i="23" s="1"/>
  <c r="G53" i="23" s="1"/>
  <c r="AF40" i="23" a="1"/>
  <c r="AF40" i="23" s="1"/>
  <c r="G40" i="23" s="1"/>
  <c r="AF27" i="23" a="1"/>
  <c r="AF27" i="23" s="1"/>
  <c r="G27" i="23" s="1"/>
  <c r="AF12" i="23" a="1"/>
  <c r="AF12" i="23" s="1"/>
  <c r="G12" i="23" s="1"/>
  <c r="AF5" i="23" a="1"/>
  <c r="AF5" i="23" s="1"/>
  <c r="G5" i="23" s="1"/>
  <c r="AF65" i="23" a="1"/>
  <c r="AF65" i="23" s="1"/>
  <c r="G65" i="23" s="1"/>
  <c r="AF52" i="23" a="1"/>
  <c r="AF52" i="23" s="1"/>
  <c r="G52" i="23" s="1"/>
  <c r="AF39" i="23" a="1"/>
  <c r="AF39" i="23" s="1"/>
  <c r="AF24" i="23" a="1"/>
  <c r="AF24" i="23" s="1"/>
  <c r="G24" i="23" s="1"/>
  <c r="AF17" i="23" a="1"/>
  <c r="AF17" i="23" s="1"/>
  <c r="G17" i="23" s="1"/>
  <c r="AF4" i="23" a="1"/>
  <c r="AF4" i="23" s="1"/>
  <c r="G4" i="23" s="1"/>
  <c r="R407" i="21" a="1"/>
  <c r="R407" i="21" s="1"/>
  <c r="S409" i="21" a="1"/>
  <c r="S409" i="21" s="1"/>
  <c r="R408" i="21" a="1"/>
  <c r="R408" i="21" s="1"/>
  <c r="R409" i="21" a="1"/>
  <c r="R409" i="21" s="1"/>
  <c r="S407" i="21" a="1"/>
  <c r="S407" i="21" s="1"/>
  <c r="S408" i="21" a="1"/>
  <c r="S408" i="21" s="1"/>
  <c r="R406" i="21" a="1"/>
  <c r="R406" i="21" s="1"/>
  <c r="S406" i="21" a="1"/>
  <c r="S406" i="21" s="1"/>
  <c r="S404" i="21" a="1"/>
  <c r="S404" i="21" s="1"/>
  <c r="R405" i="21" a="1"/>
  <c r="R405" i="21" s="1"/>
  <c r="R404" i="21" a="1"/>
  <c r="R404" i="21" s="1"/>
  <c r="S405" i="21" a="1"/>
  <c r="S405" i="21" s="1"/>
  <c r="R403" i="21" a="1"/>
  <c r="R403" i="21" s="1"/>
  <c r="S403" i="21" a="1"/>
  <c r="S403" i="21" s="1"/>
  <c r="R402" i="21" a="1"/>
  <c r="R402" i="21" s="1"/>
  <c r="R400" i="21" a="1"/>
  <c r="R400" i="21" s="1"/>
  <c r="S401" i="21" a="1"/>
  <c r="S401" i="21" s="1"/>
  <c r="S402" i="21" a="1"/>
  <c r="S402" i="21" s="1"/>
  <c r="R401" i="21" a="1"/>
  <c r="R401" i="21" s="1"/>
  <c r="P26" i="21" a="1"/>
  <c r="P26" i="21" s="1"/>
  <c r="P271" i="21" a="1"/>
  <c r="P271" i="21" s="1"/>
  <c r="P272" i="21" s="1" a="1"/>
  <c r="P272" i="21" s="1"/>
  <c r="P273" i="21" s="1" a="1"/>
  <c r="P273" i="21" s="1"/>
  <c r="P247" i="21" a="1"/>
  <c r="P247" i="21" s="1"/>
  <c r="P248" i="21" s="1" a="1"/>
  <c r="P248" i="21" s="1"/>
  <c r="O398" i="21"/>
  <c r="D163" i="27" a="1"/>
  <c r="D163" i="27" s="1"/>
  <c r="D263" i="27" s="1"/>
  <c r="E162" i="27" a="1"/>
  <c r="E162" i="27" s="1"/>
  <c r="E262" i="27" s="1"/>
  <c r="E161" i="27" a="1"/>
  <c r="E161" i="27" s="1"/>
  <c r="E261" i="27" s="1"/>
  <c r="E160" i="27" a="1"/>
  <c r="E160" i="27" s="1"/>
  <c r="E260" i="27" s="1"/>
  <c r="F159" i="27" a="1"/>
  <c r="F159" i="27" s="1"/>
  <c r="F259" i="27" s="1"/>
  <c r="G158" i="27" a="1"/>
  <c r="G158" i="27" s="1"/>
  <c r="G258" i="27" s="1"/>
  <c r="G157" i="27" a="1"/>
  <c r="G157" i="27" s="1"/>
  <c r="G257" i="27" s="1"/>
  <c r="D156" i="27" a="1"/>
  <c r="D156" i="27" s="1"/>
  <c r="D256" i="27" s="1"/>
  <c r="D155" i="27" a="1"/>
  <c r="D155" i="27" s="1"/>
  <c r="D255" i="27" s="1"/>
  <c r="D154" i="27" a="1"/>
  <c r="D154" i="27" s="1"/>
  <c r="D254" i="27" s="1"/>
  <c r="P152" i="27" a="1"/>
  <c r="P152" i="27" s="1"/>
  <c r="P252" i="27" s="1"/>
  <c r="P151" i="27" a="1"/>
  <c r="P151" i="27" s="1"/>
  <c r="P251" i="27" s="1"/>
  <c r="P150" i="27" a="1"/>
  <c r="P150" i="27" s="1"/>
  <c r="P250" i="27" s="1"/>
  <c r="M149" i="27" a="1"/>
  <c r="M149" i="27" s="1"/>
  <c r="M148" i="27" a="1"/>
  <c r="M148" i="27" s="1"/>
  <c r="M248" i="27" s="1"/>
  <c r="M147" i="27" a="1"/>
  <c r="M147" i="27" s="1"/>
  <c r="M247" i="27" s="1"/>
  <c r="J146" i="27" a="1"/>
  <c r="J146" i="27" s="1"/>
  <c r="J246" i="27" s="1"/>
  <c r="I145" i="27" a="1"/>
  <c r="I145" i="27" s="1"/>
  <c r="D144" i="27" a="1"/>
  <c r="D144" i="27" s="1"/>
  <c r="D244" i="27" s="1"/>
  <c r="C143" i="27" a="1"/>
  <c r="C143" i="27" s="1"/>
  <c r="C243" i="27" s="1"/>
  <c r="M141" i="27" a="1"/>
  <c r="M141" i="27" s="1"/>
  <c r="M241" i="27" s="1"/>
  <c r="L140" i="27" a="1"/>
  <c r="L140" i="27" s="1"/>
  <c r="L240" i="27" s="1"/>
  <c r="G139" i="27" a="1"/>
  <c r="G139" i="27" s="1"/>
  <c r="G239" i="27" s="1"/>
  <c r="F138" i="27" a="1"/>
  <c r="F138" i="27" s="1"/>
  <c r="F238" i="27" s="1"/>
  <c r="P136" i="27" a="1"/>
  <c r="P136" i="27" s="1"/>
  <c r="P236" i="27" s="1"/>
  <c r="O135" i="27" a="1"/>
  <c r="O135" i="27" s="1"/>
  <c r="J134" i="27" a="1"/>
  <c r="J134" i="27" s="1"/>
  <c r="J234" i="27" s="1"/>
  <c r="I133" i="27" a="1"/>
  <c r="I133" i="27" s="1"/>
  <c r="I233" i="27" s="1"/>
  <c r="D132" i="27" a="1"/>
  <c r="D132" i="27" s="1"/>
  <c r="D232" i="27" s="1"/>
  <c r="C131" i="27" a="1"/>
  <c r="C131" i="27" s="1"/>
  <c r="C231" i="27" s="1"/>
  <c r="M129" i="27" a="1"/>
  <c r="M129" i="27" s="1"/>
  <c r="M229" i="27" s="1"/>
  <c r="L128" i="27" a="1"/>
  <c r="L128" i="27" s="1"/>
  <c r="L228" i="27" s="1"/>
  <c r="G127" i="27" a="1"/>
  <c r="G127" i="27" s="1"/>
  <c r="G227" i="27" s="1"/>
  <c r="F126" i="27" a="1"/>
  <c r="F126" i="27" s="1"/>
  <c r="F226" i="27" s="1"/>
  <c r="P124" i="27" a="1"/>
  <c r="P124" i="27" s="1"/>
  <c r="P224" i="27" s="1"/>
  <c r="O123" i="27" a="1"/>
  <c r="O123" i="27" s="1"/>
  <c r="O223" i="27" s="1"/>
  <c r="J122" i="27" a="1"/>
  <c r="J122" i="27" s="1"/>
  <c r="J222" i="27" s="1"/>
  <c r="I121" i="27" a="1"/>
  <c r="I121" i="27" s="1"/>
  <c r="I221" i="27" s="1"/>
  <c r="D120" i="27" a="1"/>
  <c r="D120" i="27" s="1"/>
  <c r="D220" i="27" s="1"/>
  <c r="C119" i="27" a="1"/>
  <c r="C119" i="27" s="1"/>
  <c r="C219" i="27" s="1"/>
  <c r="M117" i="27" a="1"/>
  <c r="M117" i="27" s="1"/>
  <c r="M217" i="27" s="1"/>
  <c r="L116" i="27" a="1"/>
  <c r="L116" i="27" s="1"/>
  <c r="L216" i="27" s="1"/>
  <c r="G115" i="27" a="1"/>
  <c r="G115" i="27" s="1"/>
  <c r="G215" i="27" s="1"/>
  <c r="F114" i="27" a="1"/>
  <c r="F114" i="27" s="1"/>
  <c r="F214" i="27" s="1"/>
  <c r="P112" i="27" a="1"/>
  <c r="P112" i="27" s="1"/>
  <c r="P212" i="27" s="1"/>
  <c r="O111" i="27" a="1"/>
  <c r="O111" i="27" s="1"/>
  <c r="O211" i="27" s="1"/>
  <c r="J110" i="27" a="1"/>
  <c r="J110" i="27" s="1"/>
  <c r="J210" i="27" s="1"/>
  <c r="I109" i="27" a="1"/>
  <c r="I109" i="27" s="1"/>
  <c r="I209" i="27" s="1"/>
  <c r="D108" i="27" a="1"/>
  <c r="D108" i="27" s="1"/>
  <c r="D208" i="27" s="1"/>
  <c r="C107" i="27" a="1"/>
  <c r="C107" i="27" s="1"/>
  <c r="M105" i="27" a="1"/>
  <c r="M105" i="27" s="1"/>
  <c r="M205" i="27" s="1"/>
  <c r="L104" i="27" a="1"/>
  <c r="L104" i="27" s="1"/>
  <c r="L204" i="27" s="1"/>
  <c r="G103" i="27" a="1"/>
  <c r="G103" i="27" s="1"/>
  <c r="G203" i="27" s="1"/>
  <c r="F102" i="27" a="1"/>
  <c r="F102" i="27" s="1"/>
  <c r="F202" i="27" s="1"/>
  <c r="Q147" i="27" a="1"/>
  <c r="Q147" i="27" s="1"/>
  <c r="Q247" i="27" s="1"/>
  <c r="Q125" i="27" a="1"/>
  <c r="Q125" i="27" s="1"/>
  <c r="Q225" i="27" s="1"/>
  <c r="Q108" i="27" a="1"/>
  <c r="Q108" i="27" s="1"/>
  <c r="Q208" i="27" s="1"/>
  <c r="R163" i="27" a="1"/>
  <c r="R163" i="27" s="1"/>
  <c r="R263" i="27" s="1"/>
  <c r="C163" i="27" a="1"/>
  <c r="C163" i="27" s="1"/>
  <c r="C263" i="27" s="1"/>
  <c r="D162" i="27" a="1"/>
  <c r="D162" i="27" s="1"/>
  <c r="D262" i="27" s="1"/>
  <c r="D161" i="27" a="1"/>
  <c r="D161" i="27" s="1"/>
  <c r="D261" i="27" s="1"/>
  <c r="D160" i="27" a="1"/>
  <c r="D160" i="27" s="1"/>
  <c r="E159" i="27" a="1"/>
  <c r="E159" i="27" s="1"/>
  <c r="E259" i="27" s="1"/>
  <c r="F158" i="27" a="1"/>
  <c r="F158" i="27" s="1"/>
  <c r="F258" i="27" s="1"/>
  <c r="D157" i="27" a="1"/>
  <c r="D157" i="27" s="1"/>
  <c r="D257" i="27" s="1"/>
  <c r="C156" i="27" a="1"/>
  <c r="C156" i="27" s="1"/>
  <c r="C256" i="27" s="1"/>
  <c r="C155" i="27" a="1"/>
  <c r="C155" i="27" s="1"/>
  <c r="C255" i="27" s="1"/>
  <c r="P153" i="27" a="1"/>
  <c r="P153" i="27" s="1"/>
  <c r="P253" i="27" s="1"/>
  <c r="O152" i="27" a="1"/>
  <c r="O152" i="27" s="1"/>
  <c r="O252" i="27" s="1"/>
  <c r="O151" i="27" a="1"/>
  <c r="O151" i="27" s="1"/>
  <c r="O251" i="27" s="1"/>
  <c r="M150" i="27" a="1"/>
  <c r="M150" i="27" s="1"/>
  <c r="M250" i="27" s="1"/>
  <c r="L149" i="27" a="1"/>
  <c r="L149" i="27" s="1"/>
  <c r="L249" i="27" s="1"/>
  <c r="L148" i="27" a="1"/>
  <c r="L148" i="27" s="1"/>
  <c r="L248" i="27" s="1"/>
  <c r="J147" i="27" a="1"/>
  <c r="J147" i="27" s="1"/>
  <c r="J247" i="27" s="1"/>
  <c r="I146" i="27" a="1"/>
  <c r="I146" i="27" s="1"/>
  <c r="I246" i="27" s="1"/>
  <c r="H145" i="27" a="1"/>
  <c r="H145" i="27" s="1"/>
  <c r="C144" i="27" a="1"/>
  <c r="C144" i="27" s="1"/>
  <c r="C244" i="27" s="1"/>
  <c r="R142" i="27" a="1"/>
  <c r="R142" i="27" s="1"/>
  <c r="R242" i="27" s="1"/>
  <c r="L141" i="27" a="1"/>
  <c r="L141" i="27" s="1"/>
  <c r="L241" i="27" s="1"/>
  <c r="K140" i="27" a="1"/>
  <c r="K140" i="27" s="1"/>
  <c r="K240" i="27" s="1"/>
  <c r="F139" i="27" a="1"/>
  <c r="F139" i="27" s="1"/>
  <c r="F239" i="27" s="1"/>
  <c r="E138" i="27" a="1"/>
  <c r="E138" i="27" s="1"/>
  <c r="E238" i="27" s="1"/>
  <c r="O136" i="27" a="1"/>
  <c r="O136" i="27" s="1"/>
  <c r="O236" i="27" s="1"/>
  <c r="N135" i="27" a="1"/>
  <c r="N135" i="27" s="1"/>
  <c r="N235" i="27" s="1"/>
  <c r="I134" i="27" a="1"/>
  <c r="I134" i="27" s="1"/>
  <c r="I234" i="27" s="1"/>
  <c r="H133" i="27" a="1"/>
  <c r="H133" i="27" s="1"/>
  <c r="H233" i="27" s="1"/>
  <c r="C132" i="27" a="1"/>
  <c r="C132" i="27" s="1"/>
  <c r="C232" i="27" s="1"/>
  <c r="R130" i="27" a="1"/>
  <c r="R130" i="27" s="1"/>
  <c r="R230" i="27" s="1"/>
  <c r="L129" i="27" a="1"/>
  <c r="L129" i="27" s="1"/>
  <c r="L229" i="27" s="1"/>
  <c r="K128" i="27" a="1"/>
  <c r="K128" i="27" s="1"/>
  <c r="K228" i="27" s="1"/>
  <c r="F127" i="27" a="1"/>
  <c r="F127" i="27" s="1"/>
  <c r="F227" i="27" s="1"/>
  <c r="E126" i="27" a="1"/>
  <c r="E126" i="27" s="1"/>
  <c r="E226" i="27" s="1"/>
  <c r="O124" i="27" a="1"/>
  <c r="O124" i="27" s="1"/>
  <c r="O224" i="27" s="1"/>
  <c r="N123" i="27" a="1"/>
  <c r="N123" i="27" s="1"/>
  <c r="N223" i="27" s="1"/>
  <c r="I122" i="27" a="1"/>
  <c r="I122" i="27" s="1"/>
  <c r="I222" i="27" s="1"/>
  <c r="H121" i="27" a="1"/>
  <c r="H121" i="27" s="1"/>
  <c r="H221" i="27" s="1"/>
  <c r="C120" i="27" a="1"/>
  <c r="C120" i="27" s="1"/>
  <c r="C220" i="27" s="1"/>
  <c r="R118" i="27" a="1"/>
  <c r="R118" i="27" s="1"/>
  <c r="R218" i="27" s="1"/>
  <c r="L117" i="27" a="1"/>
  <c r="L117" i="27" s="1"/>
  <c r="L217" i="27" s="1"/>
  <c r="K116" i="27" a="1"/>
  <c r="K116" i="27" s="1"/>
  <c r="K216" i="27" s="1"/>
  <c r="F115" i="27" a="1"/>
  <c r="F115" i="27" s="1"/>
  <c r="F215" i="27" s="1"/>
  <c r="E114" i="27" a="1"/>
  <c r="E114" i="27" s="1"/>
  <c r="E214" i="27" s="1"/>
  <c r="O112" i="27" a="1"/>
  <c r="O112" i="27" s="1"/>
  <c r="O212" i="27" s="1"/>
  <c r="N111" i="27" a="1"/>
  <c r="N111" i="27" s="1"/>
  <c r="N211" i="27" s="1"/>
  <c r="I110" i="27" a="1"/>
  <c r="I110" i="27" s="1"/>
  <c r="I210" i="27" s="1"/>
  <c r="H109" i="27" a="1"/>
  <c r="H109" i="27" s="1"/>
  <c r="H209" i="27" s="1"/>
  <c r="C108" i="27" a="1"/>
  <c r="C108" i="27" s="1"/>
  <c r="C208" i="27" s="1"/>
  <c r="R106" i="27" a="1"/>
  <c r="R106" i="27" s="1"/>
  <c r="R206" i="27" s="1"/>
  <c r="L105" i="27" a="1"/>
  <c r="L105" i="27" s="1"/>
  <c r="L205" i="27" s="1"/>
  <c r="K104" i="27" a="1"/>
  <c r="K104" i="27" s="1"/>
  <c r="K204" i="27" s="1"/>
  <c r="F103" i="27" a="1"/>
  <c r="F103" i="27" s="1"/>
  <c r="F203" i="27" s="1"/>
  <c r="E102" i="27" a="1"/>
  <c r="E102" i="27" s="1"/>
  <c r="E202" i="27" s="1"/>
  <c r="Q146" i="27" a="1"/>
  <c r="Q146" i="27" s="1"/>
  <c r="Q246" i="27" s="1"/>
  <c r="Q124" i="27" a="1"/>
  <c r="Q124" i="27" s="1"/>
  <c r="Q224" i="27" s="1"/>
  <c r="P163" i="27" a="1"/>
  <c r="P163" i="27" s="1"/>
  <c r="P263" i="27" s="1"/>
  <c r="R162" i="27" a="1"/>
  <c r="R162" i="27" s="1"/>
  <c r="R262" i="27" s="1"/>
  <c r="R161" i="27" a="1"/>
  <c r="R161" i="27" s="1"/>
  <c r="R261" i="27" s="1"/>
  <c r="R160" i="27" a="1"/>
  <c r="R160" i="27" s="1"/>
  <c r="R260" i="27" s="1"/>
  <c r="C160" i="27" a="1"/>
  <c r="C160" i="27" s="1"/>
  <c r="C260" i="27" s="1"/>
  <c r="D159" i="27" a="1"/>
  <c r="D159" i="27" s="1"/>
  <c r="D259" i="27" s="1"/>
  <c r="E158" i="27" a="1"/>
  <c r="E158" i="27" s="1"/>
  <c r="E258" i="27" s="1"/>
  <c r="R156" i="27" a="1"/>
  <c r="R156" i="27" s="1"/>
  <c r="R256" i="27" s="1"/>
  <c r="R155" i="27" a="1"/>
  <c r="R155" i="27" s="1"/>
  <c r="R255" i="27" s="1"/>
  <c r="R154" i="27" a="1"/>
  <c r="R154" i="27" s="1"/>
  <c r="R254" i="27" s="1"/>
  <c r="N153" i="27" a="1"/>
  <c r="N153" i="27" s="1"/>
  <c r="N253" i="27" s="1"/>
  <c r="N152" i="27" a="1"/>
  <c r="N152" i="27" s="1"/>
  <c r="N252" i="27" s="1"/>
  <c r="N151" i="27" a="1"/>
  <c r="N151" i="27" s="1"/>
  <c r="N251" i="27" s="1"/>
  <c r="K150" i="27" a="1"/>
  <c r="K150" i="27" s="1"/>
  <c r="K250" i="27" s="1"/>
  <c r="K149" i="27" a="1"/>
  <c r="K149" i="27" s="1"/>
  <c r="K249" i="27" s="1"/>
  <c r="K148" i="27" a="1"/>
  <c r="K148" i="27" s="1"/>
  <c r="K248" i="27" s="1"/>
  <c r="H147" i="27" a="1"/>
  <c r="H147" i="27" s="1"/>
  <c r="H247" i="27" s="1"/>
  <c r="H146" i="27" a="1"/>
  <c r="H146" i="27" s="1"/>
  <c r="H246" i="27" s="1"/>
  <c r="G145" i="27" a="1"/>
  <c r="G145" i="27" s="1"/>
  <c r="R143" i="27" a="1"/>
  <c r="R143" i="27" s="1"/>
  <c r="R243" i="27" s="1"/>
  <c r="P142" i="27" a="1"/>
  <c r="P142" i="27" s="1"/>
  <c r="P242" i="27" s="1"/>
  <c r="K141" i="27" a="1"/>
  <c r="K141" i="27" s="1"/>
  <c r="K241" i="27" s="1"/>
  <c r="J140" i="27" a="1"/>
  <c r="J140" i="27" s="1"/>
  <c r="J240" i="27" s="1"/>
  <c r="E139" i="27" a="1"/>
  <c r="E139" i="27" s="1"/>
  <c r="E239" i="27" s="1"/>
  <c r="D138" i="27" a="1"/>
  <c r="D138" i="27" s="1"/>
  <c r="D238" i="27" s="1"/>
  <c r="N136" i="27" a="1"/>
  <c r="N136" i="27" s="1"/>
  <c r="N236" i="27" s="1"/>
  <c r="M135" i="27" a="1"/>
  <c r="M135" i="27" s="1"/>
  <c r="M235" i="27" s="1"/>
  <c r="H134" i="27" a="1"/>
  <c r="H134" i="27" s="1"/>
  <c r="H234" i="27" s="1"/>
  <c r="G133" i="27" a="1"/>
  <c r="G133" i="27" s="1"/>
  <c r="G233" i="27" s="1"/>
  <c r="R131" i="27" a="1"/>
  <c r="R131" i="27" s="1"/>
  <c r="R231" i="27" s="1"/>
  <c r="P130" i="27" a="1"/>
  <c r="P130" i="27" s="1"/>
  <c r="P230" i="27" s="1"/>
  <c r="K129" i="27" a="1"/>
  <c r="K129" i="27" s="1"/>
  <c r="K229" i="27" s="1"/>
  <c r="J128" i="27" a="1"/>
  <c r="J128" i="27" s="1"/>
  <c r="J228" i="27" s="1"/>
  <c r="E127" i="27" a="1"/>
  <c r="E127" i="27" s="1"/>
  <c r="E227" i="27" s="1"/>
  <c r="D126" i="27" a="1"/>
  <c r="D126" i="27" s="1"/>
  <c r="D226" i="27" s="1"/>
  <c r="N124" i="27" a="1"/>
  <c r="N124" i="27" s="1"/>
  <c r="N224" i="27" s="1"/>
  <c r="M123" i="27" a="1"/>
  <c r="M123" i="27" s="1"/>
  <c r="M223" i="27" s="1"/>
  <c r="H122" i="27" a="1"/>
  <c r="H122" i="27" s="1"/>
  <c r="H222" i="27" s="1"/>
  <c r="G121" i="27" a="1"/>
  <c r="G121" i="27" s="1"/>
  <c r="G221" i="27" s="1"/>
  <c r="R119" i="27" a="1"/>
  <c r="R119" i="27" s="1"/>
  <c r="R219" i="27" s="1"/>
  <c r="P118" i="27" a="1"/>
  <c r="P118" i="27" s="1"/>
  <c r="P218" i="27" s="1"/>
  <c r="K117" i="27" a="1"/>
  <c r="K117" i="27" s="1"/>
  <c r="K217" i="27" s="1"/>
  <c r="J116" i="27" a="1"/>
  <c r="J116" i="27" s="1"/>
  <c r="J216" i="27" s="1"/>
  <c r="E115" i="27" a="1"/>
  <c r="E115" i="27" s="1"/>
  <c r="E215" i="27" s="1"/>
  <c r="D114" i="27" a="1"/>
  <c r="D114" i="27" s="1"/>
  <c r="D214" i="27" s="1"/>
  <c r="N112" i="27" a="1"/>
  <c r="N112" i="27" s="1"/>
  <c r="N212" i="27" s="1"/>
  <c r="M111" i="27" a="1"/>
  <c r="M111" i="27" s="1"/>
  <c r="M211" i="27" s="1"/>
  <c r="H110" i="27" a="1"/>
  <c r="H110" i="27" s="1"/>
  <c r="H210" i="27" s="1"/>
  <c r="G109" i="27" a="1"/>
  <c r="G109" i="27" s="1"/>
  <c r="G209" i="27" s="1"/>
  <c r="R107" i="27" a="1"/>
  <c r="R107" i="27" s="1"/>
  <c r="R207" i="27" s="1"/>
  <c r="P106" i="27" a="1"/>
  <c r="P106" i="27" s="1"/>
  <c r="P206" i="27" s="1"/>
  <c r="K105" i="27" a="1"/>
  <c r="K105" i="27" s="1"/>
  <c r="K205" i="27" s="1"/>
  <c r="J104" i="27" a="1"/>
  <c r="J104" i="27" s="1"/>
  <c r="J204" i="27" s="1"/>
  <c r="E103" i="27" a="1"/>
  <c r="E103" i="27" s="1"/>
  <c r="E203" i="27" s="1"/>
  <c r="D102" i="27" a="1"/>
  <c r="D102" i="27" s="1"/>
  <c r="D202" i="27" s="1"/>
  <c r="Q145" i="27" a="1"/>
  <c r="Q145" i="27" s="1"/>
  <c r="Q245" i="27" s="1"/>
  <c r="Q123" i="27" a="1"/>
  <c r="Q123" i="27" s="1"/>
  <c r="Q223" i="27" s="1"/>
  <c r="O163" i="27" a="1"/>
  <c r="O163" i="27" s="1"/>
  <c r="O263" i="27" s="1"/>
  <c r="P162" i="27" a="1"/>
  <c r="P162" i="27" s="1"/>
  <c r="P262" i="27" s="1"/>
  <c r="P161" i="27" a="1"/>
  <c r="P161" i="27" s="1"/>
  <c r="P261" i="27" s="1"/>
  <c r="P160" i="27" a="1"/>
  <c r="P160" i="27" s="1"/>
  <c r="P260" i="27" s="1"/>
  <c r="R159" i="27" a="1"/>
  <c r="R159" i="27" s="1"/>
  <c r="R259" i="27" s="1"/>
  <c r="C159" i="27" a="1"/>
  <c r="C159" i="27" s="1"/>
  <c r="C259" i="27" s="1"/>
  <c r="D158" i="27" a="1"/>
  <c r="D158" i="27" s="1"/>
  <c r="D258" i="27" s="1"/>
  <c r="P156" i="27" a="1"/>
  <c r="P156" i="27" s="1"/>
  <c r="P256" i="27" s="1"/>
  <c r="P155" i="27" a="1"/>
  <c r="P155" i="27" s="1"/>
  <c r="P255" i="27" s="1"/>
  <c r="P154" i="27" a="1"/>
  <c r="P154" i="27" s="1"/>
  <c r="P254" i="27" s="1"/>
  <c r="M153" i="27" a="1"/>
  <c r="M153" i="27" s="1"/>
  <c r="M253" i="27" s="1"/>
  <c r="M152" i="27" a="1"/>
  <c r="M152" i="27" s="1"/>
  <c r="M252" i="27" s="1"/>
  <c r="M151" i="27" a="1"/>
  <c r="M151" i="27" s="1"/>
  <c r="M251" i="27" s="1"/>
  <c r="J150" i="27" a="1"/>
  <c r="J150" i="27" s="1"/>
  <c r="J250" i="27" s="1"/>
  <c r="J149" i="27" a="1"/>
  <c r="J149" i="27" s="1"/>
  <c r="J249" i="27" s="1"/>
  <c r="J148" i="27" a="1"/>
  <c r="J148" i="27" s="1"/>
  <c r="J248" i="27" s="1"/>
  <c r="G147" i="27" a="1"/>
  <c r="G147" i="27" s="1"/>
  <c r="G247" i="27" s="1"/>
  <c r="G146" i="27" a="1"/>
  <c r="G146" i="27" s="1"/>
  <c r="G246" i="27" s="1"/>
  <c r="R144" i="27" a="1"/>
  <c r="R144" i="27" s="1"/>
  <c r="R244" i="27" s="1"/>
  <c r="P143" i="27" a="1"/>
  <c r="P143" i="27" s="1"/>
  <c r="P243" i="27" s="1"/>
  <c r="K142" i="27" a="1"/>
  <c r="K142" i="27" s="1"/>
  <c r="K242" i="27" s="1"/>
  <c r="J141" i="27" a="1"/>
  <c r="J141" i="27" s="1"/>
  <c r="J241" i="27" s="1"/>
  <c r="E140" i="27" a="1"/>
  <c r="E140" i="27" s="1"/>
  <c r="E240" i="27" s="1"/>
  <c r="D139" i="27" a="1"/>
  <c r="D139" i="27" s="1"/>
  <c r="D239" i="27" s="1"/>
  <c r="N137" i="27" a="1"/>
  <c r="N137" i="27" s="1"/>
  <c r="N237" i="27" s="1"/>
  <c r="M136" i="27" a="1"/>
  <c r="M136" i="27" s="1"/>
  <c r="M236" i="27" s="1"/>
  <c r="H135" i="27" a="1"/>
  <c r="H135" i="27" s="1"/>
  <c r="H235" i="27" s="1"/>
  <c r="G134" i="27" a="1"/>
  <c r="G134" i="27" s="1"/>
  <c r="G234" i="27" s="1"/>
  <c r="R132" i="27" a="1"/>
  <c r="R132" i="27" s="1"/>
  <c r="R232" i="27" s="1"/>
  <c r="P131" i="27" a="1"/>
  <c r="P131" i="27" s="1"/>
  <c r="P231" i="27" s="1"/>
  <c r="K130" i="27" a="1"/>
  <c r="K130" i="27" s="1"/>
  <c r="K230" i="27" s="1"/>
  <c r="J129" i="27" a="1"/>
  <c r="J129" i="27" s="1"/>
  <c r="J229" i="27" s="1"/>
  <c r="E128" i="27" a="1"/>
  <c r="E128" i="27" s="1"/>
  <c r="E228" i="27" s="1"/>
  <c r="D127" i="27" a="1"/>
  <c r="D127" i="27" s="1"/>
  <c r="D227" i="27" s="1"/>
  <c r="N125" i="27" a="1"/>
  <c r="N125" i="27" s="1"/>
  <c r="N225" i="27" s="1"/>
  <c r="M124" i="27" a="1"/>
  <c r="M124" i="27" s="1"/>
  <c r="M224" i="27" s="1"/>
  <c r="H123" i="27" a="1"/>
  <c r="H123" i="27" s="1"/>
  <c r="H223" i="27" s="1"/>
  <c r="G122" i="27" a="1"/>
  <c r="G122" i="27" s="1"/>
  <c r="G222" i="27" s="1"/>
  <c r="R120" i="27" a="1"/>
  <c r="R120" i="27" s="1"/>
  <c r="R220" i="27" s="1"/>
  <c r="P119" i="27" a="1"/>
  <c r="P119" i="27" s="1"/>
  <c r="P219" i="27" s="1"/>
  <c r="K118" i="27" a="1"/>
  <c r="K118" i="27" s="1"/>
  <c r="K218" i="27" s="1"/>
  <c r="J117" i="27" a="1"/>
  <c r="J117" i="27" s="1"/>
  <c r="J217" i="27" s="1"/>
  <c r="E116" i="27" a="1"/>
  <c r="E116" i="27" s="1"/>
  <c r="E216" i="27" s="1"/>
  <c r="D115" i="27" a="1"/>
  <c r="D115" i="27" s="1"/>
  <c r="D215" i="27" s="1"/>
  <c r="N113" i="27" a="1"/>
  <c r="N113" i="27" s="1"/>
  <c r="N213" i="27" s="1"/>
  <c r="M112" i="27" a="1"/>
  <c r="M112" i="27" s="1"/>
  <c r="M212" i="27" s="1"/>
  <c r="H111" i="27" a="1"/>
  <c r="H111" i="27" s="1"/>
  <c r="H211" i="27" s="1"/>
  <c r="G110" i="27" a="1"/>
  <c r="G110" i="27" s="1"/>
  <c r="G210" i="27" s="1"/>
  <c r="R108" i="27" a="1"/>
  <c r="R108" i="27" s="1"/>
  <c r="R208" i="27" s="1"/>
  <c r="P107" i="27" a="1"/>
  <c r="P107" i="27" s="1"/>
  <c r="P207" i="27" s="1"/>
  <c r="K106" i="27" a="1"/>
  <c r="K106" i="27" s="1"/>
  <c r="K206" i="27" s="1"/>
  <c r="J105" i="27" a="1"/>
  <c r="J105" i="27" s="1"/>
  <c r="J205" i="27" s="1"/>
  <c r="E104" i="27" a="1"/>
  <c r="E104" i="27" s="1"/>
  <c r="E204" i="27" s="1"/>
  <c r="D103" i="27" a="1"/>
  <c r="D103" i="27" s="1"/>
  <c r="D203" i="27" s="1"/>
  <c r="Q161" i="27" a="1"/>
  <c r="Q161" i="27" s="1"/>
  <c r="Q261" i="27" s="1"/>
  <c r="Q144" i="27" a="1"/>
  <c r="Q144" i="27" s="1"/>
  <c r="Q244" i="27" s="1"/>
  <c r="Q122" i="27" a="1"/>
  <c r="Q122" i="27" s="1"/>
  <c r="Q222" i="27" s="1"/>
  <c r="N163" i="27" a="1"/>
  <c r="N163" i="27" s="1"/>
  <c r="N263" i="27" s="1"/>
  <c r="N162" i="27" a="1"/>
  <c r="N162" i="27" s="1"/>
  <c r="N262" i="27" s="1"/>
  <c r="N161" i="27" a="1"/>
  <c r="N161" i="27" s="1"/>
  <c r="N261" i="27" s="1"/>
  <c r="O160" i="27" a="1"/>
  <c r="O160" i="27" s="1"/>
  <c r="O260" i="27" s="1"/>
  <c r="P159" i="27" a="1"/>
  <c r="P159" i="27" s="1"/>
  <c r="P259" i="27" s="1"/>
  <c r="R158" i="27" a="1"/>
  <c r="R158" i="27" s="1"/>
  <c r="R258" i="27" s="1"/>
  <c r="P157" i="27" a="1"/>
  <c r="P157" i="27" s="1"/>
  <c r="P257" i="27" s="1"/>
  <c r="O156" i="27" a="1"/>
  <c r="O156" i="27" s="1"/>
  <c r="O256" i="27" s="1"/>
  <c r="O155" i="27" a="1"/>
  <c r="O155" i="27" s="1"/>
  <c r="O255" i="27" s="1"/>
  <c r="M154" i="27" a="1"/>
  <c r="M154" i="27" s="1"/>
  <c r="M254" i="27" s="1"/>
  <c r="L153" i="27" a="1"/>
  <c r="L153" i="27" s="1"/>
  <c r="L253" i="27" s="1"/>
  <c r="L152" i="27" a="1"/>
  <c r="L152" i="27" s="1"/>
  <c r="L252" i="27" s="1"/>
  <c r="J151" i="27" a="1"/>
  <c r="J151" i="27" s="1"/>
  <c r="J251" i="27" s="1"/>
  <c r="I150" i="27" a="1"/>
  <c r="I150" i="27" s="1"/>
  <c r="I250" i="27" s="1"/>
  <c r="I149" i="27" a="1"/>
  <c r="I149" i="27" s="1"/>
  <c r="I249" i="27" s="1"/>
  <c r="G148" i="27" a="1"/>
  <c r="G148" i="27" s="1"/>
  <c r="G248" i="27" s="1"/>
  <c r="F147" i="27" a="1"/>
  <c r="F147" i="27" s="1"/>
  <c r="F247" i="27" s="1"/>
  <c r="F146" i="27" a="1"/>
  <c r="F146" i="27" s="1"/>
  <c r="F246" i="27" s="1"/>
  <c r="P144" i="27" a="1"/>
  <c r="P144" i="27" s="1"/>
  <c r="P244" i="27" s="1"/>
  <c r="O143" i="27" a="1"/>
  <c r="O143" i="27" s="1"/>
  <c r="O243" i="27" s="1"/>
  <c r="J142" i="27" a="1"/>
  <c r="J142" i="27" s="1"/>
  <c r="J242" i="27" s="1"/>
  <c r="I141" i="27" a="1"/>
  <c r="I141" i="27" s="1"/>
  <c r="I241" i="27" s="1"/>
  <c r="D140" i="27" a="1"/>
  <c r="D140" i="27" s="1"/>
  <c r="D240" i="27" s="1"/>
  <c r="C139" i="27" a="1"/>
  <c r="C139" i="27" s="1"/>
  <c r="C239" i="27" s="1"/>
  <c r="M137" i="27" a="1"/>
  <c r="M137" i="27" s="1"/>
  <c r="M237" i="27" s="1"/>
  <c r="L136" i="27" a="1"/>
  <c r="L136" i="27" s="1"/>
  <c r="L236" i="27" s="1"/>
  <c r="G135" i="27" a="1"/>
  <c r="G135" i="27" s="1"/>
  <c r="G235" i="27" s="1"/>
  <c r="F134" i="27" a="1"/>
  <c r="F134" i="27" s="1"/>
  <c r="F234" i="27" s="1"/>
  <c r="P132" i="27" a="1"/>
  <c r="P132" i="27" s="1"/>
  <c r="P232" i="27" s="1"/>
  <c r="O131" i="27" a="1"/>
  <c r="O131" i="27" s="1"/>
  <c r="O231" i="27" s="1"/>
  <c r="J130" i="27" a="1"/>
  <c r="J130" i="27" s="1"/>
  <c r="J230" i="27" s="1"/>
  <c r="I129" i="27" a="1"/>
  <c r="I129" i="27" s="1"/>
  <c r="I229" i="27" s="1"/>
  <c r="D128" i="27" a="1"/>
  <c r="D128" i="27" s="1"/>
  <c r="D228" i="27" s="1"/>
  <c r="C127" i="27" a="1"/>
  <c r="C127" i="27" s="1"/>
  <c r="C227" i="27" s="1"/>
  <c r="M125" i="27" a="1"/>
  <c r="M125" i="27" s="1"/>
  <c r="M225" i="27" s="1"/>
  <c r="L124" i="27" a="1"/>
  <c r="L124" i="27" s="1"/>
  <c r="L224" i="27" s="1"/>
  <c r="G123" i="27" a="1"/>
  <c r="G123" i="27" s="1"/>
  <c r="G223" i="27" s="1"/>
  <c r="F122" i="27" a="1"/>
  <c r="F122" i="27" s="1"/>
  <c r="F222" i="27" s="1"/>
  <c r="P120" i="27" a="1"/>
  <c r="P120" i="27" s="1"/>
  <c r="P220" i="27" s="1"/>
  <c r="O119" i="27" a="1"/>
  <c r="O119" i="27" s="1"/>
  <c r="O219" i="27" s="1"/>
  <c r="J118" i="27" a="1"/>
  <c r="J118" i="27" s="1"/>
  <c r="J218" i="27" s="1"/>
  <c r="I117" i="27" a="1"/>
  <c r="I117" i="27" s="1"/>
  <c r="I217" i="27" s="1"/>
  <c r="D116" i="27" a="1"/>
  <c r="D116" i="27" s="1"/>
  <c r="D216" i="27" s="1"/>
  <c r="C115" i="27" a="1"/>
  <c r="C115" i="27" s="1"/>
  <c r="C215" i="27" s="1"/>
  <c r="M113" i="27" a="1"/>
  <c r="M113" i="27" s="1"/>
  <c r="M213" i="27" s="1"/>
  <c r="L112" i="27" a="1"/>
  <c r="L112" i="27" s="1"/>
  <c r="L212" i="27" s="1"/>
  <c r="G111" i="27" a="1"/>
  <c r="G111" i="27" s="1"/>
  <c r="G211" i="27" s="1"/>
  <c r="F110" i="27" a="1"/>
  <c r="F110" i="27" s="1"/>
  <c r="F210" i="27" s="1"/>
  <c r="P108" i="27" a="1"/>
  <c r="P108" i="27" s="1"/>
  <c r="P208" i="27" s="1"/>
  <c r="O107" i="27" a="1"/>
  <c r="O107" i="27" s="1"/>
  <c r="O207" i="27" s="1"/>
  <c r="J106" i="27" a="1"/>
  <c r="J106" i="27" s="1"/>
  <c r="J206" i="27" s="1"/>
  <c r="I105" i="27" a="1"/>
  <c r="I105" i="27" s="1"/>
  <c r="I205" i="27" s="1"/>
  <c r="D104" i="27" a="1"/>
  <c r="D104" i="27" s="1"/>
  <c r="D204" i="27" s="1"/>
  <c r="C103" i="27" a="1"/>
  <c r="C103" i="27" s="1"/>
  <c r="C203" i="27" s="1"/>
  <c r="Q160" i="27" a="1"/>
  <c r="Q160" i="27" s="1"/>
  <c r="Q260" i="27" s="1"/>
  <c r="Q142" i="27" a="1"/>
  <c r="Q142" i="27" s="1"/>
  <c r="Q242" i="27" s="1"/>
  <c r="Q121" i="27" a="1"/>
  <c r="Q121" i="27" s="1"/>
  <c r="Q221" i="27" s="1"/>
  <c r="M162" i="27" a="1"/>
  <c r="M162" i="27" s="1"/>
  <c r="M262" i="27" s="1"/>
  <c r="M161" i="27" a="1"/>
  <c r="M161" i="27" s="1"/>
  <c r="M261" i="27" s="1"/>
  <c r="N160" i="27" a="1"/>
  <c r="N160" i="27" s="1"/>
  <c r="N260" i="27" s="1"/>
  <c r="O159" i="27" a="1"/>
  <c r="O159" i="27" s="1"/>
  <c r="O259" i="27" s="1"/>
  <c r="P158" i="27" a="1"/>
  <c r="P158" i="27" s="1"/>
  <c r="P258" i="27" s="1"/>
  <c r="N157" i="27" a="1"/>
  <c r="N157" i="27" s="1"/>
  <c r="N257" i="27" s="1"/>
  <c r="N156" i="27" a="1"/>
  <c r="N156" i="27" s="1"/>
  <c r="N256" i="27" s="1"/>
  <c r="N155" i="27" a="1"/>
  <c r="N155" i="27" s="1"/>
  <c r="N255" i="27" s="1"/>
  <c r="K154" i="27" a="1"/>
  <c r="K154" i="27" s="1"/>
  <c r="K254" i="27" s="1"/>
  <c r="K153" i="27" a="1"/>
  <c r="K153" i="27" s="1"/>
  <c r="K253" i="27" s="1"/>
  <c r="K152" i="27" a="1"/>
  <c r="K152" i="27" s="1"/>
  <c r="K252" i="27" s="1"/>
  <c r="H151" i="27" a="1"/>
  <c r="H151" i="27" s="1"/>
  <c r="H251" i="27" s="1"/>
  <c r="H150" i="27" a="1"/>
  <c r="H150" i="27" s="1"/>
  <c r="H250" i="27" s="1"/>
  <c r="H149" i="27" a="1"/>
  <c r="H149" i="27" s="1"/>
  <c r="H249" i="27" s="1"/>
  <c r="E148" i="27" a="1"/>
  <c r="E148" i="27" s="1"/>
  <c r="E248" i="27" s="1"/>
  <c r="E147" i="27" a="1"/>
  <c r="E147" i="27" s="1"/>
  <c r="E247" i="27" s="1"/>
  <c r="E146" i="27" a="1"/>
  <c r="E146" i="27" s="1"/>
  <c r="E246" i="27" s="1"/>
  <c r="O144" i="27" a="1"/>
  <c r="O144" i="27" s="1"/>
  <c r="O244" i="27" s="1"/>
  <c r="N143" i="27" a="1"/>
  <c r="N143" i="27" s="1"/>
  <c r="N243" i="27" s="1"/>
  <c r="I142" i="27" a="1"/>
  <c r="I142" i="27" s="1"/>
  <c r="I242" i="27" s="1"/>
  <c r="H141" i="27" a="1"/>
  <c r="H141" i="27" s="1"/>
  <c r="H241" i="27" s="1"/>
  <c r="C140" i="27" a="1"/>
  <c r="C140" i="27" s="1"/>
  <c r="C240" i="27" s="1"/>
  <c r="R138" i="27" a="1"/>
  <c r="R138" i="27" s="1"/>
  <c r="R238" i="27" s="1"/>
  <c r="L137" i="27" a="1"/>
  <c r="L137" i="27" s="1"/>
  <c r="L237" i="27" s="1"/>
  <c r="K136" i="27" a="1"/>
  <c r="K136" i="27" s="1"/>
  <c r="K236" i="27" s="1"/>
  <c r="F135" i="27" a="1"/>
  <c r="F135" i="27" s="1"/>
  <c r="F235" i="27" s="1"/>
  <c r="E134" i="27" a="1"/>
  <c r="E134" i="27" s="1"/>
  <c r="E234" i="27" s="1"/>
  <c r="O132" i="27" a="1"/>
  <c r="O132" i="27" s="1"/>
  <c r="O232" i="27" s="1"/>
  <c r="N131" i="27" a="1"/>
  <c r="N131" i="27" s="1"/>
  <c r="N231" i="27" s="1"/>
  <c r="I130" i="27" a="1"/>
  <c r="I130" i="27" s="1"/>
  <c r="I230" i="27" s="1"/>
  <c r="H129" i="27" a="1"/>
  <c r="H129" i="27" s="1"/>
  <c r="H229" i="27" s="1"/>
  <c r="C128" i="27" a="1"/>
  <c r="C128" i="27" s="1"/>
  <c r="C228" i="27" s="1"/>
  <c r="R126" i="27" a="1"/>
  <c r="R126" i="27" s="1"/>
  <c r="R226" i="27" s="1"/>
  <c r="L125" i="27" a="1"/>
  <c r="L125" i="27" s="1"/>
  <c r="L225" i="27" s="1"/>
  <c r="K124" i="27" a="1"/>
  <c r="K124" i="27" s="1"/>
  <c r="K224" i="27" s="1"/>
  <c r="F123" i="27" a="1"/>
  <c r="F123" i="27" s="1"/>
  <c r="F223" i="27" s="1"/>
  <c r="E122" i="27" a="1"/>
  <c r="E122" i="27" s="1"/>
  <c r="E222" i="27" s="1"/>
  <c r="O120" i="27" a="1"/>
  <c r="O120" i="27" s="1"/>
  <c r="O220" i="27" s="1"/>
  <c r="N119" i="27" a="1"/>
  <c r="N119" i="27" s="1"/>
  <c r="N219" i="27" s="1"/>
  <c r="I118" i="27" a="1"/>
  <c r="I118" i="27" s="1"/>
  <c r="I218" i="27" s="1"/>
  <c r="H117" i="27" a="1"/>
  <c r="H117" i="27" s="1"/>
  <c r="H217" i="27" s="1"/>
  <c r="C116" i="27" a="1"/>
  <c r="C116" i="27" s="1"/>
  <c r="C216" i="27" s="1"/>
  <c r="R114" i="27" a="1"/>
  <c r="R114" i="27" s="1"/>
  <c r="R214" i="27" s="1"/>
  <c r="L113" i="27" a="1"/>
  <c r="L113" i="27" s="1"/>
  <c r="L213" i="27" s="1"/>
  <c r="K112" i="27" a="1"/>
  <c r="K112" i="27" s="1"/>
  <c r="K212" i="27" s="1"/>
  <c r="F111" i="27" a="1"/>
  <c r="F111" i="27" s="1"/>
  <c r="F211" i="27" s="1"/>
  <c r="E110" i="27" a="1"/>
  <c r="E110" i="27" s="1"/>
  <c r="E210" i="27" s="1"/>
  <c r="O108" i="27" a="1"/>
  <c r="O108" i="27" s="1"/>
  <c r="O208" i="27" s="1"/>
  <c r="N107" i="27" a="1"/>
  <c r="N107" i="27" s="1"/>
  <c r="N207" i="27" s="1"/>
  <c r="I106" i="27" a="1"/>
  <c r="I106" i="27" s="1"/>
  <c r="I206" i="27" s="1"/>
  <c r="H105" i="27" a="1"/>
  <c r="H105" i="27" s="1"/>
  <c r="H205" i="27" s="1"/>
  <c r="C104" i="27" a="1"/>
  <c r="C104" i="27" s="1"/>
  <c r="C204" i="27" s="1"/>
  <c r="R102" i="27" a="1"/>
  <c r="R102" i="27" s="1"/>
  <c r="R202" i="27" s="1"/>
  <c r="Q159" i="27" a="1"/>
  <c r="Q159" i="27" s="1"/>
  <c r="Q259" i="27" s="1"/>
  <c r="Q137" i="27" a="1"/>
  <c r="Q137" i="27" s="1"/>
  <c r="Q237" i="27" s="1"/>
  <c r="Q120" i="27" a="1"/>
  <c r="Q120" i="27" s="1"/>
  <c r="Q220" i="27" s="1"/>
  <c r="M163" i="27" a="1"/>
  <c r="M163" i="27" s="1"/>
  <c r="M263" i="27" s="1"/>
  <c r="K163" i="27" a="1"/>
  <c r="K163" i="27" s="1"/>
  <c r="K263" i="27" s="1"/>
  <c r="K162" i="27" a="1"/>
  <c r="K162" i="27" s="1"/>
  <c r="K262" i="27" s="1"/>
  <c r="L161" i="27" a="1"/>
  <c r="L161" i="27" s="1"/>
  <c r="L261" i="27" s="1"/>
  <c r="M160" i="27" a="1"/>
  <c r="M160" i="27" s="1"/>
  <c r="M260" i="27" s="1"/>
  <c r="N159" i="27" a="1"/>
  <c r="N159" i="27" s="1"/>
  <c r="N259" i="27" s="1"/>
  <c r="N158" i="27" a="1"/>
  <c r="N158" i="27" s="1"/>
  <c r="N258" i="27" s="1"/>
  <c r="M157" i="27" a="1"/>
  <c r="M157" i="27" s="1"/>
  <c r="M257" i="27" s="1"/>
  <c r="M156" i="27" a="1"/>
  <c r="M156" i="27" s="1"/>
  <c r="M256" i="27" s="1"/>
  <c r="M155" i="27" a="1"/>
  <c r="M155" i="27" s="1"/>
  <c r="M255" i="27" s="1"/>
  <c r="J154" i="27" a="1"/>
  <c r="J154" i="27" s="1"/>
  <c r="J254" i="27" s="1"/>
  <c r="J153" i="27" a="1"/>
  <c r="J153" i="27" s="1"/>
  <c r="J253" i="27" s="1"/>
  <c r="J152" i="27" a="1"/>
  <c r="J152" i="27" s="1"/>
  <c r="J252" i="27" s="1"/>
  <c r="G151" i="27" a="1"/>
  <c r="G151" i="27" s="1"/>
  <c r="G251" i="27" s="1"/>
  <c r="G150" i="27" a="1"/>
  <c r="G150" i="27" s="1"/>
  <c r="G250" i="27" s="1"/>
  <c r="G149" i="27" a="1"/>
  <c r="G149" i="27" s="1"/>
  <c r="G249" i="27" s="1"/>
  <c r="D148" i="27" a="1"/>
  <c r="D148" i="27" s="1"/>
  <c r="D248" i="27" s="1"/>
  <c r="D147" i="27" a="1"/>
  <c r="D147" i="27" s="1"/>
  <c r="D247" i="27" s="1"/>
  <c r="D146" i="27" a="1"/>
  <c r="D146" i="27" s="1"/>
  <c r="D246" i="27" s="1"/>
  <c r="N144" i="27" a="1"/>
  <c r="N144" i="27" s="1"/>
  <c r="N244" i="27" s="1"/>
  <c r="M143" i="27" a="1"/>
  <c r="M143" i="27" s="1"/>
  <c r="M243" i="27" s="1"/>
  <c r="H142" i="27" a="1"/>
  <c r="H142" i="27" s="1"/>
  <c r="H242" i="27" s="1"/>
  <c r="G141" i="27" a="1"/>
  <c r="G141" i="27" s="1"/>
  <c r="G241" i="27" s="1"/>
  <c r="R139" i="27" a="1"/>
  <c r="R139" i="27" s="1"/>
  <c r="R239" i="27" s="1"/>
  <c r="P138" i="27" a="1"/>
  <c r="P138" i="27" s="1"/>
  <c r="P238" i="27" s="1"/>
  <c r="K137" i="27" a="1"/>
  <c r="K137" i="27" s="1"/>
  <c r="K237" i="27" s="1"/>
  <c r="J136" i="27" a="1"/>
  <c r="J136" i="27" s="1"/>
  <c r="J236" i="27" s="1"/>
  <c r="E135" i="27" a="1"/>
  <c r="E135" i="27" s="1"/>
  <c r="E235" i="27" s="1"/>
  <c r="D134" i="27" a="1"/>
  <c r="D134" i="27" s="1"/>
  <c r="D234" i="27" s="1"/>
  <c r="N132" i="27" a="1"/>
  <c r="N132" i="27" s="1"/>
  <c r="N232" i="27" s="1"/>
  <c r="M131" i="27" a="1"/>
  <c r="M131" i="27" s="1"/>
  <c r="M231" i="27" s="1"/>
  <c r="H130" i="27" a="1"/>
  <c r="H130" i="27" s="1"/>
  <c r="H230" i="27" s="1"/>
  <c r="G129" i="27" a="1"/>
  <c r="G129" i="27" s="1"/>
  <c r="G229" i="27" s="1"/>
  <c r="R127" i="27" a="1"/>
  <c r="R127" i="27" s="1"/>
  <c r="R227" i="27" s="1"/>
  <c r="P126" i="27" a="1"/>
  <c r="P126" i="27" s="1"/>
  <c r="P226" i="27" s="1"/>
  <c r="K125" i="27" a="1"/>
  <c r="K125" i="27" s="1"/>
  <c r="K225" i="27" s="1"/>
  <c r="J124" i="27" a="1"/>
  <c r="J124" i="27" s="1"/>
  <c r="J224" i="27" s="1"/>
  <c r="E123" i="27" a="1"/>
  <c r="E123" i="27" s="1"/>
  <c r="E223" i="27" s="1"/>
  <c r="D122" i="27" a="1"/>
  <c r="D122" i="27" s="1"/>
  <c r="D222" i="27" s="1"/>
  <c r="N120" i="27" a="1"/>
  <c r="N120" i="27" s="1"/>
  <c r="N220" i="27" s="1"/>
  <c r="M119" i="27" a="1"/>
  <c r="M119" i="27" s="1"/>
  <c r="M219" i="27" s="1"/>
  <c r="H118" i="27" a="1"/>
  <c r="H118" i="27" s="1"/>
  <c r="H218" i="27" s="1"/>
  <c r="G117" i="27" a="1"/>
  <c r="G117" i="27" s="1"/>
  <c r="G217" i="27" s="1"/>
  <c r="R115" i="27" a="1"/>
  <c r="R115" i="27" s="1"/>
  <c r="R215" i="27" s="1"/>
  <c r="P114" i="27" a="1"/>
  <c r="P114" i="27" s="1"/>
  <c r="P214" i="27" s="1"/>
  <c r="K113" i="27" a="1"/>
  <c r="K113" i="27" s="1"/>
  <c r="K213" i="27" s="1"/>
  <c r="J112" i="27" a="1"/>
  <c r="J112" i="27" s="1"/>
  <c r="J212" i="27" s="1"/>
  <c r="E111" i="27" a="1"/>
  <c r="E111" i="27" s="1"/>
  <c r="E211" i="27" s="1"/>
  <c r="D110" i="27" a="1"/>
  <c r="D110" i="27" s="1"/>
  <c r="D210" i="27" s="1"/>
  <c r="N108" i="27" a="1"/>
  <c r="N108" i="27" s="1"/>
  <c r="N208" i="27" s="1"/>
  <c r="M107" i="27" a="1"/>
  <c r="M107" i="27" s="1"/>
  <c r="M207" i="27" s="1"/>
  <c r="H106" i="27" a="1"/>
  <c r="H106" i="27" s="1"/>
  <c r="H206" i="27" s="1"/>
  <c r="G105" i="27" a="1"/>
  <c r="G105" i="27" s="1"/>
  <c r="G205" i="27" s="1"/>
  <c r="R103" i="27" a="1"/>
  <c r="R103" i="27" s="1"/>
  <c r="R203" i="27" s="1"/>
  <c r="P102" i="27" a="1"/>
  <c r="P102" i="27" s="1"/>
  <c r="P202" i="27" s="1"/>
  <c r="Q158" i="27" a="1"/>
  <c r="Q158" i="27" s="1"/>
  <c r="Q258" i="27" s="1"/>
  <c r="Q136" i="27" a="1"/>
  <c r="Q136" i="27" s="1"/>
  <c r="Q236" i="27" s="1"/>
  <c r="Q118" i="27" a="1"/>
  <c r="Q118" i="27" s="1"/>
  <c r="Q218" i="27" s="1"/>
  <c r="J163" i="27" a="1"/>
  <c r="J163" i="27" s="1"/>
  <c r="J263" i="27" s="1"/>
  <c r="J162" i="27" a="1"/>
  <c r="J162" i="27" s="1"/>
  <c r="J262" i="27" s="1"/>
  <c r="K161" i="27" a="1"/>
  <c r="K161" i="27" s="1"/>
  <c r="K261" i="27" s="1"/>
  <c r="L160" i="27" a="1"/>
  <c r="L160" i="27" s="1"/>
  <c r="L260" i="27" s="1"/>
  <c r="M159" i="27" a="1"/>
  <c r="M159" i="27" s="1"/>
  <c r="M259" i="27" s="1"/>
  <c r="M158" i="27" a="1"/>
  <c r="M158" i="27" s="1"/>
  <c r="M258" i="27" s="1"/>
  <c r="L157" i="27" a="1"/>
  <c r="L157" i="27" s="1"/>
  <c r="L257" i="27" s="1"/>
  <c r="L156" i="27" a="1"/>
  <c r="L156" i="27" s="1"/>
  <c r="L256" i="27" s="1"/>
  <c r="J155" i="27" a="1"/>
  <c r="J155" i="27" s="1"/>
  <c r="J255" i="27" s="1"/>
  <c r="I154" i="27" a="1"/>
  <c r="I154" i="27" s="1"/>
  <c r="I254" i="27" s="1"/>
  <c r="I153" i="27" a="1"/>
  <c r="I153" i="27" s="1"/>
  <c r="I253" i="27" s="1"/>
  <c r="G152" i="27" a="1"/>
  <c r="G152" i="27" s="1"/>
  <c r="G252" i="27" s="1"/>
  <c r="F151" i="27" a="1"/>
  <c r="F151" i="27" s="1"/>
  <c r="F251" i="27" s="1"/>
  <c r="F150" i="27" a="1"/>
  <c r="F150" i="27" s="1"/>
  <c r="F250" i="27" s="1"/>
  <c r="D149" i="27" a="1"/>
  <c r="D149" i="27" s="1"/>
  <c r="D249" i="27" s="1"/>
  <c r="C148" i="27" a="1"/>
  <c r="C148" i="27" s="1"/>
  <c r="C248" i="27" s="1"/>
  <c r="C147" i="27" a="1"/>
  <c r="C147" i="27" s="1"/>
  <c r="C247" i="27" s="1"/>
  <c r="N145" i="27" a="1"/>
  <c r="N145" i="27" s="1"/>
  <c r="M144" i="27" a="1"/>
  <c r="M144" i="27" s="1"/>
  <c r="M244" i="27" s="1"/>
  <c r="H143" i="27" a="1"/>
  <c r="H143" i="27" s="1"/>
  <c r="H243" i="27" s="1"/>
  <c r="G142" i="27" a="1"/>
  <c r="G142" i="27" s="1"/>
  <c r="G242" i="27" s="1"/>
  <c r="R140" i="27" a="1"/>
  <c r="R140" i="27" s="1"/>
  <c r="R240" i="27" s="1"/>
  <c r="P139" i="27" a="1"/>
  <c r="P139" i="27" s="1"/>
  <c r="P239" i="27" s="1"/>
  <c r="K138" i="27" a="1"/>
  <c r="K138" i="27" s="1"/>
  <c r="K238" i="27" s="1"/>
  <c r="J137" i="27" a="1"/>
  <c r="J137" i="27" s="1"/>
  <c r="J237" i="27" s="1"/>
  <c r="E136" i="27" a="1"/>
  <c r="E136" i="27" s="1"/>
  <c r="E236" i="27" s="1"/>
  <c r="D135" i="27" a="1"/>
  <c r="D135" i="27" s="1"/>
  <c r="D235" i="27" s="1"/>
  <c r="N133" i="27" a="1"/>
  <c r="N133" i="27" s="1"/>
  <c r="N233" i="27" s="1"/>
  <c r="M132" i="27" a="1"/>
  <c r="M132" i="27" s="1"/>
  <c r="M232" i="27" s="1"/>
  <c r="H131" i="27" a="1"/>
  <c r="H131" i="27" s="1"/>
  <c r="H231" i="27" s="1"/>
  <c r="G130" i="27" a="1"/>
  <c r="G130" i="27" s="1"/>
  <c r="G230" i="27" s="1"/>
  <c r="R128" i="27" a="1"/>
  <c r="R128" i="27" s="1"/>
  <c r="R228" i="27" s="1"/>
  <c r="P127" i="27" a="1"/>
  <c r="P127" i="27" s="1"/>
  <c r="P227" i="27" s="1"/>
  <c r="K126" i="27" a="1"/>
  <c r="K126" i="27" s="1"/>
  <c r="K226" i="27" s="1"/>
  <c r="J125" i="27" a="1"/>
  <c r="J125" i="27" s="1"/>
  <c r="J225" i="27" s="1"/>
  <c r="E124" i="27" a="1"/>
  <c r="E124" i="27" s="1"/>
  <c r="E224" i="27" s="1"/>
  <c r="D123" i="27" a="1"/>
  <c r="D123" i="27" s="1"/>
  <c r="D223" i="27" s="1"/>
  <c r="N121" i="27" a="1"/>
  <c r="N121" i="27" s="1"/>
  <c r="N221" i="27" s="1"/>
  <c r="M120" i="27" a="1"/>
  <c r="M120" i="27" s="1"/>
  <c r="M220" i="27" s="1"/>
  <c r="H119" i="27" a="1"/>
  <c r="H119" i="27" s="1"/>
  <c r="H219" i="27" s="1"/>
  <c r="G118" i="27" a="1"/>
  <c r="G118" i="27" s="1"/>
  <c r="G218" i="27" s="1"/>
  <c r="R116" i="27" a="1"/>
  <c r="R116" i="27" s="1"/>
  <c r="R216" i="27" s="1"/>
  <c r="P115" i="27" a="1"/>
  <c r="P115" i="27" s="1"/>
  <c r="P215" i="27" s="1"/>
  <c r="K114" i="27" a="1"/>
  <c r="K114" i="27" s="1"/>
  <c r="K214" i="27" s="1"/>
  <c r="J113" i="27" a="1"/>
  <c r="J113" i="27" s="1"/>
  <c r="J213" i="27" s="1"/>
  <c r="E112" i="27" a="1"/>
  <c r="E112" i="27" s="1"/>
  <c r="E212" i="27" s="1"/>
  <c r="D111" i="27" a="1"/>
  <c r="D111" i="27" s="1"/>
  <c r="D211" i="27" s="1"/>
  <c r="N109" i="27" a="1"/>
  <c r="N109" i="27" s="1"/>
  <c r="N209" i="27" s="1"/>
  <c r="M108" i="27" a="1"/>
  <c r="M108" i="27" s="1"/>
  <c r="M208" i="27" s="1"/>
  <c r="H107" i="27" a="1"/>
  <c r="H107" i="27" s="1"/>
  <c r="H207" i="27" s="1"/>
  <c r="G106" i="27" a="1"/>
  <c r="G106" i="27" s="1"/>
  <c r="G206" i="27" s="1"/>
  <c r="R104" i="27" a="1"/>
  <c r="R104" i="27" s="1"/>
  <c r="R204" i="27" s="1"/>
  <c r="P103" i="27" a="1"/>
  <c r="P103" i="27" s="1"/>
  <c r="P203" i="27" s="1"/>
  <c r="K102" i="27" a="1"/>
  <c r="K102" i="27" s="1"/>
  <c r="K202" i="27" s="1"/>
  <c r="Q157" i="27" a="1"/>
  <c r="Q157" i="27" s="1"/>
  <c r="Q257" i="27" s="1"/>
  <c r="Q135" i="27" a="1"/>
  <c r="Q135" i="27" s="1"/>
  <c r="Q235" i="27" s="1"/>
  <c r="Q113" i="27" a="1"/>
  <c r="Q113" i="27" s="1"/>
  <c r="Q213" i="27" s="1"/>
  <c r="H163" i="27" a="1"/>
  <c r="H163" i="27" s="1"/>
  <c r="H263" i="27" s="1"/>
  <c r="I162" i="27" a="1"/>
  <c r="I162" i="27" s="1"/>
  <c r="I262" i="27" s="1"/>
  <c r="J161" i="27" a="1"/>
  <c r="J161" i="27" s="1"/>
  <c r="J261" i="27" s="1"/>
  <c r="K160" i="27" a="1"/>
  <c r="K160" i="27" s="1"/>
  <c r="K260" i="27" s="1"/>
  <c r="K159" i="27" a="1"/>
  <c r="K159" i="27" s="1"/>
  <c r="K259" i="27" s="1"/>
  <c r="K158" i="27" a="1"/>
  <c r="K158" i="27" s="1"/>
  <c r="K258" i="27" s="1"/>
  <c r="K157" i="27" a="1"/>
  <c r="K157" i="27" s="1"/>
  <c r="K257" i="27" s="1"/>
  <c r="K156" i="27" a="1"/>
  <c r="K156" i="27" s="1"/>
  <c r="K256" i="27" s="1"/>
  <c r="H155" i="27" a="1"/>
  <c r="H155" i="27" s="1"/>
  <c r="H255" i="27" s="1"/>
  <c r="H154" i="27" a="1"/>
  <c r="H154" i="27" s="1"/>
  <c r="H254" i="27" s="1"/>
  <c r="H153" i="27" a="1"/>
  <c r="H153" i="27" s="1"/>
  <c r="H253" i="27" s="1"/>
  <c r="E152" i="27" a="1"/>
  <c r="E152" i="27" s="1"/>
  <c r="E252" i="27" s="1"/>
  <c r="E151" i="27" a="1"/>
  <c r="E151" i="27" s="1"/>
  <c r="E251" i="27" s="1"/>
  <c r="E150" i="27" a="1"/>
  <c r="E150" i="27" s="1"/>
  <c r="E250" i="27" s="1"/>
  <c r="R148" i="27" a="1"/>
  <c r="R148" i="27" s="1"/>
  <c r="R248" i="27" s="1"/>
  <c r="R147" i="27" a="1"/>
  <c r="R147" i="27" s="1"/>
  <c r="R247" i="27" s="1"/>
  <c r="R146" i="27" a="1"/>
  <c r="R146" i="27" s="1"/>
  <c r="R246" i="27" s="1"/>
  <c r="M145" i="27" a="1"/>
  <c r="M145" i="27" s="1"/>
  <c r="L144" i="27" a="1"/>
  <c r="L144" i="27" s="1"/>
  <c r="L244" i="27" s="1"/>
  <c r="G143" i="27" a="1"/>
  <c r="G143" i="27" s="1"/>
  <c r="G243" i="27" s="1"/>
  <c r="F142" i="27" a="1"/>
  <c r="F142" i="27" s="1"/>
  <c r="F242" i="27" s="1"/>
  <c r="P140" i="27" a="1"/>
  <c r="P140" i="27" s="1"/>
  <c r="P240" i="27" s="1"/>
  <c r="O139" i="27" a="1"/>
  <c r="O139" i="27" s="1"/>
  <c r="O239" i="27" s="1"/>
  <c r="J138" i="27" a="1"/>
  <c r="J138" i="27" s="1"/>
  <c r="J238" i="27" s="1"/>
  <c r="I137" i="27" a="1"/>
  <c r="I137" i="27" s="1"/>
  <c r="I237" i="27" s="1"/>
  <c r="D136" i="27" a="1"/>
  <c r="D136" i="27" s="1"/>
  <c r="D236" i="27" s="1"/>
  <c r="C135" i="27" a="1"/>
  <c r="C135" i="27" s="1"/>
  <c r="C235" i="27" s="1"/>
  <c r="M133" i="27" a="1"/>
  <c r="M133" i="27" s="1"/>
  <c r="M233" i="27" s="1"/>
  <c r="L132" i="27" a="1"/>
  <c r="L132" i="27" s="1"/>
  <c r="L232" i="27" s="1"/>
  <c r="G131" i="27" a="1"/>
  <c r="G131" i="27" s="1"/>
  <c r="G231" i="27" s="1"/>
  <c r="F130" i="27" a="1"/>
  <c r="F130" i="27" s="1"/>
  <c r="F230" i="27" s="1"/>
  <c r="P128" i="27" a="1"/>
  <c r="P128" i="27" s="1"/>
  <c r="P228" i="27" s="1"/>
  <c r="O127" i="27" a="1"/>
  <c r="O127" i="27" s="1"/>
  <c r="O227" i="27" s="1"/>
  <c r="J126" i="27" a="1"/>
  <c r="J126" i="27" s="1"/>
  <c r="J226" i="27" s="1"/>
  <c r="I125" i="27" a="1"/>
  <c r="I125" i="27" s="1"/>
  <c r="I225" i="27" s="1"/>
  <c r="D124" i="27" a="1"/>
  <c r="D124" i="27" s="1"/>
  <c r="D224" i="27" s="1"/>
  <c r="C123" i="27" a="1"/>
  <c r="C123" i="27" s="1"/>
  <c r="C223" i="27" s="1"/>
  <c r="M121" i="27" a="1"/>
  <c r="M121" i="27" s="1"/>
  <c r="M221" i="27" s="1"/>
  <c r="L120" i="27" a="1"/>
  <c r="L120" i="27" s="1"/>
  <c r="L220" i="27" s="1"/>
  <c r="G119" i="27" a="1"/>
  <c r="G119" i="27" s="1"/>
  <c r="G219" i="27" s="1"/>
  <c r="F118" i="27" a="1"/>
  <c r="F118" i="27" s="1"/>
  <c r="F218" i="27" s="1"/>
  <c r="P116" i="27" a="1"/>
  <c r="P116" i="27" s="1"/>
  <c r="P216" i="27" s="1"/>
  <c r="O115" i="27" a="1"/>
  <c r="O115" i="27" s="1"/>
  <c r="O215" i="27" s="1"/>
  <c r="J114" i="27" a="1"/>
  <c r="J114" i="27" s="1"/>
  <c r="J214" i="27" s="1"/>
  <c r="I113" i="27" a="1"/>
  <c r="I113" i="27" s="1"/>
  <c r="I213" i="27" s="1"/>
  <c r="D112" i="27" a="1"/>
  <c r="D112" i="27" s="1"/>
  <c r="D212" i="27" s="1"/>
  <c r="C111" i="27" a="1"/>
  <c r="C111" i="27" s="1"/>
  <c r="C211" i="27" s="1"/>
  <c r="M109" i="27" a="1"/>
  <c r="M109" i="27" s="1"/>
  <c r="M209" i="27" s="1"/>
  <c r="L108" i="27" a="1"/>
  <c r="L108" i="27" s="1"/>
  <c r="L208" i="27" s="1"/>
  <c r="G107" i="27" a="1"/>
  <c r="G107" i="27" s="1"/>
  <c r="G207" i="27" s="1"/>
  <c r="F106" i="27" a="1"/>
  <c r="F106" i="27" s="1"/>
  <c r="F206" i="27" s="1"/>
  <c r="P104" i="27" a="1"/>
  <c r="P104" i="27" s="1"/>
  <c r="P204" i="27" s="1"/>
  <c r="O103" i="27" a="1"/>
  <c r="O103" i="27" s="1"/>
  <c r="O203" i="27" s="1"/>
  <c r="J102" i="27" a="1"/>
  <c r="J102" i="27" s="1"/>
  <c r="J202" i="27" s="1"/>
  <c r="Q156" i="27" a="1"/>
  <c r="Q156" i="27" s="1"/>
  <c r="Q256" i="27" s="1"/>
  <c r="Q134" i="27" a="1"/>
  <c r="Q134" i="27" s="1"/>
  <c r="Q234" i="27" s="1"/>
  <c r="Q112" i="27" a="1"/>
  <c r="Q112" i="27" s="1"/>
  <c r="Q212" i="27" s="1"/>
  <c r="G163" i="27" a="1"/>
  <c r="G163" i="27" s="1"/>
  <c r="G263" i="27" s="1"/>
  <c r="H162" i="27" a="1"/>
  <c r="H162" i="27" s="1"/>
  <c r="H262" i="27" s="1"/>
  <c r="I161" i="27" a="1"/>
  <c r="I161" i="27" s="1"/>
  <c r="I261" i="27" s="1"/>
  <c r="J160" i="27" a="1"/>
  <c r="J160" i="27" s="1"/>
  <c r="J260" i="27" s="1"/>
  <c r="J159" i="27" a="1"/>
  <c r="J159" i="27" s="1"/>
  <c r="J259" i="27" s="1"/>
  <c r="J158" i="27" a="1"/>
  <c r="J158" i="27" s="1"/>
  <c r="J258" i="27" s="1"/>
  <c r="J157" i="27" a="1"/>
  <c r="J157" i="27" s="1"/>
  <c r="J257" i="27" s="1"/>
  <c r="J156" i="27" a="1"/>
  <c r="J156" i="27" s="1"/>
  <c r="J256" i="27" s="1"/>
  <c r="G155" i="27" a="1"/>
  <c r="G155" i="27" s="1"/>
  <c r="G255" i="27" s="1"/>
  <c r="G154" i="27" a="1"/>
  <c r="G154" i="27" s="1"/>
  <c r="G254" i="27" s="1"/>
  <c r="G153" i="27" a="1"/>
  <c r="G153" i="27" s="1"/>
  <c r="G253" i="27" s="1"/>
  <c r="D152" i="27" a="1"/>
  <c r="D152" i="27" s="1"/>
  <c r="D252" i="27" s="1"/>
  <c r="D151" i="27" a="1"/>
  <c r="D151" i="27" s="1"/>
  <c r="D251" i="27" s="1"/>
  <c r="D150" i="27" a="1"/>
  <c r="D150" i="27" s="1"/>
  <c r="D250" i="27" s="1"/>
  <c r="P148" i="27" a="1"/>
  <c r="P148" i="27" s="1"/>
  <c r="P248" i="27" s="1"/>
  <c r="P147" i="27" a="1"/>
  <c r="P147" i="27" s="1"/>
  <c r="P247" i="27" s="1"/>
  <c r="P146" i="27" a="1"/>
  <c r="P146" i="27" s="1"/>
  <c r="P246" i="27" s="1"/>
  <c r="L145" i="27" a="1"/>
  <c r="L145" i="27" s="1"/>
  <c r="K144" i="27" a="1"/>
  <c r="K144" i="27" s="1"/>
  <c r="K244" i="27" s="1"/>
  <c r="F143" i="27" a="1"/>
  <c r="F143" i="27" s="1"/>
  <c r="F243" i="27" s="1"/>
  <c r="E142" i="27" a="1"/>
  <c r="E142" i="27" s="1"/>
  <c r="E242" i="27" s="1"/>
  <c r="O140" i="27" a="1"/>
  <c r="O140" i="27" s="1"/>
  <c r="O240" i="27" s="1"/>
  <c r="N139" i="27" a="1"/>
  <c r="N139" i="27" s="1"/>
  <c r="N239" i="27" s="1"/>
  <c r="I138" i="27" a="1"/>
  <c r="I138" i="27" s="1"/>
  <c r="I238" i="27" s="1"/>
  <c r="H137" i="27" a="1"/>
  <c r="H137" i="27" s="1"/>
  <c r="H237" i="27" s="1"/>
  <c r="C136" i="27" a="1"/>
  <c r="C136" i="27" s="1"/>
  <c r="C236" i="27" s="1"/>
  <c r="R134" i="27" a="1"/>
  <c r="R134" i="27" s="1"/>
  <c r="R234" i="27" s="1"/>
  <c r="L133" i="27" a="1"/>
  <c r="L133" i="27" s="1"/>
  <c r="L233" i="27" s="1"/>
  <c r="K132" i="27" a="1"/>
  <c r="K132" i="27" s="1"/>
  <c r="K232" i="27" s="1"/>
  <c r="F131" i="27" a="1"/>
  <c r="F131" i="27" s="1"/>
  <c r="F231" i="27" s="1"/>
  <c r="E130" i="27" a="1"/>
  <c r="E130" i="27" s="1"/>
  <c r="E230" i="27" s="1"/>
  <c r="O128" i="27" a="1"/>
  <c r="O128" i="27" s="1"/>
  <c r="O228" i="27" s="1"/>
  <c r="N127" i="27" a="1"/>
  <c r="N127" i="27" s="1"/>
  <c r="N227" i="27" s="1"/>
  <c r="I126" i="27" a="1"/>
  <c r="I126" i="27" s="1"/>
  <c r="I226" i="27" s="1"/>
  <c r="H125" i="27" a="1"/>
  <c r="H125" i="27" s="1"/>
  <c r="H225" i="27" s="1"/>
  <c r="C124" i="27" a="1"/>
  <c r="C124" i="27" s="1"/>
  <c r="C224" i="27" s="1"/>
  <c r="R122" i="27" a="1"/>
  <c r="R122" i="27" s="1"/>
  <c r="R222" i="27" s="1"/>
  <c r="L121" i="27" a="1"/>
  <c r="L121" i="27" s="1"/>
  <c r="L221" i="27" s="1"/>
  <c r="K120" i="27" a="1"/>
  <c r="K120" i="27" s="1"/>
  <c r="K220" i="27" s="1"/>
  <c r="F119" i="27" a="1"/>
  <c r="F119" i="27" s="1"/>
  <c r="F219" i="27" s="1"/>
  <c r="E118" i="27" a="1"/>
  <c r="E118" i="27" s="1"/>
  <c r="E218" i="27" s="1"/>
  <c r="O116" i="27" a="1"/>
  <c r="O116" i="27" s="1"/>
  <c r="O216" i="27" s="1"/>
  <c r="N115" i="27" a="1"/>
  <c r="N115" i="27" s="1"/>
  <c r="N215" i="27" s="1"/>
  <c r="I114" i="27" a="1"/>
  <c r="I114" i="27" s="1"/>
  <c r="I214" i="27" s="1"/>
  <c r="H113" i="27" a="1"/>
  <c r="H113" i="27" s="1"/>
  <c r="H213" i="27" s="1"/>
  <c r="C112" i="27" a="1"/>
  <c r="C112" i="27" s="1"/>
  <c r="C212" i="27" s="1"/>
  <c r="R110" i="27" a="1"/>
  <c r="R110" i="27" s="1"/>
  <c r="R210" i="27" s="1"/>
  <c r="L109" i="27" a="1"/>
  <c r="L109" i="27" s="1"/>
  <c r="L209" i="27" s="1"/>
  <c r="K108" i="27" a="1"/>
  <c r="K108" i="27" s="1"/>
  <c r="K208" i="27" s="1"/>
  <c r="F107" i="27" a="1"/>
  <c r="F107" i="27" s="1"/>
  <c r="F207" i="27" s="1"/>
  <c r="E106" i="27" a="1"/>
  <c r="E106" i="27" s="1"/>
  <c r="E206" i="27" s="1"/>
  <c r="O104" i="27" a="1"/>
  <c r="O104" i="27" s="1"/>
  <c r="O204" i="27" s="1"/>
  <c r="N103" i="27" a="1"/>
  <c r="N103" i="27" s="1"/>
  <c r="N203" i="27" s="1"/>
  <c r="I102" i="27" a="1"/>
  <c r="I102" i="27" s="1"/>
  <c r="I202" i="27" s="1"/>
  <c r="Q154" i="27" a="1"/>
  <c r="Q154" i="27" s="1"/>
  <c r="Q254" i="27" s="1"/>
  <c r="Q133" i="27" a="1"/>
  <c r="Q133" i="27" s="1"/>
  <c r="Q233" i="27" s="1"/>
  <c r="Q111" i="27" a="1"/>
  <c r="Q111" i="27" s="1"/>
  <c r="Q211" i="27" s="1"/>
  <c r="F163" i="27" a="1"/>
  <c r="F163" i="27" s="1"/>
  <c r="F263" i="27" s="1"/>
  <c r="H161" i="27" a="1"/>
  <c r="H161" i="27" s="1"/>
  <c r="H261" i="27" s="1"/>
  <c r="H160" i="27" a="1"/>
  <c r="H160" i="27" s="1"/>
  <c r="H260" i="27" s="1"/>
  <c r="H159" i="27" a="1"/>
  <c r="H159" i="27" s="1"/>
  <c r="H259" i="27" s="1"/>
  <c r="I157" i="27" a="1"/>
  <c r="I157" i="27" s="1"/>
  <c r="I257" i="27" s="1"/>
  <c r="F154" i="27" a="1"/>
  <c r="F154" i="27" s="1"/>
  <c r="F254" i="27" s="1"/>
  <c r="C152" i="27" a="1"/>
  <c r="C152" i="27" s="1"/>
  <c r="C252" i="27" s="1"/>
  <c r="C151" i="27" a="1"/>
  <c r="C151" i="27" s="1"/>
  <c r="C251" i="27" s="1"/>
  <c r="O148" i="27" a="1"/>
  <c r="O148" i="27" s="1"/>
  <c r="O248" i="27" s="1"/>
  <c r="M146" i="27" a="1"/>
  <c r="M146" i="27" s="1"/>
  <c r="M246" i="27" s="1"/>
  <c r="J144" i="27" a="1"/>
  <c r="J144" i="27" s="1"/>
  <c r="J244" i="27" s="1"/>
  <c r="D142" i="27" a="1"/>
  <c r="D142" i="27" s="1"/>
  <c r="D242" i="27" s="1"/>
  <c r="N140" i="27" a="1"/>
  <c r="N140" i="27" s="1"/>
  <c r="N240" i="27" s="1"/>
  <c r="M139" i="27" a="1"/>
  <c r="M139" i="27" s="1"/>
  <c r="M239" i="27" s="1"/>
  <c r="H138" i="27" a="1"/>
  <c r="H138" i="27" s="1"/>
  <c r="H238" i="27" s="1"/>
  <c r="G137" i="27" a="1"/>
  <c r="G137" i="27" s="1"/>
  <c r="G237" i="27" s="1"/>
  <c r="P134" i="27" a="1"/>
  <c r="P134" i="27" s="1"/>
  <c r="P234" i="27" s="1"/>
  <c r="J132" i="27" a="1"/>
  <c r="J132" i="27" s="1"/>
  <c r="J232" i="27" s="1"/>
  <c r="D130" i="27" a="1"/>
  <c r="D130" i="27" s="1"/>
  <c r="D230" i="27" s="1"/>
  <c r="N128" i="27" a="1"/>
  <c r="N128" i="27" s="1"/>
  <c r="N228" i="27" s="1"/>
  <c r="M127" i="27" a="1"/>
  <c r="M127" i="27" s="1"/>
  <c r="M227" i="27" s="1"/>
  <c r="H126" i="27" a="1"/>
  <c r="H126" i="27" s="1"/>
  <c r="H226" i="27" s="1"/>
  <c r="G125" i="27" a="1"/>
  <c r="G125" i="27" s="1"/>
  <c r="G225" i="27" s="1"/>
  <c r="P122" i="27" a="1"/>
  <c r="P122" i="27" s="1"/>
  <c r="P222" i="27" s="1"/>
  <c r="J120" i="27" a="1"/>
  <c r="J120" i="27" s="1"/>
  <c r="J220" i="27" s="1"/>
  <c r="E119" i="27" a="1"/>
  <c r="E119" i="27" s="1"/>
  <c r="E219" i="27" s="1"/>
  <c r="N116" i="27" a="1"/>
  <c r="N116" i="27" s="1"/>
  <c r="N216" i="27" s="1"/>
  <c r="M115" i="27" a="1"/>
  <c r="M115" i="27" s="1"/>
  <c r="M215" i="27" s="1"/>
  <c r="H114" i="27" a="1"/>
  <c r="H114" i="27" s="1"/>
  <c r="H214" i="27" s="1"/>
  <c r="G113" i="27" a="1"/>
  <c r="G113" i="27" s="1"/>
  <c r="G213" i="27" s="1"/>
  <c r="R111" i="27" a="1"/>
  <c r="R111" i="27" s="1"/>
  <c r="R211" i="27" s="1"/>
  <c r="P110" i="27" a="1"/>
  <c r="P110" i="27" s="1"/>
  <c r="P210" i="27" s="1"/>
  <c r="K109" i="27" a="1"/>
  <c r="K109" i="27" s="1"/>
  <c r="K209" i="27" s="1"/>
  <c r="J108" i="27" a="1"/>
  <c r="J108" i="27" s="1"/>
  <c r="J208" i="27" s="1"/>
  <c r="E107" i="27" a="1"/>
  <c r="E107" i="27" s="1"/>
  <c r="E207" i="27" s="1"/>
  <c r="D106" i="27" a="1"/>
  <c r="D106" i="27" s="1"/>
  <c r="D206" i="27" s="1"/>
  <c r="N104" i="27" a="1"/>
  <c r="N104" i="27" s="1"/>
  <c r="N204" i="27" s="1"/>
  <c r="M103" i="27" a="1"/>
  <c r="M103" i="27" s="1"/>
  <c r="M203" i="27" s="1"/>
  <c r="H102" i="27" a="1"/>
  <c r="H102" i="27" s="1"/>
  <c r="H202" i="27" s="1"/>
  <c r="Q149" i="27" a="1"/>
  <c r="Q149" i="27" s="1"/>
  <c r="Q249" i="27" s="1"/>
  <c r="Q132" i="27" a="1"/>
  <c r="Q132" i="27" s="1"/>
  <c r="Q232" i="27" s="1"/>
  <c r="Q102" i="27" a="1"/>
  <c r="Q102" i="27" s="1"/>
  <c r="Q202" i="27" s="1"/>
  <c r="Q114" i="27" a="1"/>
  <c r="Q114" i="27" s="1"/>
  <c r="Q214" i="27" s="1"/>
  <c r="Q126" i="27" a="1"/>
  <c r="Q126" i="27" s="1"/>
  <c r="Q226" i="27" s="1"/>
  <c r="Q138" i="27" a="1"/>
  <c r="Q138" i="27" s="1"/>
  <c r="Q238" i="27" s="1"/>
  <c r="Q150" i="27" a="1"/>
  <c r="Q150" i="27" s="1"/>
  <c r="Q250" i="27" s="1"/>
  <c r="Q162" i="27" a="1"/>
  <c r="Q162" i="27" s="1"/>
  <c r="Q262" i="27" s="1"/>
  <c r="L102" i="27" a="1"/>
  <c r="L102" i="27" s="1"/>
  <c r="L202" i="27" s="1"/>
  <c r="I103" i="27" a="1"/>
  <c r="I103" i="27" s="1"/>
  <c r="I203" i="27" s="1"/>
  <c r="F104" i="27" a="1"/>
  <c r="F104" i="27" s="1"/>
  <c r="F204" i="27" s="1"/>
  <c r="C105" i="27" a="1"/>
  <c r="C105" i="27" s="1"/>
  <c r="C205" i="27" s="1"/>
  <c r="O105" i="27" a="1"/>
  <c r="O105" i="27" s="1"/>
  <c r="O205" i="27" s="1"/>
  <c r="L106" i="27" a="1"/>
  <c r="L106" i="27" s="1"/>
  <c r="L206" i="27" s="1"/>
  <c r="I107" i="27" a="1"/>
  <c r="I107" i="27" s="1"/>
  <c r="I207" i="27" s="1"/>
  <c r="F108" i="27" a="1"/>
  <c r="F108" i="27" s="1"/>
  <c r="F208" i="27" s="1"/>
  <c r="C109" i="27" a="1"/>
  <c r="C109" i="27" s="1"/>
  <c r="C209" i="27" s="1"/>
  <c r="O109" i="27" a="1"/>
  <c r="O109" i="27" s="1"/>
  <c r="O209" i="27" s="1"/>
  <c r="L110" i="27" a="1"/>
  <c r="L110" i="27" s="1"/>
  <c r="L210" i="27" s="1"/>
  <c r="I111" i="27" a="1"/>
  <c r="I111" i="27" s="1"/>
  <c r="I211" i="27" s="1"/>
  <c r="F112" i="27" a="1"/>
  <c r="F112" i="27" s="1"/>
  <c r="F212" i="27" s="1"/>
  <c r="C113" i="27" a="1"/>
  <c r="C113" i="27" s="1"/>
  <c r="C213" i="27" s="1"/>
  <c r="O113" i="27" a="1"/>
  <c r="O113" i="27" s="1"/>
  <c r="O213" i="27" s="1"/>
  <c r="L114" i="27" a="1"/>
  <c r="L114" i="27" s="1"/>
  <c r="L214" i="27" s="1"/>
  <c r="I115" i="27" a="1"/>
  <c r="I115" i="27" s="1"/>
  <c r="I215" i="27" s="1"/>
  <c r="F116" i="27" a="1"/>
  <c r="F116" i="27" s="1"/>
  <c r="F216" i="27" s="1"/>
  <c r="C117" i="27" a="1"/>
  <c r="C117" i="27" s="1"/>
  <c r="C217" i="27" s="1"/>
  <c r="O117" i="27" a="1"/>
  <c r="O117" i="27" s="1"/>
  <c r="O217" i="27" s="1"/>
  <c r="L118" i="27" a="1"/>
  <c r="L118" i="27" s="1"/>
  <c r="L218" i="27" s="1"/>
  <c r="I119" i="27" a="1"/>
  <c r="I119" i="27" s="1"/>
  <c r="I219" i="27" s="1"/>
  <c r="F120" i="27" a="1"/>
  <c r="F120" i="27" s="1"/>
  <c r="F220" i="27" s="1"/>
  <c r="C121" i="27" a="1"/>
  <c r="C121" i="27" s="1"/>
  <c r="C221" i="27" s="1"/>
  <c r="O121" i="27" a="1"/>
  <c r="O121" i="27" s="1"/>
  <c r="O221" i="27" s="1"/>
  <c r="L122" i="27" a="1"/>
  <c r="L122" i="27" s="1"/>
  <c r="L222" i="27" s="1"/>
  <c r="I123" i="27" a="1"/>
  <c r="I123" i="27" s="1"/>
  <c r="I223" i="27" s="1"/>
  <c r="F124" i="27" a="1"/>
  <c r="F124" i="27" s="1"/>
  <c r="F224" i="27" s="1"/>
  <c r="C125" i="27" a="1"/>
  <c r="C125" i="27" s="1"/>
  <c r="C225" i="27" s="1"/>
  <c r="O125" i="27" a="1"/>
  <c r="O125" i="27" s="1"/>
  <c r="O225" i="27" s="1"/>
  <c r="L126" i="27" a="1"/>
  <c r="L126" i="27" s="1"/>
  <c r="L226" i="27" s="1"/>
  <c r="I127" i="27" a="1"/>
  <c r="I127" i="27" s="1"/>
  <c r="I227" i="27" s="1"/>
  <c r="F128" i="27" a="1"/>
  <c r="F128" i="27" s="1"/>
  <c r="F228" i="27" s="1"/>
  <c r="C129" i="27" a="1"/>
  <c r="C129" i="27" s="1"/>
  <c r="C229" i="27" s="1"/>
  <c r="O129" i="27" a="1"/>
  <c r="O129" i="27" s="1"/>
  <c r="O229" i="27" s="1"/>
  <c r="L130" i="27" a="1"/>
  <c r="L130" i="27" s="1"/>
  <c r="L230" i="27" s="1"/>
  <c r="I131" i="27" a="1"/>
  <c r="I131" i="27" s="1"/>
  <c r="I231" i="27" s="1"/>
  <c r="F132" i="27" a="1"/>
  <c r="F132" i="27" s="1"/>
  <c r="F232" i="27" s="1"/>
  <c r="C133" i="27" a="1"/>
  <c r="C133" i="27" s="1"/>
  <c r="C233" i="27" s="1"/>
  <c r="O133" i="27" a="1"/>
  <c r="O133" i="27" s="1"/>
  <c r="O233" i="27" s="1"/>
  <c r="L134" i="27" a="1"/>
  <c r="L134" i="27" s="1"/>
  <c r="L234" i="27" s="1"/>
  <c r="I135" i="27" a="1"/>
  <c r="I135" i="27" s="1"/>
  <c r="I235" i="27" s="1"/>
  <c r="F136" i="27" a="1"/>
  <c r="F136" i="27" s="1"/>
  <c r="F236" i="27" s="1"/>
  <c r="C137" i="27" a="1"/>
  <c r="C137" i="27" s="1"/>
  <c r="C237" i="27" s="1"/>
  <c r="O137" i="27" a="1"/>
  <c r="O137" i="27" s="1"/>
  <c r="O237" i="27" s="1"/>
  <c r="L138" i="27" a="1"/>
  <c r="L138" i="27" s="1"/>
  <c r="L238" i="27" s="1"/>
  <c r="I139" i="27" a="1"/>
  <c r="I139" i="27" s="1"/>
  <c r="I239" i="27" s="1"/>
  <c r="F140" i="27" a="1"/>
  <c r="F140" i="27" s="1"/>
  <c r="F240" i="27" s="1"/>
  <c r="C141" i="27" a="1"/>
  <c r="C141" i="27" s="1"/>
  <c r="C241" i="27" s="1"/>
  <c r="O141" i="27" a="1"/>
  <c r="O141" i="27" s="1"/>
  <c r="O241" i="27" s="1"/>
  <c r="L142" i="27" a="1"/>
  <c r="L142" i="27" s="1"/>
  <c r="L242" i="27" s="1"/>
  <c r="I143" i="27" a="1"/>
  <c r="I143" i="27" s="1"/>
  <c r="I243" i="27" s="1"/>
  <c r="F144" i="27" a="1"/>
  <c r="F144" i="27" s="1"/>
  <c r="F244" i="27" s="1"/>
  <c r="C145" i="27" a="1"/>
  <c r="C145" i="27" s="1"/>
  <c r="O145" i="27" a="1"/>
  <c r="O145" i="27" s="1"/>
  <c r="L146" i="27" a="1"/>
  <c r="L146" i="27" s="1"/>
  <c r="L246" i="27" s="1"/>
  <c r="I147" i="27" a="1"/>
  <c r="I147" i="27" s="1"/>
  <c r="I247" i="27" s="1"/>
  <c r="F148" i="27" a="1"/>
  <c r="F148" i="27" s="1"/>
  <c r="F248" i="27" s="1"/>
  <c r="C149" i="27" a="1"/>
  <c r="C149" i="27" s="1"/>
  <c r="C249" i="27" s="1"/>
  <c r="O149" i="27" a="1"/>
  <c r="O149" i="27" s="1"/>
  <c r="O249" i="27" s="1"/>
  <c r="L150" i="27" a="1"/>
  <c r="L150" i="27" s="1"/>
  <c r="L250" i="27" s="1"/>
  <c r="I151" i="27" a="1"/>
  <c r="I151" i="27" s="1"/>
  <c r="I251" i="27" s="1"/>
  <c r="F152" i="27" a="1"/>
  <c r="F152" i="27" s="1"/>
  <c r="F252" i="27" s="1"/>
  <c r="C153" i="27" a="1"/>
  <c r="C153" i="27" s="1"/>
  <c r="C253" i="27" s="1"/>
  <c r="O153" i="27" a="1"/>
  <c r="O153" i="27" s="1"/>
  <c r="O253" i="27" s="1"/>
  <c r="L154" i="27" a="1"/>
  <c r="L154" i="27" s="1"/>
  <c r="L254" i="27" s="1"/>
  <c r="I155" i="27" a="1"/>
  <c r="I155" i="27" s="1"/>
  <c r="I255" i="27" s="1"/>
  <c r="F156" i="27" a="1"/>
  <c r="F156" i="27" s="1"/>
  <c r="F256" i="27" s="1"/>
  <c r="C157" i="27" a="1"/>
  <c r="C157" i="27" s="1"/>
  <c r="C257" i="27" s="1"/>
  <c r="O157" i="27" a="1"/>
  <c r="O157" i="27" s="1"/>
  <c r="O257" i="27" s="1"/>
  <c r="L158" i="27" a="1"/>
  <c r="L158" i="27" s="1"/>
  <c r="L258" i="27" s="1"/>
  <c r="I159" i="27" a="1"/>
  <c r="I159" i="27" s="1"/>
  <c r="I259" i="27" s="1"/>
  <c r="F160" i="27" a="1"/>
  <c r="F160" i="27" s="1"/>
  <c r="F260" i="27" s="1"/>
  <c r="C161" i="27" a="1"/>
  <c r="C161" i="27" s="1"/>
  <c r="C261" i="27" s="1"/>
  <c r="O161" i="27" a="1"/>
  <c r="O161" i="27" s="1"/>
  <c r="O261" i="27" s="1"/>
  <c r="L162" i="27" a="1"/>
  <c r="L162" i="27" s="1"/>
  <c r="L262" i="27" s="1"/>
  <c r="I163" i="27" a="1"/>
  <c r="I163" i="27" s="1"/>
  <c r="I263" i="27" s="1"/>
  <c r="Q103" i="27" a="1"/>
  <c r="Q103" i="27" s="1"/>
  <c r="Q203" i="27" s="1"/>
  <c r="Q115" i="27" a="1"/>
  <c r="Q115" i="27" s="1"/>
  <c r="Q215" i="27" s="1"/>
  <c r="Q127" i="27" a="1"/>
  <c r="Q127" i="27" s="1"/>
  <c r="Q227" i="27" s="1"/>
  <c r="Q139" i="27" a="1"/>
  <c r="Q139" i="27" s="1"/>
  <c r="Q239" i="27" s="1"/>
  <c r="Q151" i="27" a="1"/>
  <c r="Q151" i="27" s="1"/>
  <c r="Q251" i="27" s="1"/>
  <c r="Q163" i="27" a="1"/>
  <c r="Q163" i="27" s="1"/>
  <c r="Q263" i="27" s="1"/>
  <c r="M102" i="27" a="1"/>
  <c r="M102" i="27" s="1"/>
  <c r="M202" i="27" s="1"/>
  <c r="J103" i="27" a="1"/>
  <c r="J103" i="27" s="1"/>
  <c r="J203" i="27" s="1"/>
  <c r="G104" i="27" a="1"/>
  <c r="G104" i="27" s="1"/>
  <c r="G204" i="27" s="1"/>
  <c r="D105" i="27" a="1"/>
  <c r="D105" i="27" s="1"/>
  <c r="D205" i="27" s="1"/>
  <c r="P105" i="27" a="1"/>
  <c r="P105" i="27" s="1"/>
  <c r="P205" i="27" s="1"/>
  <c r="M106" i="27" a="1"/>
  <c r="M106" i="27" s="1"/>
  <c r="M206" i="27" s="1"/>
  <c r="J107" i="27" a="1"/>
  <c r="J107" i="27" s="1"/>
  <c r="J207" i="27" s="1"/>
  <c r="G108" i="27" a="1"/>
  <c r="G108" i="27" s="1"/>
  <c r="G208" i="27" s="1"/>
  <c r="D109" i="27" a="1"/>
  <c r="D109" i="27" s="1"/>
  <c r="D209" i="27" s="1"/>
  <c r="P109" i="27" a="1"/>
  <c r="P109" i="27" s="1"/>
  <c r="P209" i="27" s="1"/>
  <c r="M110" i="27" a="1"/>
  <c r="M110" i="27" s="1"/>
  <c r="M210" i="27" s="1"/>
  <c r="J111" i="27" a="1"/>
  <c r="J111" i="27" s="1"/>
  <c r="J211" i="27" s="1"/>
  <c r="G112" i="27" a="1"/>
  <c r="G112" i="27" s="1"/>
  <c r="G212" i="27" s="1"/>
  <c r="D113" i="27" a="1"/>
  <c r="D113" i="27" s="1"/>
  <c r="D213" i="27" s="1"/>
  <c r="P113" i="27" a="1"/>
  <c r="P113" i="27" s="1"/>
  <c r="P213" i="27" s="1"/>
  <c r="M114" i="27" a="1"/>
  <c r="M114" i="27" s="1"/>
  <c r="M214" i="27" s="1"/>
  <c r="J115" i="27" a="1"/>
  <c r="J115" i="27" s="1"/>
  <c r="J215" i="27" s="1"/>
  <c r="G116" i="27" a="1"/>
  <c r="G116" i="27" s="1"/>
  <c r="G216" i="27" s="1"/>
  <c r="D117" i="27" a="1"/>
  <c r="D117" i="27" s="1"/>
  <c r="D217" i="27" s="1"/>
  <c r="P117" i="27" a="1"/>
  <c r="P117" i="27" s="1"/>
  <c r="P217" i="27" s="1"/>
  <c r="M118" i="27" a="1"/>
  <c r="M118" i="27" s="1"/>
  <c r="M218" i="27" s="1"/>
  <c r="J119" i="27" a="1"/>
  <c r="J119" i="27" s="1"/>
  <c r="J219" i="27" s="1"/>
  <c r="G120" i="27" a="1"/>
  <c r="G120" i="27" s="1"/>
  <c r="G220" i="27" s="1"/>
  <c r="D121" i="27" a="1"/>
  <c r="D121" i="27" s="1"/>
  <c r="D221" i="27" s="1"/>
  <c r="P121" i="27" a="1"/>
  <c r="P121" i="27" s="1"/>
  <c r="P221" i="27" s="1"/>
  <c r="M122" i="27" a="1"/>
  <c r="M122" i="27" s="1"/>
  <c r="M222" i="27" s="1"/>
  <c r="J123" i="27" a="1"/>
  <c r="J123" i="27" s="1"/>
  <c r="J223" i="27" s="1"/>
  <c r="G124" i="27" a="1"/>
  <c r="G124" i="27" s="1"/>
  <c r="G224" i="27" s="1"/>
  <c r="D125" i="27" a="1"/>
  <c r="D125" i="27" s="1"/>
  <c r="D225" i="27" s="1"/>
  <c r="P125" i="27" a="1"/>
  <c r="P125" i="27" s="1"/>
  <c r="P225" i="27" s="1"/>
  <c r="M126" i="27" a="1"/>
  <c r="M126" i="27" s="1"/>
  <c r="M226" i="27" s="1"/>
  <c r="J127" i="27" a="1"/>
  <c r="J127" i="27" s="1"/>
  <c r="J227" i="27" s="1"/>
  <c r="G128" i="27" a="1"/>
  <c r="G128" i="27" s="1"/>
  <c r="G228" i="27" s="1"/>
  <c r="D129" i="27" a="1"/>
  <c r="D129" i="27" s="1"/>
  <c r="D229" i="27" s="1"/>
  <c r="P129" i="27" a="1"/>
  <c r="P129" i="27" s="1"/>
  <c r="P229" i="27" s="1"/>
  <c r="M130" i="27" a="1"/>
  <c r="M130" i="27" s="1"/>
  <c r="M230" i="27" s="1"/>
  <c r="J131" i="27" a="1"/>
  <c r="J131" i="27" s="1"/>
  <c r="J231" i="27" s="1"/>
  <c r="G132" i="27" a="1"/>
  <c r="G132" i="27" s="1"/>
  <c r="G232" i="27" s="1"/>
  <c r="D133" i="27" a="1"/>
  <c r="D133" i="27" s="1"/>
  <c r="D233" i="27" s="1"/>
  <c r="P133" i="27" a="1"/>
  <c r="P133" i="27" s="1"/>
  <c r="P233" i="27" s="1"/>
  <c r="M134" i="27" a="1"/>
  <c r="M134" i="27" s="1"/>
  <c r="M234" i="27" s="1"/>
  <c r="J135" i="27" a="1"/>
  <c r="J135" i="27" s="1"/>
  <c r="J235" i="27" s="1"/>
  <c r="G136" i="27" a="1"/>
  <c r="G136" i="27" s="1"/>
  <c r="G236" i="27" s="1"/>
  <c r="D137" i="27" a="1"/>
  <c r="D137" i="27" s="1"/>
  <c r="D237" i="27" s="1"/>
  <c r="P137" i="27" a="1"/>
  <c r="P137" i="27" s="1"/>
  <c r="P237" i="27" s="1"/>
  <c r="M138" i="27" a="1"/>
  <c r="M138" i="27" s="1"/>
  <c r="M238" i="27" s="1"/>
  <c r="J139" i="27" a="1"/>
  <c r="J139" i="27" s="1"/>
  <c r="J239" i="27" s="1"/>
  <c r="G140" i="27" a="1"/>
  <c r="G140" i="27" s="1"/>
  <c r="G240" i="27" s="1"/>
  <c r="D141" i="27" a="1"/>
  <c r="D141" i="27" s="1"/>
  <c r="D241" i="27" s="1"/>
  <c r="P141" i="27" a="1"/>
  <c r="P141" i="27" s="1"/>
  <c r="P241" i="27" s="1"/>
  <c r="M142" i="27" a="1"/>
  <c r="M142" i="27" s="1"/>
  <c r="M242" i="27" s="1"/>
  <c r="J143" i="27" a="1"/>
  <c r="J143" i="27" s="1"/>
  <c r="J243" i="27" s="1"/>
  <c r="G144" i="27" a="1"/>
  <c r="G144" i="27" s="1"/>
  <c r="G244" i="27" s="1"/>
  <c r="D145" i="27" a="1"/>
  <c r="D145" i="27" s="1"/>
  <c r="P145" i="27" a="1"/>
  <c r="P145" i="27" s="1"/>
  <c r="Q104" i="27" a="1"/>
  <c r="Q104" i="27" s="1"/>
  <c r="Q204" i="27" s="1"/>
  <c r="Q116" i="27" a="1"/>
  <c r="Q116" i="27" s="1"/>
  <c r="Q216" i="27" s="1"/>
  <c r="Q128" i="27" a="1"/>
  <c r="Q128" i="27" s="1"/>
  <c r="Q228" i="27" s="1"/>
  <c r="Q140" i="27" a="1"/>
  <c r="Q140" i="27" s="1"/>
  <c r="Q240" i="27" s="1"/>
  <c r="Q152" i="27" a="1"/>
  <c r="Q152" i="27" s="1"/>
  <c r="Q252" i="27" s="1"/>
  <c r="Q101" i="27" a="1"/>
  <c r="Q101" i="27" s="1"/>
  <c r="Q201" i="27" s="1"/>
  <c r="N102" i="27" a="1"/>
  <c r="N102" i="27" s="1"/>
  <c r="N202" i="27" s="1"/>
  <c r="K103" i="27" a="1"/>
  <c r="K103" i="27" s="1"/>
  <c r="K203" i="27" s="1"/>
  <c r="H104" i="27" a="1"/>
  <c r="H104" i="27" s="1"/>
  <c r="H204" i="27" s="1"/>
  <c r="E105" i="27" a="1"/>
  <c r="E105" i="27" s="1"/>
  <c r="E205" i="27" s="1"/>
  <c r="R105" i="27" a="1"/>
  <c r="R105" i="27" s="1"/>
  <c r="R205" i="27" s="1"/>
  <c r="N106" i="27" a="1"/>
  <c r="N106" i="27" s="1"/>
  <c r="N206" i="27" s="1"/>
  <c r="K107" i="27" a="1"/>
  <c r="K107" i="27" s="1"/>
  <c r="K207" i="27" s="1"/>
  <c r="H108" i="27" a="1"/>
  <c r="H108" i="27" s="1"/>
  <c r="H208" i="27" s="1"/>
  <c r="E109" i="27" a="1"/>
  <c r="E109" i="27" s="1"/>
  <c r="E209" i="27" s="1"/>
  <c r="R109" i="27" a="1"/>
  <c r="R109" i="27" s="1"/>
  <c r="R209" i="27" s="1"/>
  <c r="N110" i="27" a="1"/>
  <c r="N110" i="27" s="1"/>
  <c r="N210" i="27" s="1"/>
  <c r="K111" i="27" a="1"/>
  <c r="K111" i="27" s="1"/>
  <c r="K211" i="27" s="1"/>
  <c r="H112" i="27" a="1"/>
  <c r="H112" i="27" s="1"/>
  <c r="H212" i="27" s="1"/>
  <c r="E113" i="27" a="1"/>
  <c r="E113" i="27" s="1"/>
  <c r="E213" i="27" s="1"/>
  <c r="R113" i="27" a="1"/>
  <c r="R113" i="27" s="1"/>
  <c r="R213" i="27" s="1"/>
  <c r="N114" i="27" a="1"/>
  <c r="N114" i="27" s="1"/>
  <c r="N214" i="27" s="1"/>
  <c r="K115" i="27" a="1"/>
  <c r="K115" i="27" s="1"/>
  <c r="K215" i="27" s="1"/>
  <c r="H116" i="27" a="1"/>
  <c r="H116" i="27" s="1"/>
  <c r="H216" i="27" s="1"/>
  <c r="E117" i="27" a="1"/>
  <c r="E117" i="27" s="1"/>
  <c r="E217" i="27" s="1"/>
  <c r="R117" i="27" a="1"/>
  <c r="R117" i="27" s="1"/>
  <c r="R217" i="27" s="1"/>
  <c r="N118" i="27" a="1"/>
  <c r="N118" i="27" s="1"/>
  <c r="N218" i="27" s="1"/>
  <c r="K119" i="27" a="1"/>
  <c r="K119" i="27" s="1"/>
  <c r="K219" i="27" s="1"/>
  <c r="H120" i="27" a="1"/>
  <c r="H120" i="27" s="1"/>
  <c r="H220" i="27" s="1"/>
  <c r="E121" i="27" a="1"/>
  <c r="E121" i="27" s="1"/>
  <c r="E221" i="27" s="1"/>
  <c r="R121" i="27" a="1"/>
  <c r="R121" i="27" s="1"/>
  <c r="R221" i="27" s="1"/>
  <c r="N122" i="27" a="1"/>
  <c r="N122" i="27" s="1"/>
  <c r="N222" i="27" s="1"/>
  <c r="K123" i="27" a="1"/>
  <c r="K123" i="27" s="1"/>
  <c r="K223" i="27" s="1"/>
  <c r="H124" i="27" a="1"/>
  <c r="H124" i="27" s="1"/>
  <c r="H224" i="27" s="1"/>
  <c r="E125" i="27" a="1"/>
  <c r="E125" i="27" s="1"/>
  <c r="E225" i="27" s="1"/>
  <c r="R125" i="27" a="1"/>
  <c r="R125" i="27" s="1"/>
  <c r="R225" i="27" s="1"/>
  <c r="N126" i="27" a="1"/>
  <c r="N126" i="27" s="1"/>
  <c r="N226" i="27" s="1"/>
  <c r="K127" i="27" a="1"/>
  <c r="K127" i="27" s="1"/>
  <c r="K227" i="27" s="1"/>
  <c r="H128" i="27" a="1"/>
  <c r="H128" i="27" s="1"/>
  <c r="H228" i="27" s="1"/>
  <c r="E129" i="27" a="1"/>
  <c r="E129" i="27" s="1"/>
  <c r="E229" i="27" s="1"/>
  <c r="R129" i="27" a="1"/>
  <c r="R129" i="27" s="1"/>
  <c r="R229" i="27" s="1"/>
  <c r="N130" i="27" a="1"/>
  <c r="N130" i="27" s="1"/>
  <c r="N230" i="27" s="1"/>
  <c r="K131" i="27" a="1"/>
  <c r="K131" i="27" s="1"/>
  <c r="K231" i="27" s="1"/>
  <c r="H132" i="27" a="1"/>
  <c r="H132" i="27" s="1"/>
  <c r="H232" i="27" s="1"/>
  <c r="E133" i="27" a="1"/>
  <c r="E133" i="27" s="1"/>
  <c r="E233" i="27" s="1"/>
  <c r="R133" i="27" a="1"/>
  <c r="R133" i="27" s="1"/>
  <c r="R233" i="27" s="1"/>
  <c r="N134" i="27" a="1"/>
  <c r="N134" i="27" s="1"/>
  <c r="N234" i="27" s="1"/>
  <c r="K135" i="27" a="1"/>
  <c r="K135" i="27" s="1"/>
  <c r="K235" i="27" s="1"/>
  <c r="H136" i="27" a="1"/>
  <c r="H136" i="27" s="1"/>
  <c r="H236" i="27" s="1"/>
  <c r="E137" i="27" a="1"/>
  <c r="E137" i="27" s="1"/>
  <c r="E237" i="27" s="1"/>
  <c r="R137" i="27" a="1"/>
  <c r="R137" i="27" s="1"/>
  <c r="R237" i="27" s="1"/>
  <c r="N138" i="27" a="1"/>
  <c r="N138" i="27" s="1"/>
  <c r="N238" i="27" s="1"/>
  <c r="K139" i="27" a="1"/>
  <c r="K139" i="27" s="1"/>
  <c r="K239" i="27" s="1"/>
  <c r="H140" i="27" a="1"/>
  <c r="H140" i="27" s="1"/>
  <c r="H240" i="27" s="1"/>
  <c r="E141" i="27" a="1"/>
  <c r="E141" i="27" s="1"/>
  <c r="E241" i="27" s="1"/>
  <c r="R141" i="27" a="1"/>
  <c r="R141" i="27" s="1"/>
  <c r="R241" i="27" s="1"/>
  <c r="N142" i="27" a="1"/>
  <c r="N142" i="27" s="1"/>
  <c r="N242" i="27" s="1"/>
  <c r="K143" i="27" a="1"/>
  <c r="K143" i="27" s="1"/>
  <c r="K243" i="27" s="1"/>
  <c r="H144" i="27" a="1"/>
  <c r="H144" i="27" s="1"/>
  <c r="H244" i="27" s="1"/>
  <c r="E145" i="27" a="1"/>
  <c r="E145" i="27" s="1"/>
  <c r="R145" i="27" a="1"/>
  <c r="R145" i="27" s="1"/>
  <c r="N146" i="27" a="1"/>
  <c r="N146" i="27" s="1"/>
  <c r="N246" i="27" s="1"/>
  <c r="K147" i="27" a="1"/>
  <c r="K147" i="27" s="1"/>
  <c r="K247" i="27" s="1"/>
  <c r="H148" i="27" a="1"/>
  <c r="H148" i="27" s="1"/>
  <c r="H248" i="27" s="1"/>
  <c r="E149" i="27" a="1"/>
  <c r="E149" i="27" s="1"/>
  <c r="E249" i="27" s="1"/>
  <c r="R149" i="27" a="1"/>
  <c r="R149" i="27" s="1"/>
  <c r="R249" i="27" s="1"/>
  <c r="N150" i="27" a="1"/>
  <c r="N150" i="27" s="1"/>
  <c r="N250" i="27" s="1"/>
  <c r="K151" i="27" a="1"/>
  <c r="K151" i="27" s="1"/>
  <c r="K251" i="27" s="1"/>
  <c r="H152" i="27" a="1"/>
  <c r="H152" i="27" s="1"/>
  <c r="H252" i="27" s="1"/>
  <c r="E153" i="27" a="1"/>
  <c r="E153" i="27" s="1"/>
  <c r="E253" i="27" s="1"/>
  <c r="R153" i="27" a="1"/>
  <c r="R153" i="27" s="1"/>
  <c r="R253" i="27" s="1"/>
  <c r="N154" i="27" a="1"/>
  <c r="N154" i="27" s="1"/>
  <c r="N254" i="27" s="1"/>
  <c r="K155" i="27" a="1"/>
  <c r="K155" i="27" s="1"/>
  <c r="K255" i="27" s="1"/>
  <c r="H156" i="27" a="1"/>
  <c r="H156" i="27" s="1"/>
  <c r="H256" i="27" s="1"/>
  <c r="E157" i="27" a="1"/>
  <c r="E157" i="27" s="1"/>
  <c r="E257" i="27" s="1"/>
  <c r="R157" i="27" a="1"/>
  <c r="R157" i="27" s="1"/>
  <c r="R257" i="27" s="1"/>
  <c r="Q105" i="27" a="1"/>
  <c r="Q105" i="27" s="1"/>
  <c r="Q205" i="27" s="1"/>
  <c r="Q117" i="27" a="1"/>
  <c r="Q117" i="27" s="1"/>
  <c r="Q217" i="27" s="1"/>
  <c r="Q129" i="27" a="1"/>
  <c r="Q129" i="27" s="1"/>
  <c r="Q229" i="27" s="1"/>
  <c r="Q141" i="27" a="1"/>
  <c r="Q141" i="27" s="1"/>
  <c r="Q241" i="27" s="1"/>
  <c r="Q153" i="27" a="1"/>
  <c r="Q153" i="27" s="1"/>
  <c r="Q253" i="27" s="1"/>
  <c r="C102" i="27" a="1"/>
  <c r="C102" i="27" s="1"/>
  <c r="C202" i="27" s="1"/>
  <c r="O102" i="27" a="1"/>
  <c r="O102" i="27" s="1"/>
  <c r="O202" i="27" s="1"/>
  <c r="L103" i="27" a="1"/>
  <c r="L103" i="27" s="1"/>
  <c r="L203" i="27" s="1"/>
  <c r="I104" i="27" a="1"/>
  <c r="I104" i="27" s="1"/>
  <c r="I204" i="27" s="1"/>
  <c r="F105" i="27" a="1"/>
  <c r="F105" i="27" s="1"/>
  <c r="F205" i="27" s="1"/>
  <c r="C106" i="27" a="1"/>
  <c r="C106" i="27" s="1"/>
  <c r="C206" i="27" s="1"/>
  <c r="O106" i="27" a="1"/>
  <c r="O106" i="27" s="1"/>
  <c r="O206" i="27" s="1"/>
  <c r="L107" i="27" a="1"/>
  <c r="L107" i="27" s="1"/>
  <c r="L207" i="27" s="1"/>
  <c r="I108" i="27" a="1"/>
  <c r="I108" i="27" s="1"/>
  <c r="I208" i="27" s="1"/>
  <c r="F109" i="27" a="1"/>
  <c r="F109" i="27" s="1"/>
  <c r="F209" i="27" s="1"/>
  <c r="C110" i="27" a="1"/>
  <c r="C110" i="27" s="1"/>
  <c r="C210" i="27" s="1"/>
  <c r="O110" i="27" a="1"/>
  <c r="O110" i="27" s="1"/>
  <c r="O210" i="27" s="1"/>
  <c r="L111" i="27" a="1"/>
  <c r="L111" i="27" s="1"/>
  <c r="L211" i="27" s="1"/>
  <c r="I112" i="27" a="1"/>
  <c r="I112" i="27" s="1"/>
  <c r="I212" i="27" s="1"/>
  <c r="F113" i="27" a="1"/>
  <c r="F113" i="27" s="1"/>
  <c r="F213" i="27" s="1"/>
  <c r="C114" i="27" a="1"/>
  <c r="C114" i="27" s="1"/>
  <c r="C214" i="27" s="1"/>
  <c r="O114" i="27" a="1"/>
  <c r="O114" i="27" s="1"/>
  <c r="O214" i="27" s="1"/>
  <c r="L115" i="27" a="1"/>
  <c r="L115" i="27" s="1"/>
  <c r="L215" i="27" s="1"/>
  <c r="I116" i="27" a="1"/>
  <c r="I116" i="27" s="1"/>
  <c r="I216" i="27" s="1"/>
  <c r="F117" i="27" a="1"/>
  <c r="F117" i="27" s="1"/>
  <c r="F217" i="27" s="1"/>
  <c r="C118" i="27" a="1"/>
  <c r="C118" i="27" s="1"/>
  <c r="C218" i="27" s="1"/>
  <c r="O118" i="27" a="1"/>
  <c r="O118" i="27" s="1"/>
  <c r="O218" i="27" s="1"/>
  <c r="L119" i="27" a="1"/>
  <c r="L119" i="27" s="1"/>
  <c r="L219" i="27" s="1"/>
  <c r="I120" i="27" a="1"/>
  <c r="I120" i="27" s="1"/>
  <c r="I220" i="27" s="1"/>
  <c r="F121" i="27" a="1"/>
  <c r="F121" i="27" s="1"/>
  <c r="F221" i="27" s="1"/>
  <c r="C122" i="27" a="1"/>
  <c r="C122" i="27" s="1"/>
  <c r="C222" i="27" s="1"/>
  <c r="O122" i="27" a="1"/>
  <c r="O122" i="27" s="1"/>
  <c r="O222" i="27" s="1"/>
  <c r="L123" i="27" a="1"/>
  <c r="L123" i="27" s="1"/>
  <c r="L223" i="27" s="1"/>
  <c r="I124" i="27" a="1"/>
  <c r="I124" i="27" s="1"/>
  <c r="I224" i="27" s="1"/>
  <c r="F125" i="27" a="1"/>
  <c r="F125" i="27" s="1"/>
  <c r="F225" i="27" s="1"/>
  <c r="C126" i="27" a="1"/>
  <c r="C126" i="27" s="1"/>
  <c r="C226" i="27" s="1"/>
  <c r="O126" i="27" a="1"/>
  <c r="O126" i="27" s="1"/>
  <c r="O226" i="27" s="1"/>
  <c r="L127" i="27" a="1"/>
  <c r="L127" i="27" s="1"/>
  <c r="L227" i="27" s="1"/>
  <c r="I128" i="27" a="1"/>
  <c r="I128" i="27" s="1"/>
  <c r="I228" i="27" s="1"/>
  <c r="F129" i="27" a="1"/>
  <c r="F129" i="27" s="1"/>
  <c r="F229" i="27" s="1"/>
  <c r="C130" i="27" a="1"/>
  <c r="C130" i="27" s="1"/>
  <c r="C230" i="27" s="1"/>
  <c r="O130" i="27" a="1"/>
  <c r="O130" i="27" s="1"/>
  <c r="O230" i="27" s="1"/>
  <c r="L131" i="27" a="1"/>
  <c r="L131" i="27" s="1"/>
  <c r="L231" i="27" s="1"/>
  <c r="I132" i="27" a="1"/>
  <c r="I132" i="27" s="1"/>
  <c r="I232" i="27" s="1"/>
  <c r="F133" i="27" a="1"/>
  <c r="F133" i="27" s="1"/>
  <c r="F233" i="27" s="1"/>
  <c r="C134" i="27" a="1"/>
  <c r="C134" i="27" s="1"/>
  <c r="C234" i="27" s="1"/>
  <c r="O134" i="27" a="1"/>
  <c r="O134" i="27" s="1"/>
  <c r="O234" i="27" s="1"/>
  <c r="L135" i="27" a="1"/>
  <c r="L135" i="27" s="1"/>
  <c r="L235" i="27" s="1"/>
  <c r="I136" i="27" a="1"/>
  <c r="I136" i="27" s="1"/>
  <c r="I236" i="27" s="1"/>
  <c r="F137" i="27" a="1"/>
  <c r="F137" i="27" s="1"/>
  <c r="F237" i="27" s="1"/>
  <c r="C138" i="27" a="1"/>
  <c r="C138" i="27" s="1"/>
  <c r="C238" i="27" s="1"/>
  <c r="O138" i="27" a="1"/>
  <c r="O138" i="27" s="1"/>
  <c r="O238" i="27" s="1"/>
  <c r="L139" i="27" a="1"/>
  <c r="L139" i="27" s="1"/>
  <c r="L239" i="27" s="1"/>
  <c r="I140" i="27" a="1"/>
  <c r="I140" i="27" s="1"/>
  <c r="I240" i="27" s="1"/>
  <c r="F141" i="27" a="1"/>
  <c r="F141" i="27" s="1"/>
  <c r="F241" i="27" s="1"/>
  <c r="C142" i="27" a="1"/>
  <c r="C142" i="27" s="1"/>
  <c r="C242" i="27" s="1"/>
  <c r="O142" i="27" a="1"/>
  <c r="O142" i="27" s="1"/>
  <c r="O242" i="27" s="1"/>
  <c r="L143" i="27" a="1"/>
  <c r="L143" i="27" s="1"/>
  <c r="L243" i="27" s="1"/>
  <c r="I144" i="27" a="1"/>
  <c r="I144" i="27" s="1"/>
  <c r="I244" i="27" s="1"/>
  <c r="F145" i="27" a="1"/>
  <c r="F145" i="27" s="1"/>
  <c r="C146" i="27" a="1"/>
  <c r="C146" i="27" s="1"/>
  <c r="C246" i="27" s="1"/>
  <c r="O146" i="27" a="1"/>
  <c r="O146" i="27" s="1"/>
  <c r="O246" i="27" s="1"/>
  <c r="L147" i="27" a="1"/>
  <c r="L147" i="27" s="1"/>
  <c r="L247" i="27" s="1"/>
  <c r="I148" i="27" a="1"/>
  <c r="I148" i="27" s="1"/>
  <c r="I248" i="27" s="1"/>
  <c r="F149" i="27" a="1"/>
  <c r="F149" i="27" s="1"/>
  <c r="F249" i="27" s="1"/>
  <c r="C150" i="27" a="1"/>
  <c r="C150" i="27" s="1"/>
  <c r="C250" i="27" s="1"/>
  <c r="O150" i="27" a="1"/>
  <c r="O150" i="27" s="1"/>
  <c r="O250" i="27" s="1"/>
  <c r="L151" i="27" a="1"/>
  <c r="L151" i="27" s="1"/>
  <c r="L251" i="27" s="1"/>
  <c r="I152" i="27" a="1"/>
  <c r="I152" i="27" s="1"/>
  <c r="I252" i="27" s="1"/>
  <c r="F153" i="27" a="1"/>
  <c r="F153" i="27" s="1"/>
  <c r="F253" i="27" s="1"/>
  <c r="C154" i="27" a="1"/>
  <c r="C154" i="27" s="1"/>
  <c r="C254" i="27" s="1"/>
  <c r="O154" i="27" a="1"/>
  <c r="O154" i="27" s="1"/>
  <c r="O254" i="27" s="1"/>
  <c r="L155" i="27" a="1"/>
  <c r="L155" i="27" s="1"/>
  <c r="L255" i="27" s="1"/>
  <c r="I156" i="27" a="1"/>
  <c r="I156" i="27" s="1"/>
  <c r="I256" i="27" s="1"/>
  <c r="F157" i="27" a="1"/>
  <c r="F157" i="27" s="1"/>
  <c r="F257" i="27" s="1"/>
  <c r="C158" i="27" a="1"/>
  <c r="C158" i="27" s="1"/>
  <c r="C258" i="27" s="1"/>
  <c r="O158" i="27" a="1"/>
  <c r="O158" i="27" s="1"/>
  <c r="O258" i="27" s="1"/>
  <c r="L159" i="27" a="1"/>
  <c r="L159" i="27" s="1"/>
  <c r="L259" i="27" s="1"/>
  <c r="I160" i="27" a="1"/>
  <c r="I160" i="27" s="1"/>
  <c r="I260" i="27" s="1"/>
  <c r="F161" i="27" a="1"/>
  <c r="F161" i="27" s="1"/>
  <c r="F261" i="27" s="1"/>
  <c r="C162" i="27" a="1"/>
  <c r="C162" i="27" s="1"/>
  <c r="C262" i="27" s="1"/>
  <c r="O162" i="27" a="1"/>
  <c r="O162" i="27" s="1"/>
  <c r="O262" i="27" s="1"/>
  <c r="L163" i="27" a="1"/>
  <c r="L163" i="27" s="1"/>
  <c r="L263" i="27" s="1"/>
  <c r="Q106" i="27" a="1"/>
  <c r="Q106" i="27" s="1"/>
  <c r="Q206" i="27" s="1"/>
  <c r="Q107" i="27" a="1"/>
  <c r="Q107" i="27" s="1"/>
  <c r="Q207" i="27" s="1"/>
  <c r="Q119" i="27" a="1"/>
  <c r="Q119" i="27" s="1"/>
  <c r="Q219" i="27" s="1"/>
  <c r="Q131" i="27" a="1"/>
  <c r="Q131" i="27" s="1"/>
  <c r="Q231" i="27" s="1"/>
  <c r="Q143" i="27" a="1"/>
  <c r="Q143" i="27" s="1"/>
  <c r="Q243" i="27" s="1"/>
  <c r="Q155" i="27" a="1"/>
  <c r="Q155" i="27" s="1"/>
  <c r="Q255" i="27" s="1"/>
  <c r="G162" i="27" a="1"/>
  <c r="G162" i="27" s="1"/>
  <c r="G262" i="27" s="1"/>
  <c r="I158" i="27" a="1"/>
  <c r="I158" i="27" s="1"/>
  <c r="I258" i="27" s="1"/>
  <c r="G156" i="27" a="1"/>
  <c r="G156" i="27" s="1"/>
  <c r="G256" i="27" s="1"/>
  <c r="F155" i="27" a="1"/>
  <c r="F155" i="27" s="1"/>
  <c r="F255" i="27" s="1"/>
  <c r="D153" i="27" a="1"/>
  <c r="D153" i="27" s="1"/>
  <c r="D253" i="27" s="1"/>
  <c r="P149" i="27" a="1"/>
  <c r="P149" i="27" s="1"/>
  <c r="P249" i="27" s="1"/>
  <c r="O147" i="27" a="1"/>
  <c r="O147" i="27" s="1"/>
  <c r="O247" i="27" s="1"/>
  <c r="K145" i="27" a="1"/>
  <c r="K145" i="27" s="1"/>
  <c r="E143" i="27" a="1"/>
  <c r="E143" i="27" s="1"/>
  <c r="E243" i="27" s="1"/>
  <c r="R135" i="27" a="1"/>
  <c r="R135" i="27" s="1"/>
  <c r="R235" i="27" s="1"/>
  <c r="K133" i="27" a="1"/>
  <c r="K133" i="27" s="1"/>
  <c r="K233" i="27" s="1"/>
  <c r="E131" i="27" a="1"/>
  <c r="E131" i="27" s="1"/>
  <c r="E231" i="27" s="1"/>
  <c r="R123" i="27" a="1"/>
  <c r="R123" i="27" s="1"/>
  <c r="R223" i="27" s="1"/>
  <c r="K121" i="27" a="1"/>
  <c r="K121" i="27" s="1"/>
  <c r="K221" i="27" s="1"/>
  <c r="D118" i="27" a="1"/>
  <c r="D118" i="27" s="1"/>
  <c r="D218" i="27" s="1"/>
  <c r="P54" i="21" a="1"/>
  <c r="P54" i="21" s="1"/>
  <c r="P7" i="21" a="1"/>
  <c r="P7" i="21" s="1"/>
  <c r="P55" i="21" s="1" a="1"/>
  <c r="P55" i="21" s="1"/>
  <c r="O399" i="21"/>
  <c r="E163" i="27" a="1"/>
  <c r="E163" i="27" s="1"/>
  <c r="E263" i="27" s="1"/>
  <c r="F162" i="27" a="1"/>
  <c r="F162" i="27" s="1"/>
  <c r="F262" i="27" s="1"/>
  <c r="G161" i="27" a="1"/>
  <c r="G161" i="27" s="1"/>
  <c r="G261" i="27" s="1"/>
  <c r="G160" i="27" a="1"/>
  <c r="G160" i="27" s="1"/>
  <c r="G260" i="27" s="1"/>
  <c r="G159" i="27" a="1"/>
  <c r="G159" i="27" s="1"/>
  <c r="G259" i="27" s="1"/>
  <c r="H158" i="27" a="1"/>
  <c r="H158" i="27" s="1"/>
  <c r="H258" i="27" s="1"/>
  <c r="H157" i="27" a="1"/>
  <c r="H157" i="27" s="1"/>
  <c r="H257" i="27" s="1"/>
  <c r="E156" i="27" a="1"/>
  <c r="E156" i="27" s="1"/>
  <c r="E256" i="27" s="1"/>
  <c r="E155" i="27" a="1"/>
  <c r="E155" i="27" s="1"/>
  <c r="E255" i="27" s="1"/>
  <c r="E154" i="27" a="1"/>
  <c r="E154" i="27" s="1"/>
  <c r="E254" i="27" s="1"/>
  <c r="R152" i="27" a="1"/>
  <c r="R152" i="27" s="1"/>
  <c r="R252" i="27" s="1"/>
  <c r="R151" i="27" a="1"/>
  <c r="R151" i="27" s="1"/>
  <c r="R251" i="27" s="1"/>
  <c r="R150" i="27" a="1"/>
  <c r="R150" i="27" s="1"/>
  <c r="R250" i="27" s="1"/>
  <c r="N149" i="27" a="1"/>
  <c r="N149" i="27" s="1"/>
  <c r="N249" i="27" s="1"/>
  <c r="N148" i="27" a="1"/>
  <c r="N148" i="27" s="1"/>
  <c r="N248" i="27" s="1"/>
  <c r="N147" i="27" a="1"/>
  <c r="N147" i="27" s="1"/>
  <c r="N247" i="27" s="1"/>
  <c r="K146" i="27" a="1"/>
  <c r="K146" i="27" s="1"/>
  <c r="K246" i="27" s="1"/>
  <c r="J145" i="27" a="1"/>
  <c r="J145" i="27" s="1"/>
  <c r="E144" i="27" a="1"/>
  <c r="E144" i="27" s="1"/>
  <c r="E244" i="27" s="1"/>
  <c r="D143" i="27" a="1"/>
  <c r="D143" i="27" s="1"/>
  <c r="D243" i="27" s="1"/>
  <c r="N141" i="27" a="1"/>
  <c r="N141" i="27" s="1"/>
  <c r="N241" i="27" s="1"/>
  <c r="M140" i="27" a="1"/>
  <c r="M140" i="27" s="1"/>
  <c r="M240" i="27" s="1"/>
  <c r="H139" i="27" a="1"/>
  <c r="H139" i="27" s="1"/>
  <c r="H239" i="27" s="1"/>
  <c r="G138" i="27" a="1"/>
  <c r="G138" i="27" s="1"/>
  <c r="G238" i="27" s="1"/>
  <c r="R136" i="27" a="1"/>
  <c r="R136" i="27" s="1"/>
  <c r="R236" i="27" s="1"/>
  <c r="P135" i="27" a="1"/>
  <c r="P135" i="27" s="1"/>
  <c r="P235" i="27" s="1"/>
  <c r="K134" i="27" a="1"/>
  <c r="K134" i="27" s="1"/>
  <c r="K234" i="27" s="1"/>
  <c r="J133" i="27" a="1"/>
  <c r="J133" i="27" s="1"/>
  <c r="J233" i="27" s="1"/>
  <c r="E132" i="27" a="1"/>
  <c r="E132" i="27" s="1"/>
  <c r="E232" i="27" s="1"/>
  <c r="D131" i="27" a="1"/>
  <c r="D131" i="27" s="1"/>
  <c r="D231" i="27" s="1"/>
  <c r="N129" i="27" a="1"/>
  <c r="N129" i="27" s="1"/>
  <c r="N229" i="27" s="1"/>
  <c r="M128" i="27" a="1"/>
  <c r="M128" i="27" s="1"/>
  <c r="M228" i="27" s="1"/>
  <c r="H127" i="27" a="1"/>
  <c r="H127" i="27" s="1"/>
  <c r="H227" i="27" s="1"/>
  <c r="G126" i="27" a="1"/>
  <c r="G126" i="27" s="1"/>
  <c r="G226" i="27" s="1"/>
  <c r="R124" i="27" a="1"/>
  <c r="R124" i="27" s="1"/>
  <c r="R224" i="27" s="1"/>
  <c r="P123" i="27" a="1"/>
  <c r="P123" i="27" s="1"/>
  <c r="P223" i="27" s="1"/>
  <c r="K122" i="27" a="1"/>
  <c r="K122" i="27" s="1"/>
  <c r="K222" i="27" s="1"/>
  <c r="J121" i="27" a="1"/>
  <c r="J121" i="27" s="1"/>
  <c r="J221" i="27" s="1"/>
  <c r="E120" i="27" a="1"/>
  <c r="E120" i="27" s="1"/>
  <c r="E220" i="27" s="1"/>
  <c r="D119" i="27" a="1"/>
  <c r="D119" i="27" s="1"/>
  <c r="D219" i="27" s="1"/>
  <c r="N117" i="27" a="1"/>
  <c r="N117" i="27" s="1"/>
  <c r="N217" i="27" s="1"/>
  <c r="M116" i="27" a="1"/>
  <c r="M116" i="27" s="1"/>
  <c r="M216" i="27" s="1"/>
  <c r="H115" i="27" a="1"/>
  <c r="H115" i="27" s="1"/>
  <c r="H215" i="27" s="1"/>
  <c r="G114" i="27" a="1"/>
  <c r="G114" i="27" s="1"/>
  <c r="G214" i="27" s="1"/>
  <c r="R112" i="27" a="1"/>
  <c r="R112" i="27" s="1"/>
  <c r="R212" i="27" s="1"/>
  <c r="P111" i="27" a="1"/>
  <c r="P111" i="27" s="1"/>
  <c r="P211" i="27" s="1"/>
  <c r="K110" i="27" a="1"/>
  <c r="K110" i="27" s="1"/>
  <c r="K210" i="27" s="1"/>
  <c r="J109" i="27" a="1"/>
  <c r="J109" i="27" s="1"/>
  <c r="J209" i="27" s="1"/>
  <c r="E108" i="27" a="1"/>
  <c r="E108" i="27" s="1"/>
  <c r="E208" i="27" s="1"/>
  <c r="D107" i="27" a="1"/>
  <c r="D107" i="27" s="1"/>
  <c r="D207" i="27" s="1"/>
  <c r="N105" i="27" a="1"/>
  <c r="N105" i="27" s="1"/>
  <c r="N205" i="27" s="1"/>
  <c r="M104" i="27" a="1"/>
  <c r="M104" i="27" s="1"/>
  <c r="M204" i="27" s="1"/>
  <c r="H103" i="27" a="1"/>
  <c r="H103" i="27" s="1"/>
  <c r="H203" i="27" s="1"/>
  <c r="G102" i="27" a="1"/>
  <c r="G102" i="27" s="1"/>
  <c r="G202" i="27" s="1"/>
  <c r="Q148" i="27" a="1"/>
  <c r="Q148" i="27" s="1"/>
  <c r="Q248" i="27" s="1"/>
  <c r="Q130" i="27" a="1"/>
  <c r="Q130" i="27" s="1"/>
  <c r="Q230" i="27" s="1"/>
  <c r="Q109" i="27" a="1"/>
  <c r="Q109" i="27" s="1"/>
  <c r="Q209" i="27" s="1"/>
  <c r="P17" i="21" a="1"/>
  <c r="P17" i="21" s="1"/>
  <c r="S400" i="21" a="1"/>
  <c r="S400" i="21" s="1"/>
  <c r="N21" i="22"/>
  <c r="T21" i="22" s="1"/>
  <c r="U22" i="22"/>
  <c r="W24" i="22"/>
  <c r="V26" i="22"/>
  <c r="P29" i="22"/>
  <c r="R31" i="22"/>
  <c r="V22" i="22"/>
  <c r="P25" i="22"/>
  <c r="W26" i="22"/>
  <c r="R29" i="22"/>
  <c r="T31" i="22"/>
  <c r="W23" i="22"/>
  <c r="P28" i="22"/>
  <c r="P32" i="22"/>
  <c r="R28" i="22"/>
  <c r="P31" i="22"/>
  <c r="W28" i="22"/>
  <c r="U26" i="22"/>
  <c r="V24" i="22"/>
  <c r="T22" i="22"/>
  <c r="O31" i="22"/>
  <c r="V28" i="22"/>
  <c r="T26" i="22"/>
  <c r="U24" i="22"/>
  <c r="P22" i="22"/>
  <c r="T32" i="22"/>
  <c r="T30" i="22"/>
  <c r="P24" i="22"/>
  <c r="O32" i="22"/>
  <c r="W29" i="22"/>
  <c r="W27" i="22"/>
  <c r="V25" i="22"/>
  <c r="V23" i="22"/>
  <c r="W31" i="22"/>
  <c r="V29" i="22"/>
  <c r="V27" i="22"/>
  <c r="U25" i="22"/>
  <c r="U23" i="22"/>
  <c r="V32" i="22"/>
  <c r="V30" i="22"/>
  <c r="U28" i="22"/>
  <c r="R26" i="22"/>
  <c r="T24" i="22"/>
  <c r="U32" i="22"/>
  <c r="U30" i="22"/>
  <c r="T28" i="22"/>
  <c r="P26" i="22"/>
  <c r="R24" i="22"/>
  <c r="O26" i="22"/>
  <c r="P30" i="22"/>
  <c r="W25" i="22"/>
  <c r="V31" i="22"/>
  <c r="U29" i="22"/>
  <c r="T27" i="22"/>
  <c r="T25" i="22"/>
  <c r="T23" i="22"/>
  <c r="U31" i="22"/>
  <c r="T29" i="22"/>
  <c r="P27" i="22"/>
  <c r="R25" i="22"/>
  <c r="P23" i="22"/>
  <c r="R378" i="21" a="1"/>
  <c r="R378" i="21" s="1"/>
  <c r="R379" i="21" a="1"/>
  <c r="R379" i="21" s="1"/>
  <c r="S379" i="21" a="1"/>
  <c r="S379" i="21" s="1"/>
  <c r="S399" i="21" a="1"/>
  <c r="S399" i="21" s="1"/>
  <c r="S378" i="21" a="1"/>
  <c r="S378" i="21" s="1"/>
  <c r="R398" i="21" a="1"/>
  <c r="R398" i="21" s="1"/>
  <c r="S398" i="21" a="1"/>
  <c r="S398" i="21" s="1"/>
  <c r="R399" i="21" a="1"/>
  <c r="R399" i="21" s="1"/>
  <c r="O392" i="21"/>
  <c r="O341" i="21"/>
  <c r="P186" i="21" a="1"/>
  <c r="P186" i="21" s="1"/>
  <c r="P187" i="21" s="1" a="1"/>
  <c r="P187" i="21" s="1"/>
  <c r="P78" i="21" a="1"/>
  <c r="P78" i="21" s="1"/>
  <c r="P83" i="21" s="1" a="1"/>
  <c r="P83" i="21" s="1"/>
  <c r="P84" i="21" s="1" a="1"/>
  <c r="P84" i="21" s="1"/>
  <c r="P305" i="21" a="1"/>
  <c r="P305" i="21" s="1"/>
  <c r="P326" i="21" s="1" a="1"/>
  <c r="P326" i="21" s="1"/>
  <c r="P30" i="21" a="1"/>
  <c r="P30" i="21" s="1"/>
  <c r="P124" i="21" a="1"/>
  <c r="P124" i="21" s="1"/>
  <c r="P100" i="21" a="1"/>
  <c r="P100" i="21" s="1"/>
  <c r="P101" i="21" s="1" a="1"/>
  <c r="P101" i="21" s="1"/>
  <c r="P102" i="21" s="1" a="1"/>
  <c r="P102" i="21" s="1"/>
  <c r="O232" i="21"/>
  <c r="P267" i="21" a="1"/>
  <c r="P267" i="21" s="1"/>
  <c r="P278" i="21" s="1" a="1"/>
  <c r="P278" i="21" s="1"/>
  <c r="O368" i="21"/>
  <c r="O356" i="21"/>
  <c r="P92" i="21" a="1"/>
  <c r="P92" i="21" s="1"/>
  <c r="P130" i="21" s="1" a="1"/>
  <c r="P130" i="21" s="1"/>
  <c r="P170" i="21" s="1" a="1"/>
  <c r="P170" i="21" s="1"/>
  <c r="P177" i="21" s="1" a="1"/>
  <c r="P177" i="21" s="1"/>
  <c r="P80" i="21" a="1"/>
  <c r="P80" i="21" s="1"/>
  <c r="P56" i="21" a="1"/>
  <c r="P56" i="21" s="1"/>
  <c r="O8" i="21"/>
  <c r="O41" i="21"/>
  <c r="O29" i="21"/>
  <c r="O381" i="21"/>
  <c r="O307" i="21"/>
  <c r="P79" i="21" a="1"/>
  <c r="P79" i="21" s="1"/>
  <c r="P88" i="21" s="1" a="1"/>
  <c r="P88" i="21" s="1"/>
  <c r="O43" i="21"/>
  <c r="O31" i="21"/>
  <c r="O19" i="21"/>
  <c r="O18" i="21"/>
  <c r="O6" i="21"/>
  <c r="O382" i="21"/>
  <c r="O366" i="21"/>
  <c r="P76" i="21" a="1"/>
  <c r="P76" i="21" s="1"/>
  <c r="P90" i="21" s="1" a="1"/>
  <c r="P90" i="21" s="1"/>
  <c r="P140" i="21" s="1" a="1"/>
  <c r="P140" i="21" s="1"/>
  <c r="O16" i="21"/>
  <c r="O4" i="21"/>
  <c r="O385" i="21"/>
  <c r="P75" i="21" a="1"/>
  <c r="P75" i="21" s="1"/>
  <c r="P77" i="21" s="1" a="1"/>
  <c r="P77" i="21" s="1"/>
  <c r="P106" i="21" s="1" a="1"/>
  <c r="P106" i="21" s="1"/>
  <c r="O364" i="21"/>
  <c r="O304" i="21"/>
  <c r="P63" i="21" a="1"/>
  <c r="P63" i="21" s="1"/>
  <c r="O375" i="21"/>
  <c r="O327" i="21"/>
  <c r="O315" i="21"/>
  <c r="O14" i="21"/>
  <c r="O373" i="21"/>
  <c r="P349" i="21" a="1"/>
  <c r="P349" i="21" s="1"/>
  <c r="O325" i="21"/>
  <c r="P277" i="21" a="1"/>
  <c r="P277" i="21" s="1"/>
  <c r="P358" i="21" s="1" a="1"/>
  <c r="P358" i="21" s="1"/>
  <c r="O49" i="21"/>
  <c r="O37" i="21"/>
  <c r="O25" i="21"/>
  <c r="O352" i="21"/>
  <c r="O39" i="21"/>
  <c r="N261" i="21"/>
  <c r="P261" i="21" s="1" a="1"/>
  <c r="P261" i="21" s="1"/>
  <c r="P72" i="21" a="1"/>
  <c r="P72" i="21" s="1"/>
  <c r="P74" i="21" s="1" a="1"/>
  <c r="P74" i="21" s="1"/>
  <c r="P60" i="21" a="1"/>
  <c r="P60" i="21" s="1"/>
  <c r="O12" i="21"/>
  <c r="O390" i="21"/>
  <c r="O396" i="21"/>
  <c r="O394" i="21"/>
  <c r="O354" i="21"/>
  <c r="P243" i="21" a="1"/>
  <c r="P243" i="21" s="1"/>
  <c r="P244" i="21" s="1" a="1"/>
  <c r="P244" i="21" s="1"/>
  <c r="P257" i="21" s="1" a="1"/>
  <c r="P257" i="21" s="1"/>
  <c r="P219" i="21" a="1"/>
  <c r="P219" i="21" s="1"/>
  <c r="P220" i="21" s="1" a="1"/>
  <c r="P220" i="21" s="1"/>
  <c r="O51" i="21"/>
  <c r="P374" i="21" a="1"/>
  <c r="P374" i="21" s="1"/>
  <c r="O362" i="21"/>
  <c r="P230" i="21" a="1"/>
  <c r="P230" i="21" s="1"/>
  <c r="P204" i="21" a="1"/>
  <c r="P204" i="21" s="1"/>
  <c r="P409" i="21" s="1" a="1"/>
  <c r="P409" i="21" s="1"/>
  <c r="O323" i="21"/>
  <c r="P299" i="21" a="1"/>
  <c r="P299" i="21" s="1"/>
  <c r="P300" i="21" s="1" a="1"/>
  <c r="P300" i="21" s="1"/>
  <c r="P263" i="21" a="1"/>
  <c r="P263" i="21" s="1"/>
  <c r="P270" i="21" s="1" a="1"/>
  <c r="P270" i="21" s="1"/>
  <c r="P251" i="21" a="1"/>
  <c r="P251" i="21" s="1"/>
  <c r="P252" i="21" s="1" a="1"/>
  <c r="P252" i="21" s="1"/>
  <c r="AC25" i="23" s="1" a="1"/>
  <c r="AC25" i="23" s="1"/>
  <c r="O215" i="21"/>
  <c r="P191" i="21" a="1"/>
  <c r="P191" i="21" s="1"/>
  <c r="P254" i="21" s="1" a="1"/>
  <c r="P254" i="21" s="1"/>
  <c r="O370" i="21"/>
  <c r="O334" i="21"/>
  <c r="P322" i="21" a="1"/>
  <c r="P322" i="21" s="1"/>
  <c r="P190" i="21" a="1"/>
  <c r="P190" i="21" s="1"/>
  <c r="P253" i="21" s="1" a="1"/>
  <c r="P253" i="21" s="1"/>
  <c r="O10" i="21"/>
  <c r="P383" i="21" a="1"/>
  <c r="P383" i="21" s="1"/>
  <c r="O342" i="21"/>
  <c r="O27" i="21"/>
  <c r="P338" i="21" a="1"/>
  <c r="P338" i="21" s="1"/>
  <c r="P339" i="21" s="1" a="1"/>
  <c r="P339" i="21" s="1"/>
  <c r="O360" i="21"/>
  <c r="O348" i="21"/>
  <c r="P288" i="21" a="1"/>
  <c r="P288" i="21" s="1"/>
  <c r="P311" i="21" a="1"/>
  <c r="P311" i="21" s="1"/>
  <c r="P275" i="21" a="1"/>
  <c r="P275" i="21" s="1"/>
  <c r="P343" i="21" s="1" a="1"/>
  <c r="P343" i="21" s="1"/>
  <c r="P376" i="21" s="1" a="1"/>
  <c r="P376" i="21" s="1"/>
  <c r="P131" i="21" a="1"/>
  <c r="P131" i="21" s="1"/>
  <c r="P132" i="21" s="1" a="1"/>
  <c r="P132" i="21" s="1"/>
  <c r="P59" i="21" a="1"/>
  <c r="P59" i="21" s="1"/>
  <c r="O47" i="21"/>
  <c r="O35" i="21"/>
  <c r="O23" i="21"/>
  <c r="O357" i="21"/>
  <c r="O309" i="21"/>
  <c r="P285" i="21" a="1"/>
  <c r="P285" i="21" s="1"/>
  <c r="P298" i="21" s="1" a="1"/>
  <c r="P298" i="21" s="1"/>
  <c r="P249" i="21" a="1"/>
  <c r="P249" i="21" s="1"/>
  <c r="O189" i="21"/>
  <c r="P69" i="21" a="1"/>
  <c r="P69" i="21" s="1"/>
  <c r="P202" i="21" s="1" a="1"/>
  <c r="P202" i="21" s="1"/>
  <c r="P57" i="21" a="1"/>
  <c r="P57" i="21" s="1"/>
  <c r="P332" i="21" s="1" a="1"/>
  <c r="P332" i="21" s="1"/>
  <c r="O45" i="21"/>
  <c r="O33" i="21"/>
  <c r="O21" i="21"/>
  <c r="S396" i="21" a="1"/>
  <c r="S396" i="21" s="1"/>
  <c r="R397" i="21" a="1"/>
  <c r="R397" i="21" s="1"/>
  <c r="S394" i="21" a="1"/>
  <c r="S394" i="21" s="1"/>
  <c r="S397" i="21" a="1"/>
  <c r="S397" i="21" s="1"/>
  <c r="R394" i="21" a="1"/>
  <c r="R394" i="21" s="1"/>
  <c r="S395" i="21" a="1"/>
  <c r="S395" i="21" s="1"/>
  <c r="R395" i="21" a="1"/>
  <c r="R395" i="21" s="1"/>
  <c r="R396" i="21" a="1"/>
  <c r="R396" i="21" s="1"/>
  <c r="S393" i="21" a="1"/>
  <c r="S393" i="21" s="1"/>
  <c r="R393" i="21" a="1"/>
  <c r="R393" i="21" s="1"/>
  <c r="S392" i="21" a="1"/>
  <c r="S392" i="21" s="1"/>
  <c r="R391" i="21" a="1"/>
  <c r="R391" i="21" s="1"/>
  <c r="R392" i="21" a="1"/>
  <c r="R392" i="21" s="1"/>
  <c r="S391" i="21" a="1"/>
  <c r="S391" i="21" s="1"/>
  <c r="R390" i="21" a="1"/>
  <c r="R390" i="21" s="1"/>
  <c r="S388" i="21" a="1"/>
  <c r="S388" i="21" s="1"/>
  <c r="S389" i="21" a="1"/>
  <c r="S389" i="21" s="1"/>
  <c r="R388" i="21" a="1"/>
  <c r="R388" i="21" s="1"/>
  <c r="S390" i="21" a="1"/>
  <c r="S390" i="21" s="1"/>
  <c r="S387" i="21" a="1"/>
  <c r="S387" i="21" s="1"/>
  <c r="R389" i="21" a="1"/>
  <c r="R389" i="21" s="1"/>
  <c r="R387" i="21" a="1"/>
  <c r="R387" i="21" s="1"/>
  <c r="S386" i="21" a="1"/>
  <c r="S386" i="21" s="1"/>
  <c r="R386" i="21" a="1"/>
  <c r="R386" i="21" s="1"/>
  <c r="R385" i="21" a="1"/>
  <c r="R385" i="21" s="1"/>
  <c r="S385" i="21" a="1"/>
  <c r="S385" i="21" s="1"/>
  <c r="S384" i="21" a="1"/>
  <c r="S384" i="21" s="1"/>
  <c r="R384" i="21" a="1"/>
  <c r="R384" i="21" s="1"/>
  <c r="P62" i="21" a="1"/>
  <c r="P62" i="21" s="1"/>
  <c r="B65" i="23"/>
  <c r="P64" i="21" a="1"/>
  <c r="P64" i="21" s="1"/>
  <c r="P397" i="21" s="1" a="1"/>
  <c r="P397" i="21" s="1"/>
  <c r="P94" i="21" a="1"/>
  <c r="P94" i="21" s="1"/>
  <c r="P216" i="21" a="1"/>
  <c r="P216" i="21" s="1"/>
  <c r="P378" i="21" s="1" a="1"/>
  <c r="P378" i="21" s="1"/>
  <c r="P379" i="21" s="1" a="1"/>
  <c r="P379" i="21" s="1"/>
  <c r="P20" i="21" a="1"/>
  <c r="P20" i="21" s="1"/>
  <c r="P320" i="21" a="1"/>
  <c r="P320" i="21" s="1"/>
  <c r="P329" i="21" s="1" a="1"/>
  <c r="P329" i="21" s="1"/>
  <c r="P58" i="21" a="1"/>
  <c r="P58" i="21" s="1"/>
  <c r="P71" i="21" a="1"/>
  <c r="P71" i="21" s="1"/>
  <c r="P113" i="21" a="1"/>
  <c r="P113" i="21" s="1"/>
  <c r="P114" i="21" a="1"/>
  <c r="P114" i="21" s="1"/>
  <c r="Z65" i="23"/>
  <c r="A65" i="23" s="1"/>
  <c r="Y65" i="23"/>
  <c r="AS65" i="23"/>
  <c r="T65" i="23" s="1"/>
  <c r="AG65" i="23" a="1"/>
  <c r="AG65" i="23" s="1"/>
  <c r="AD65" i="23" a="1"/>
  <c r="AD65" i="23" s="1"/>
  <c r="AB65" i="23" a="1"/>
  <c r="AB65" i="23" s="1"/>
  <c r="C65" i="23" s="1"/>
  <c r="R382" i="21" a="1"/>
  <c r="R382" i="21" s="1"/>
  <c r="R383" i="21" a="1"/>
  <c r="R383" i="21" s="1"/>
  <c r="S382" i="21" a="1"/>
  <c r="S382" i="21" s="1"/>
  <c r="S381" i="21" a="1"/>
  <c r="S381" i="21" s="1"/>
  <c r="S383" i="21" a="1"/>
  <c r="S383" i="21" s="1"/>
  <c r="R381" i="21" a="1"/>
  <c r="R381" i="21" s="1"/>
  <c r="R380" i="21" a="1"/>
  <c r="R380" i="21" s="1"/>
  <c r="S380" i="21" a="1"/>
  <c r="S380" i="21" s="1"/>
  <c r="R377" i="21" a="1"/>
  <c r="R377" i="21" s="1"/>
  <c r="S377" i="21" a="1"/>
  <c r="S377" i="21" s="1"/>
  <c r="R373" i="21" a="1"/>
  <c r="R373" i="21" s="1"/>
  <c r="R375" i="21" a="1"/>
  <c r="R375" i="21" s="1"/>
  <c r="R376" i="21" a="1"/>
  <c r="R376" i="21" s="1"/>
  <c r="S373" i="21" a="1"/>
  <c r="S373" i="21" s="1"/>
  <c r="S375" i="21" a="1"/>
  <c r="S375" i="21" s="1"/>
  <c r="S376" i="21" a="1"/>
  <c r="S376" i="21" s="1"/>
  <c r="N4" i="21"/>
  <c r="C207" i="27"/>
  <c r="O235" i="27"/>
  <c r="M249" i="27"/>
  <c r="D260" i="27"/>
  <c r="R371" i="21" a="1"/>
  <c r="R371" i="21" s="1"/>
  <c r="S55" i="22" a="1"/>
  <c r="S55" i="22" s="1"/>
  <c r="N317" i="21"/>
  <c r="R374" i="21" a="1"/>
  <c r="R374" i="21" s="1"/>
  <c r="M23" i="21"/>
  <c r="S23" i="21" s="1" a="1"/>
  <c r="S23" i="21" s="1"/>
  <c r="N23" i="21"/>
  <c r="S374" i="21" a="1"/>
  <c r="S374" i="21" s="1"/>
  <c r="S371" i="21" a="1"/>
  <c r="S371" i="21" s="1"/>
  <c r="R372" i="21" a="1"/>
  <c r="R372" i="21" s="1"/>
  <c r="S372" i="21" a="1"/>
  <c r="S372" i="21" s="1"/>
  <c r="R370" i="21" a="1"/>
  <c r="R370" i="21" s="1"/>
  <c r="S370" i="21" a="1"/>
  <c r="S370" i="21" s="1"/>
  <c r="S369" i="21" a="1"/>
  <c r="S369" i="21" s="1"/>
  <c r="R369" i="21" a="1"/>
  <c r="R369" i="21" s="1"/>
  <c r="R367" i="21" a="1"/>
  <c r="R367" i="21" s="1"/>
  <c r="S364" i="21" a="1"/>
  <c r="S364" i="21" s="1"/>
  <c r="S368" i="21" a="1"/>
  <c r="S368" i="21" s="1"/>
  <c r="S363" i="21" a="1"/>
  <c r="S363" i="21" s="1"/>
  <c r="S365" i="21" a="1"/>
  <c r="S365" i="21" s="1"/>
  <c r="R366" i="21" a="1"/>
  <c r="R366" i="21" s="1"/>
  <c r="R365" i="21" a="1"/>
  <c r="R365" i="21" s="1"/>
  <c r="R364" i="21" a="1"/>
  <c r="R364" i="21" s="1"/>
  <c r="S366" i="21" a="1"/>
  <c r="S366" i="21" s="1"/>
  <c r="R363" i="21" a="1"/>
  <c r="R363" i="21" s="1"/>
  <c r="S367" i="21" a="1"/>
  <c r="S367" i="21" s="1"/>
  <c r="R368" i="21" a="1"/>
  <c r="R368" i="21" s="1"/>
  <c r="R361" i="21" a="1"/>
  <c r="R361" i="21" s="1"/>
  <c r="R362" i="21" a="1"/>
  <c r="R362" i="21" s="1"/>
  <c r="S362" i="21" a="1"/>
  <c r="S362" i="21" s="1"/>
  <c r="S361" i="21" a="1"/>
  <c r="S361" i="21" s="1"/>
  <c r="S359" i="21" a="1"/>
  <c r="S359" i="21" s="1"/>
  <c r="R360" i="21" a="1"/>
  <c r="R360" i="21" s="1"/>
  <c r="R359" i="21" a="1"/>
  <c r="R359" i="21" s="1"/>
  <c r="S360" i="21" a="1"/>
  <c r="S360" i="21" s="1"/>
  <c r="R356" i="21" a="1"/>
  <c r="R356" i="21" s="1"/>
  <c r="S356" i="21" a="1"/>
  <c r="S356" i="21" s="1"/>
  <c r="S358" i="21" a="1"/>
  <c r="S358" i="21" s="1"/>
  <c r="R358" i="21" a="1"/>
  <c r="R358" i="21" s="1"/>
  <c r="R355" i="21" a="1"/>
  <c r="R355" i="21" s="1"/>
  <c r="S357" i="21" a="1"/>
  <c r="S357" i="21" s="1"/>
  <c r="R357" i="21" a="1"/>
  <c r="R357" i="21" s="1"/>
  <c r="S355" i="21" a="1"/>
  <c r="S355" i="21" s="1"/>
  <c r="R354" i="21" a="1"/>
  <c r="R354" i="21" s="1"/>
  <c r="R353" i="21" a="1"/>
  <c r="R353" i="21" s="1"/>
  <c r="R352" i="21" a="1"/>
  <c r="R352" i="21" s="1"/>
  <c r="S354" i="21" a="1"/>
  <c r="S354" i="21" s="1"/>
  <c r="S353" i="21" a="1"/>
  <c r="S353" i="21" s="1"/>
  <c r="S352" i="21" a="1"/>
  <c r="S352" i="21" s="1"/>
  <c r="R351" i="21" a="1"/>
  <c r="R351" i="21" s="1"/>
  <c r="S351" i="21" a="1"/>
  <c r="S351" i="21" s="1"/>
  <c r="N39" i="21"/>
  <c r="N47" i="21"/>
  <c r="N14" i="21"/>
  <c r="N49" i="21"/>
  <c r="N25" i="21"/>
  <c r="N12" i="21"/>
  <c r="N35" i="21"/>
  <c r="N19" i="21"/>
  <c r="N6" i="21"/>
  <c r="N10" i="21"/>
  <c r="N41" i="21"/>
  <c r="N16" i="21"/>
  <c r="G52" i="22"/>
  <c r="G65" i="22"/>
  <c r="G51" i="22"/>
  <c r="G50" i="22"/>
  <c r="G61" i="22"/>
  <c r="G48" i="22"/>
  <c r="G60" i="22"/>
  <c r="G92" i="22" s="1"/>
  <c r="G47" i="22"/>
  <c r="G59" i="22"/>
  <c r="G46" i="22"/>
  <c r="G71" i="22"/>
  <c r="G57" i="22"/>
  <c r="G44" i="22"/>
  <c r="G58" i="22"/>
  <c r="G70" i="22"/>
  <c r="G43" i="22"/>
  <c r="G66" i="22"/>
  <c r="G63" i="22"/>
  <c r="G45" i="22"/>
  <c r="G56" i="22"/>
  <c r="G69" i="22"/>
  <c r="G55" i="22"/>
  <c r="G42" i="22"/>
  <c r="G72" i="22"/>
  <c r="G68" i="22"/>
  <c r="G54" i="22"/>
  <c r="G67" i="22"/>
  <c r="S350" i="21" a="1"/>
  <c r="S350" i="21" s="1"/>
  <c r="R350" i="21" a="1"/>
  <c r="R350" i="21" s="1"/>
  <c r="S348" i="21" a="1"/>
  <c r="S348" i="21" s="1"/>
  <c r="S349" i="21" a="1"/>
  <c r="S349" i="21" s="1"/>
  <c r="R348" i="21" a="1"/>
  <c r="R348" i="21" s="1"/>
  <c r="R349" i="21" a="1"/>
  <c r="R349" i="21" s="1"/>
  <c r="S347" i="21" a="1"/>
  <c r="S347" i="21" s="1"/>
  <c r="R347" i="21" a="1"/>
  <c r="R347" i="21" s="1"/>
  <c r="S346" i="21" a="1"/>
  <c r="S346" i="21" s="1"/>
  <c r="R346" i="21" a="1"/>
  <c r="R346" i="21" s="1"/>
  <c r="R345" i="21" a="1"/>
  <c r="R345" i="21" s="1"/>
  <c r="S345" i="21" a="1"/>
  <c r="S345" i="21" s="1"/>
  <c r="S344" i="21" a="1"/>
  <c r="S344" i="21" s="1"/>
  <c r="R344" i="21" a="1"/>
  <c r="R344" i="21" s="1"/>
  <c r="AD64" i="23" a="1"/>
  <c r="AD64" i="23" s="1"/>
  <c r="AB64" i="23" a="1"/>
  <c r="AB64" i="23" s="1"/>
  <c r="C64" i="23" s="1"/>
  <c r="Z64" i="23"/>
  <c r="A64" i="23" s="1"/>
  <c r="Y64" i="23"/>
  <c r="B63" i="23"/>
  <c r="AS64" i="23"/>
  <c r="T64" i="23" s="1"/>
  <c r="B64" i="23"/>
  <c r="AG64" i="23" a="1"/>
  <c r="AG64" i="23" s="1"/>
  <c r="S343" i="21" a="1"/>
  <c r="S343" i="21" s="1"/>
  <c r="R343" i="21" a="1"/>
  <c r="R343" i="21" s="1"/>
  <c r="R342" i="21" a="1"/>
  <c r="R342" i="21" s="1"/>
  <c r="S342" i="21" a="1"/>
  <c r="S342" i="21" s="1"/>
  <c r="S341" i="21" a="1"/>
  <c r="S341" i="21" s="1"/>
  <c r="R340" i="21" a="1"/>
  <c r="R340" i="21" s="1"/>
  <c r="S340" i="21" a="1"/>
  <c r="S340" i="21" s="1"/>
  <c r="R341" i="21" a="1"/>
  <c r="R341" i="21" s="1"/>
  <c r="S338" i="21" a="1"/>
  <c r="S338" i="21" s="1"/>
  <c r="S339" i="21" a="1"/>
  <c r="S339" i="21" s="1"/>
  <c r="R338" i="21" a="1"/>
  <c r="R338" i="21" s="1"/>
  <c r="R339" i="21" a="1"/>
  <c r="R339" i="21" s="1"/>
  <c r="AB61" i="23" a="1"/>
  <c r="AB61" i="23" s="1"/>
  <c r="AB56" i="23" a="1"/>
  <c r="AB56" i="23" s="1"/>
  <c r="AB55" i="23" a="1"/>
  <c r="AB55" i="23" s="1"/>
  <c r="AB54" i="23" a="1"/>
  <c r="AB54" i="23" s="1"/>
  <c r="AB63" i="23" a="1"/>
  <c r="AB63" i="23" s="1"/>
  <c r="C63" i="23" s="1"/>
  <c r="AB53" i="23" a="1"/>
  <c r="AB53" i="23" s="1"/>
  <c r="AB62" i="23" a="1"/>
  <c r="AB62" i="23" s="1"/>
  <c r="AG63" i="23" a="1"/>
  <c r="AG63" i="23" s="1"/>
  <c r="R56" i="21" a="1"/>
  <c r="R56" i="21" s="1"/>
  <c r="AB60" i="23" a="1"/>
  <c r="AB60" i="23" s="1"/>
  <c r="AD62" i="23" a="1"/>
  <c r="AD62" i="23" s="1"/>
  <c r="AB59" i="23" a="1"/>
  <c r="AB59" i="23" s="1"/>
  <c r="AS63" i="23"/>
  <c r="T63" i="23" s="1"/>
  <c r="AB58" i="23" a="1"/>
  <c r="AB58" i="23" s="1"/>
  <c r="AD63" i="23" a="1"/>
  <c r="AD63" i="23" s="1"/>
  <c r="AB57" i="23" a="1"/>
  <c r="AB57" i="23" s="1"/>
  <c r="S56" i="21" a="1"/>
  <c r="S56" i="21" s="1"/>
  <c r="Z63" i="23"/>
  <c r="A63" i="23" s="1"/>
  <c r="Y63" i="23"/>
  <c r="C101" i="27" a="1"/>
  <c r="C101" i="27" s="1"/>
  <c r="C201" i="27" s="1"/>
  <c r="R101" i="27" a="1"/>
  <c r="R101" i="27" s="1"/>
  <c r="R201" i="27" s="1"/>
  <c r="P101" i="27" a="1"/>
  <c r="P101" i="27" s="1"/>
  <c r="P201" i="27" s="1"/>
  <c r="O101" i="27" a="1"/>
  <c r="O101" i="27" s="1"/>
  <c r="O201" i="27" s="1"/>
  <c r="N101" i="27" a="1"/>
  <c r="N101" i="27" s="1"/>
  <c r="N201" i="27" s="1"/>
  <c r="M101" i="27" a="1"/>
  <c r="M101" i="27" s="1"/>
  <c r="M201" i="27" s="1"/>
  <c r="L101" i="27" a="1"/>
  <c r="L101" i="27" s="1"/>
  <c r="L201" i="27" s="1"/>
  <c r="K101" i="27" a="1"/>
  <c r="K101" i="27" s="1"/>
  <c r="K201" i="27" s="1"/>
  <c r="J101" i="27" a="1"/>
  <c r="J101" i="27" s="1"/>
  <c r="J201" i="27" s="1"/>
  <c r="I101" i="27" a="1"/>
  <c r="I101" i="27" s="1"/>
  <c r="I201" i="27" s="1"/>
  <c r="H101" i="27" a="1"/>
  <c r="H101" i="27" s="1"/>
  <c r="H201" i="27" s="1"/>
  <c r="G101" i="27" a="1"/>
  <c r="G101" i="27" s="1"/>
  <c r="G201" i="27" s="1"/>
  <c r="F101" i="27" a="1"/>
  <c r="F101" i="27" s="1"/>
  <c r="F201" i="27" s="1"/>
  <c r="E101" i="27" a="1"/>
  <c r="E101" i="27" s="1"/>
  <c r="E201" i="27" s="1"/>
  <c r="D101" i="27" a="1"/>
  <c r="D101" i="27" s="1"/>
  <c r="D201" i="27" s="1"/>
  <c r="M337" i="21"/>
  <c r="S337" i="21" s="1" a="1"/>
  <c r="S337" i="21" s="1"/>
  <c r="S336" i="21" a="1"/>
  <c r="S336" i="21" s="1"/>
  <c r="R337" i="21" a="1"/>
  <c r="R337" i="21" s="1"/>
  <c r="R336" i="21" a="1"/>
  <c r="R336" i="21" s="1"/>
  <c r="S335" i="21" a="1"/>
  <c r="S335" i="21" s="1"/>
  <c r="R334" i="21" a="1"/>
  <c r="R334" i="21" s="1"/>
  <c r="S334" i="21" a="1"/>
  <c r="S334" i="21" s="1"/>
  <c r="R335" i="21" a="1"/>
  <c r="R335" i="21" s="1"/>
  <c r="C70" i="22" a="1"/>
  <c r="C70" i="22" s="1"/>
  <c r="C50" i="22" a="1"/>
  <c r="C50" i="22" s="1"/>
  <c r="C56" i="22" a="1"/>
  <c r="C56" i="22" s="1"/>
  <c r="C43" i="22" a="1"/>
  <c r="C43" i="22" s="1"/>
  <c r="C60" i="22" a="1"/>
  <c r="C60" i="22" s="1"/>
  <c r="C66" i="22" a="1"/>
  <c r="C66" i="22" s="1"/>
  <c r="F66" i="22" s="1" a="1"/>
  <c r="F66" i="22" s="1"/>
  <c r="C72" i="22" a="1"/>
  <c r="C72" i="22" s="1"/>
  <c r="F72" i="22" s="1" a="1"/>
  <c r="F72" i="22" s="1"/>
  <c r="C59" i="22" a="1"/>
  <c r="C59" i="22" s="1"/>
  <c r="C52" i="22" a="1"/>
  <c r="C52" i="22" s="1"/>
  <c r="C63" i="22" a="1"/>
  <c r="C63" i="22" s="1"/>
  <c r="C69" i="22" a="1"/>
  <c r="C69" i="22" s="1"/>
  <c r="F69" i="22" s="1" a="1"/>
  <c r="F69" i="22" s="1"/>
  <c r="C49" i="22" a="1"/>
  <c r="C49" i="22" s="1"/>
  <c r="C42" i="22" a="1"/>
  <c r="C42" i="22" s="1"/>
  <c r="C62" i="22" a="1"/>
  <c r="C62" i="22" s="1"/>
  <c r="I62" i="22" s="1"/>
  <c r="C55" i="22" a="1"/>
  <c r="C55" i="22" s="1"/>
  <c r="C54" i="22" a="1"/>
  <c r="C54" i="22" s="1"/>
  <c r="C47" i="22" a="1"/>
  <c r="C47" i="22" s="1"/>
  <c r="C53" i="22" a="1"/>
  <c r="C53" i="22" s="1"/>
  <c r="C65" i="22" a="1"/>
  <c r="C65" i="22" s="1"/>
  <c r="C45" i="22" a="1"/>
  <c r="C45" i="22" s="1"/>
  <c r="C46" i="22" a="1"/>
  <c r="C46" i="22" s="1"/>
  <c r="C71" i="22" a="1"/>
  <c r="C71" i="22" s="1"/>
  <c r="F71" i="22" s="1" a="1"/>
  <c r="F71" i="22" s="1"/>
  <c r="C58" i="22" a="1"/>
  <c r="C58" i="22" s="1"/>
  <c r="C51" i="22" a="1"/>
  <c r="C51" i="22" s="1"/>
  <c r="C48" i="22" a="1"/>
  <c r="C48" i="22" s="1"/>
  <c r="C68" i="22" a="1"/>
  <c r="C68" i="22" s="1"/>
  <c r="C61" i="22" a="1"/>
  <c r="C61" i="22" s="1"/>
  <c r="C67" i="22" a="1"/>
  <c r="C67" i="22" s="1"/>
  <c r="C64" i="22" a="1"/>
  <c r="C64" i="22" s="1"/>
  <c r="C57" i="22" a="1"/>
  <c r="C57" i="22" s="1"/>
  <c r="C44" i="22" a="1"/>
  <c r="C44" i="22" s="1"/>
  <c r="AD57" i="23" a="1"/>
  <c r="AD57" i="23" s="1"/>
  <c r="AD49" i="23" a="1"/>
  <c r="AD49" i="23" s="1"/>
  <c r="AG57" i="23" a="1"/>
  <c r="AG57" i="23" s="1"/>
  <c r="AG47" i="23" a="1"/>
  <c r="AG47" i="23" s="1"/>
  <c r="AD58" i="23" a="1"/>
  <c r="AD58" i="23" s="1"/>
  <c r="AG58" i="23" a="1"/>
  <c r="AG58" i="23" s="1"/>
  <c r="AD38" i="23" a="1"/>
  <c r="AD38" i="23" s="1"/>
  <c r="AG46" i="23" a="1"/>
  <c r="AG46" i="23" s="1"/>
  <c r="AD37" i="23" a="1"/>
  <c r="AD37" i="23" s="1"/>
  <c r="AG38" i="23" a="1"/>
  <c r="AG38" i="23" s="1"/>
  <c r="AD29" i="23" a="1"/>
  <c r="AD29" i="23" s="1"/>
  <c r="AG23" i="23" a="1"/>
  <c r="AG23" i="23" s="1"/>
  <c r="AD15" i="23" a="1"/>
  <c r="AD15" i="23" s="1"/>
  <c r="AD24" i="23" a="1"/>
  <c r="AD24" i="23" s="1"/>
  <c r="AG14" i="23" a="1"/>
  <c r="AG14" i="23" s="1"/>
  <c r="AD14" i="23" a="1"/>
  <c r="AD14" i="23" s="1"/>
  <c r="AD56" i="23" a="1"/>
  <c r="AD56" i="23" s="1"/>
  <c r="AD36" i="23" a="1"/>
  <c r="AD36" i="23" s="1"/>
  <c r="AD22" i="23" a="1"/>
  <c r="AD22" i="23" s="1"/>
  <c r="AD13" i="23" a="1"/>
  <c r="AD13" i="23" s="1"/>
  <c r="AG56" i="23" a="1"/>
  <c r="AG56" i="23" s="1"/>
  <c r="AG33" i="23" a="1"/>
  <c r="AG33" i="23" s="1"/>
  <c r="AG21" i="23" a="1"/>
  <c r="AG21" i="23" s="1"/>
  <c r="AD55" i="23" a="1"/>
  <c r="AD55" i="23" s="1"/>
  <c r="AD32" i="23" a="1"/>
  <c r="AD32" i="23" s="1"/>
  <c r="AD21" i="23" a="1"/>
  <c r="AD21" i="23" s="1"/>
  <c r="AG53" i="23" a="1"/>
  <c r="AG53" i="23" s="1"/>
  <c r="AG32" i="23" a="1"/>
  <c r="AG32" i="23" s="1"/>
  <c r="AD51" i="23" a="1"/>
  <c r="AD51" i="23" s="1"/>
  <c r="AD42" i="23" a="1"/>
  <c r="AD42" i="23" s="1"/>
  <c r="AD8" i="23" a="1"/>
  <c r="AD8" i="23" s="1"/>
  <c r="AG60" i="23" a="1"/>
  <c r="AG60" i="23" s="1"/>
  <c r="AG51" i="23" a="1"/>
  <c r="AG51" i="23" s="1"/>
  <c r="AG30" i="23" a="1"/>
  <c r="AG30" i="23" s="1"/>
  <c r="AG4" i="23" a="1"/>
  <c r="AG4" i="23" s="1"/>
  <c r="AD39" i="23" a="1"/>
  <c r="AD39" i="23" s="1"/>
  <c r="AD30" i="23" a="1"/>
  <c r="AD30" i="23" s="1"/>
  <c r="AD17" i="23" a="1"/>
  <c r="AD17" i="23" s="1"/>
  <c r="AG39" i="23" a="1"/>
  <c r="AG39" i="23" s="1"/>
  <c r="AG15" i="23" a="1"/>
  <c r="AG15" i="23" s="1"/>
  <c r="AG37" i="23" a="1"/>
  <c r="AG37" i="23" s="1"/>
  <c r="AG22" i="23" a="1"/>
  <c r="AG22" i="23" s="1"/>
  <c r="AG11" i="23" a="1"/>
  <c r="AG11" i="23" s="1"/>
  <c r="AD45" i="23" a="1"/>
  <c r="AD45" i="23" s="1"/>
  <c r="AD23" i="23" a="1"/>
  <c r="AD23" i="23" s="1"/>
  <c r="AG45" i="23" a="1"/>
  <c r="AG45" i="23" s="1"/>
  <c r="AG10" i="23" a="1"/>
  <c r="AG10" i="23" s="1"/>
  <c r="AD44" i="23" a="1"/>
  <c r="AD44" i="23" s="1"/>
  <c r="AD10" i="23" a="1"/>
  <c r="AD10" i="23" s="1"/>
  <c r="AG44" i="23" a="1"/>
  <c r="AG44" i="23" s="1"/>
  <c r="AG18" i="23" a="1"/>
  <c r="AG18" i="23" s="1"/>
  <c r="AG9" i="23" a="1"/>
  <c r="AG9" i="23" s="1"/>
  <c r="AD52" i="23" a="1"/>
  <c r="AD52" i="23" s="1"/>
  <c r="AD43" i="23" a="1"/>
  <c r="AD43" i="23" s="1"/>
  <c r="AD9" i="23" a="1"/>
  <c r="AD9" i="23" s="1"/>
  <c r="AG52" i="23" a="1"/>
  <c r="AG52" i="23" s="1"/>
  <c r="AG43" i="23" a="1"/>
  <c r="AG43" i="23" s="1"/>
  <c r="AG31" i="23" a="1"/>
  <c r="AG31" i="23" s="1"/>
  <c r="AG17" i="23" a="1"/>
  <c r="AG17" i="23" s="1"/>
  <c r="AG8" i="23" a="1"/>
  <c r="AG8" i="23" s="1"/>
  <c r="AD31" i="23" a="1"/>
  <c r="AD31" i="23" s="1"/>
  <c r="AD20" i="23" a="1"/>
  <c r="AD20" i="23" s="1"/>
  <c r="AG40" i="23" a="1"/>
  <c r="AG40" i="23" s="1"/>
  <c r="AG16" i="23" a="1"/>
  <c r="AG16" i="23" s="1"/>
  <c r="AG5" i="23" a="1"/>
  <c r="AG5" i="23" s="1"/>
  <c r="AD59" i="23" a="1"/>
  <c r="AD59" i="23" s="1"/>
  <c r="AD50" i="23" a="1"/>
  <c r="AD50" i="23" s="1"/>
  <c r="AD16" i="23" a="1"/>
  <c r="AD16" i="23" s="1"/>
  <c r="AD7" i="23" a="1"/>
  <c r="AD7" i="23" s="1"/>
  <c r="AG59" i="23" a="1"/>
  <c r="AG59" i="23" s="1"/>
  <c r="AG50" i="23" a="1"/>
  <c r="AG50" i="23" s="1"/>
  <c r="AG24" i="23" a="1"/>
  <c r="AG24" i="23" s="1"/>
  <c r="AD61" i="23" a="1"/>
  <c r="AD61" i="23" s="1"/>
  <c r="AD48" i="23" a="1"/>
  <c r="AD48" i="23" s="1"/>
  <c r="AD35" i="23" a="1"/>
  <c r="AD35" i="23" s="1"/>
  <c r="AD28" i="23" a="1"/>
  <c r="AD28" i="23" s="1"/>
  <c r="AD6" i="23" a="1"/>
  <c r="AD6" i="23" s="1"/>
  <c r="AG62" i="23" a="1"/>
  <c r="AG62" i="23" s="1"/>
  <c r="AG49" i="23" a="1"/>
  <c r="AG49" i="23" s="1"/>
  <c r="AG36" i="23" a="1"/>
  <c r="AG36" i="23" s="1"/>
  <c r="AG29" i="23" a="1"/>
  <c r="AG29" i="23" s="1"/>
  <c r="AG20" i="23" a="1"/>
  <c r="AG20" i="23" s="1"/>
  <c r="AG7" i="23" a="1"/>
  <c r="AG7" i="23" s="1"/>
  <c r="AD54" i="23" a="1"/>
  <c r="AD54" i="23" s="1"/>
  <c r="AD41" i="23" a="1"/>
  <c r="AD41" i="23" s="1"/>
  <c r="AD34" i="23" a="1"/>
  <c r="AD34" i="23" s="1"/>
  <c r="AD19" i="23" a="1"/>
  <c r="AD19" i="23" s="1"/>
  <c r="AD12" i="23" a="1"/>
  <c r="AD12" i="23" s="1"/>
  <c r="AG55" i="23" a="1"/>
  <c r="AG55" i="23" s="1"/>
  <c r="AG42" i="23" a="1"/>
  <c r="AG42" i="23" s="1"/>
  <c r="AG28" i="23" a="1"/>
  <c r="AG28" i="23" s="1"/>
  <c r="AG13" i="23" a="1"/>
  <c r="AG13" i="23" s="1"/>
  <c r="AD60" i="23" a="1"/>
  <c r="AD60" i="23" s="1"/>
  <c r="AD47" i="23" a="1"/>
  <c r="AD47" i="23" s="1"/>
  <c r="AD40" i="23" a="1"/>
  <c r="AD40" i="23" s="1"/>
  <c r="AD27" i="23" a="1"/>
  <c r="AD27" i="23" s="1"/>
  <c r="AD5" i="23" a="1"/>
  <c r="AD5" i="23" s="1"/>
  <c r="AG61" i="23" a="1"/>
  <c r="AG61" i="23" s="1"/>
  <c r="AG48" i="23" a="1"/>
  <c r="AG48" i="23" s="1"/>
  <c r="AG35" i="23" a="1"/>
  <c r="AG35" i="23" s="1"/>
  <c r="AG19" i="23" a="1"/>
  <c r="AG19" i="23" s="1"/>
  <c r="AG6" i="23" a="1"/>
  <c r="AG6" i="23" s="1"/>
  <c r="AD53" i="23" a="1"/>
  <c r="AD53" i="23" s="1"/>
  <c r="AD46" i="23" a="1"/>
  <c r="AD46" i="23" s="1"/>
  <c r="AD33" i="23" a="1"/>
  <c r="AD33" i="23" s="1"/>
  <c r="AD18" i="23" a="1"/>
  <c r="AD18" i="23" s="1"/>
  <c r="AD11" i="23" a="1"/>
  <c r="AD11" i="23" s="1"/>
  <c r="AD4" i="23" a="1"/>
  <c r="AD4" i="23" s="1"/>
  <c r="AG54" i="23" a="1"/>
  <c r="AG54" i="23" s="1"/>
  <c r="AG41" i="23" a="1"/>
  <c r="AG41" i="23" s="1"/>
  <c r="AG34" i="23" a="1"/>
  <c r="AG34" i="23" s="1"/>
  <c r="AG27" i="23" a="1"/>
  <c r="AG27" i="23" s="1"/>
  <c r="AG12" i="23" a="1"/>
  <c r="AG12" i="23" s="1"/>
  <c r="AS61" i="23"/>
  <c r="AS46" i="23"/>
  <c r="T46" i="23" s="1"/>
  <c r="AS28" i="23"/>
  <c r="T28" i="23" s="1"/>
  <c r="AS13" i="23"/>
  <c r="T13" i="23" s="1"/>
  <c r="AS49" i="23"/>
  <c r="T49" i="23" s="1"/>
  <c r="AS34" i="23"/>
  <c r="T34" i="23" s="1"/>
  <c r="AS16" i="23"/>
  <c r="T16" i="23" s="1"/>
  <c r="AS48" i="23"/>
  <c r="T48" i="23" s="1"/>
  <c r="AS30" i="23"/>
  <c r="T30" i="23" s="1"/>
  <c r="AS15" i="23"/>
  <c r="T15" i="23" s="1"/>
  <c r="AS62" i="23"/>
  <c r="T62" i="23" s="1"/>
  <c r="AS47" i="23"/>
  <c r="T47" i="23" s="1"/>
  <c r="AS29" i="23"/>
  <c r="T29" i="23" s="1"/>
  <c r="AS14" i="23"/>
  <c r="AS59" i="23"/>
  <c r="T59" i="23" s="1"/>
  <c r="AS41" i="23"/>
  <c r="T41" i="23" s="1"/>
  <c r="AS26" i="23"/>
  <c r="T26" i="23" s="1"/>
  <c r="AS11" i="23"/>
  <c r="T11" i="23" s="1"/>
  <c r="AS58" i="23"/>
  <c r="T58" i="23" s="1"/>
  <c r="AS40" i="23"/>
  <c r="T40" i="23" s="1"/>
  <c r="AS25" i="23"/>
  <c r="AS10" i="23"/>
  <c r="T10" i="23" s="1"/>
  <c r="AS54" i="23"/>
  <c r="T54" i="23" s="1"/>
  <c r="AS39" i="23"/>
  <c r="T39" i="23" s="1"/>
  <c r="AS24" i="23"/>
  <c r="AS6" i="23"/>
  <c r="T6" i="23" s="1"/>
  <c r="AS53" i="23"/>
  <c r="T53" i="23" s="1"/>
  <c r="AS38" i="23"/>
  <c r="T38" i="23" s="1"/>
  <c r="AS23" i="23"/>
  <c r="T23" i="23" s="1"/>
  <c r="AS5" i="23"/>
  <c r="T5" i="23" s="1"/>
  <c r="AS52" i="23"/>
  <c r="T52" i="23" s="1"/>
  <c r="AS37" i="23"/>
  <c r="T37" i="23" s="1"/>
  <c r="AS22" i="23"/>
  <c r="T22" i="23" s="1"/>
  <c r="AS4" i="23"/>
  <c r="T4" i="23" s="1"/>
  <c r="AS60" i="23"/>
  <c r="T60" i="23" s="1"/>
  <c r="AS42" i="23"/>
  <c r="T42" i="23" s="1"/>
  <c r="AS27" i="23"/>
  <c r="T27" i="23" s="1"/>
  <c r="AS12" i="23"/>
  <c r="T12" i="23" s="1"/>
  <c r="AS51" i="23"/>
  <c r="T51" i="23" s="1"/>
  <c r="AS36" i="23"/>
  <c r="T36" i="23" s="1"/>
  <c r="AS18" i="23"/>
  <c r="T18" i="23" s="1"/>
  <c r="AS50" i="23"/>
  <c r="T50" i="23" s="1"/>
  <c r="AS35" i="23"/>
  <c r="T35" i="23" s="1"/>
  <c r="AS17" i="23"/>
  <c r="T17" i="23" s="1"/>
  <c r="AG3" i="23" a="1"/>
  <c r="AG3" i="23" s="1"/>
  <c r="AS57" i="23"/>
  <c r="T57" i="23" s="1"/>
  <c r="AS45" i="23"/>
  <c r="T45" i="23" s="1"/>
  <c r="AS33" i="23"/>
  <c r="T33" i="23" s="1"/>
  <c r="AS21" i="23"/>
  <c r="T21" i="23" s="1"/>
  <c r="AS9" i="23"/>
  <c r="T9" i="23" s="1"/>
  <c r="AS56" i="23"/>
  <c r="T56" i="23" s="1"/>
  <c r="AS44" i="23"/>
  <c r="T44" i="23" s="1"/>
  <c r="AS32" i="23"/>
  <c r="T32" i="23" s="1"/>
  <c r="AS20" i="23"/>
  <c r="T20" i="23" s="1"/>
  <c r="AS8" i="23"/>
  <c r="T8" i="23" s="1"/>
  <c r="AS55" i="23"/>
  <c r="T55" i="23" s="1"/>
  <c r="AS43" i="23"/>
  <c r="T43" i="23" s="1"/>
  <c r="AS31" i="23"/>
  <c r="T31" i="23" s="1"/>
  <c r="AS19" i="23"/>
  <c r="T19" i="23" s="1"/>
  <c r="AS7" i="23"/>
  <c r="T7" i="23" s="1"/>
  <c r="B62" i="23"/>
  <c r="R333" i="21" a="1"/>
  <c r="R333" i="21" s="1"/>
  <c r="S333" i="21" a="1"/>
  <c r="S333" i="21" s="1"/>
  <c r="R332" i="21" a="1"/>
  <c r="R332" i="21" s="1"/>
  <c r="S332" i="21" a="1"/>
  <c r="S332" i="21" s="1"/>
  <c r="R329" i="21" a="1"/>
  <c r="R329" i="21" s="1"/>
  <c r="S329" i="21" a="1"/>
  <c r="S329" i="21" s="1"/>
  <c r="Y62" i="23"/>
  <c r="Z62" i="23"/>
  <c r="A62" i="23" s="1"/>
  <c r="S320" i="21" a="1"/>
  <c r="S320" i="21" s="1"/>
  <c r="R320" i="21" a="1"/>
  <c r="R320" i="21" s="1"/>
  <c r="AC10" i="23" a="1"/>
  <c r="AC10" i="23" s="1"/>
  <c r="S319" i="21" a="1"/>
  <c r="S319" i="21" s="1"/>
  <c r="W22" i="22" s="1"/>
  <c r="R319" i="21" a="1"/>
  <c r="R319" i="21" s="1"/>
  <c r="M322" i="21"/>
  <c r="S322" i="21" s="1" a="1"/>
  <c r="S322" i="21" s="1"/>
  <c r="M317" i="21"/>
  <c r="S317" i="21" s="1" a="1"/>
  <c r="S317" i="21" s="1"/>
  <c r="R331" i="21" a="1"/>
  <c r="R331" i="21" s="1"/>
  <c r="S331" i="21" a="1"/>
  <c r="S331" i="21" s="1"/>
  <c r="S330" i="21" a="1"/>
  <c r="S330" i="21" s="1"/>
  <c r="R330" i="21" a="1"/>
  <c r="R330" i="21" s="1"/>
  <c r="R328" i="21" a="1"/>
  <c r="R328" i="21" s="1"/>
  <c r="S327" i="21" a="1"/>
  <c r="S327" i="21" s="1"/>
  <c r="S325" i="21" a="1"/>
  <c r="S325" i="21" s="1"/>
  <c r="S323" i="21" a="1"/>
  <c r="S323" i="21" s="1"/>
  <c r="S324" i="21" a="1"/>
  <c r="S324" i="21" s="1"/>
  <c r="S326" i="21" a="1"/>
  <c r="S326" i="21" s="1"/>
  <c r="R327" i="21" a="1"/>
  <c r="R327" i="21" s="1"/>
  <c r="R326" i="21" a="1"/>
  <c r="R326" i="21" s="1"/>
  <c r="R325" i="21" a="1"/>
  <c r="R325" i="21" s="1"/>
  <c r="S328" i="21" a="1"/>
  <c r="S328" i="21" s="1"/>
  <c r="R324" i="21" a="1"/>
  <c r="R324" i="21" s="1"/>
  <c r="R323" i="21" a="1"/>
  <c r="R323" i="21" s="1"/>
  <c r="S321" i="21" a="1"/>
  <c r="S321" i="21" s="1"/>
  <c r="Z50" i="23"/>
  <c r="A50" i="23" s="1"/>
  <c r="Z38" i="23"/>
  <c r="A38" i="23" s="1"/>
  <c r="Z26" i="23"/>
  <c r="A26" i="23" s="1"/>
  <c r="Z14" i="23"/>
  <c r="A14" i="23" s="1"/>
  <c r="Z60" i="23"/>
  <c r="A60" i="23" s="1"/>
  <c r="Z49" i="23"/>
  <c r="A49" i="23" s="1"/>
  <c r="Z37" i="23"/>
  <c r="A37" i="23" s="1"/>
  <c r="Z25" i="23"/>
  <c r="A25" i="23" s="1"/>
  <c r="Z13" i="23"/>
  <c r="A13" i="23" s="1"/>
  <c r="Y61" i="23"/>
  <c r="Z48" i="23"/>
  <c r="A48" i="23" s="1"/>
  <c r="Z36" i="23"/>
  <c r="A36" i="23" s="1"/>
  <c r="Z24" i="23"/>
  <c r="A24" i="23" s="1"/>
  <c r="Z12" i="23"/>
  <c r="A12" i="23" s="1"/>
  <c r="Y60" i="23"/>
  <c r="B61" i="23"/>
  <c r="Z59" i="23"/>
  <c r="A59" i="23" s="1"/>
  <c r="Z47" i="23"/>
  <c r="A47" i="23" s="1"/>
  <c r="Z35" i="23"/>
  <c r="A35" i="23" s="1"/>
  <c r="Z23" i="23"/>
  <c r="A23" i="23" s="1"/>
  <c r="Z11" i="23"/>
  <c r="A11" i="23" s="1"/>
  <c r="B60" i="23"/>
  <c r="Z58" i="23"/>
  <c r="A58" i="23" s="1"/>
  <c r="Z46" i="23"/>
  <c r="A46" i="23" s="1"/>
  <c r="Z34" i="23"/>
  <c r="A34" i="23" s="1"/>
  <c r="Z22" i="23"/>
  <c r="A22" i="23" s="1"/>
  <c r="Z10" i="23"/>
  <c r="A10" i="23" s="1"/>
  <c r="Z57" i="23"/>
  <c r="A57" i="23" s="1"/>
  <c r="Z45" i="23"/>
  <c r="A45" i="23" s="1"/>
  <c r="Z33" i="23"/>
  <c r="A33" i="23" s="1"/>
  <c r="Z21" i="23"/>
  <c r="A21" i="23" s="1"/>
  <c r="Z9" i="23"/>
  <c r="A9" i="23" s="1"/>
  <c r="Z55" i="23"/>
  <c r="A55" i="23" s="1"/>
  <c r="Z43" i="23"/>
  <c r="A43" i="23" s="1"/>
  <c r="Z31" i="23"/>
  <c r="A31" i="23" s="1"/>
  <c r="Z19" i="23"/>
  <c r="A19" i="23" s="1"/>
  <c r="Z7" i="23"/>
  <c r="A7" i="23" s="1"/>
  <c r="Z54" i="23"/>
  <c r="A54" i="23" s="1"/>
  <c r="Z42" i="23"/>
  <c r="A42" i="23" s="1"/>
  <c r="Z30" i="23"/>
  <c r="A30" i="23" s="1"/>
  <c r="Z18" i="23"/>
  <c r="A18" i="23" s="1"/>
  <c r="Z6" i="23"/>
  <c r="A6" i="23" s="1"/>
  <c r="Z53" i="23"/>
  <c r="A53" i="23" s="1"/>
  <c r="Z41" i="23"/>
  <c r="A41" i="23" s="1"/>
  <c r="Z29" i="23"/>
  <c r="A29" i="23" s="1"/>
  <c r="Z17" i="23"/>
  <c r="A17" i="23" s="1"/>
  <c r="Z5" i="23"/>
  <c r="A5" i="23" s="1"/>
  <c r="Z56" i="23"/>
  <c r="A56" i="23" s="1"/>
  <c r="Z44" i="23"/>
  <c r="A44" i="23" s="1"/>
  <c r="Z32" i="23"/>
  <c r="A32" i="23" s="1"/>
  <c r="Z20" i="23"/>
  <c r="A20" i="23" s="1"/>
  <c r="Z8" i="23"/>
  <c r="A8" i="23" s="1"/>
  <c r="Z52" i="23"/>
  <c r="A52" i="23" s="1"/>
  <c r="Z40" i="23"/>
  <c r="A40" i="23" s="1"/>
  <c r="Z28" i="23"/>
  <c r="A28" i="23" s="1"/>
  <c r="Z16" i="23"/>
  <c r="A16" i="23" s="1"/>
  <c r="Z4" i="23"/>
  <c r="A4" i="23" s="1"/>
  <c r="Z51" i="23"/>
  <c r="A51" i="23" s="1"/>
  <c r="Z39" i="23"/>
  <c r="A39" i="23" s="1"/>
  <c r="Z27" i="23"/>
  <c r="A27" i="23" s="1"/>
  <c r="Z15" i="23"/>
  <c r="A15" i="23" s="1"/>
  <c r="Z61" i="23"/>
  <c r="A61" i="23" s="1"/>
  <c r="R322" i="21" a="1"/>
  <c r="R322" i="21" s="1"/>
  <c r="R321" i="21" a="1"/>
  <c r="R321" i="21" s="1"/>
  <c r="R318" i="21" a="1"/>
  <c r="R318" i="21" s="1"/>
  <c r="S318" i="21" a="1"/>
  <c r="S318" i="21" s="1"/>
  <c r="R317" i="21" a="1"/>
  <c r="R317" i="21" s="1"/>
  <c r="R316" i="21" a="1"/>
  <c r="R316" i="21" s="1"/>
  <c r="S316" i="21" a="1"/>
  <c r="S316" i="21" s="1"/>
  <c r="S315" i="21" a="1"/>
  <c r="S315" i="21" s="1"/>
  <c r="S314" i="21" a="1"/>
  <c r="S314" i="21" s="1"/>
  <c r="R315" i="21" a="1"/>
  <c r="R315" i="21" s="1"/>
  <c r="R314" i="21" a="1"/>
  <c r="R314" i="21" s="1"/>
  <c r="R8" i="21" a="1"/>
  <c r="R8" i="21" s="1"/>
  <c r="R226" i="21" a="1"/>
  <c r="R226" i="21" s="1"/>
  <c r="R313" i="21" a="1"/>
  <c r="R313" i="21" s="1"/>
  <c r="R304" i="21" a="1"/>
  <c r="R304" i="21" s="1"/>
  <c r="R131" i="21" a="1"/>
  <c r="R131" i="21" s="1"/>
  <c r="R123" i="21" a="1"/>
  <c r="R123" i="21" s="1"/>
  <c r="R234" i="21" a="1"/>
  <c r="R234" i="21" s="1"/>
  <c r="R52" i="21" a="1"/>
  <c r="R52" i="21" s="1"/>
  <c r="R44" i="21" a="1"/>
  <c r="R44" i="21" s="1"/>
  <c r="S48" i="21" a="1"/>
  <c r="S48" i="21" s="1"/>
  <c r="R36" i="21" a="1"/>
  <c r="R36" i="21" s="1"/>
  <c r="R71" i="21" a="1"/>
  <c r="R71" i="21" s="1"/>
  <c r="R140" i="21" a="1"/>
  <c r="R140" i="21" s="1"/>
  <c r="R19" i="21" a="1"/>
  <c r="R19" i="21" s="1"/>
  <c r="R311" i="21" a="1"/>
  <c r="R311" i="21" s="1"/>
  <c r="R218" i="21" a="1"/>
  <c r="R218" i="21" s="1"/>
  <c r="R60" i="21" a="1"/>
  <c r="R60" i="21" s="1"/>
  <c r="R201" i="21" a="1"/>
  <c r="R201" i="21" s="1"/>
  <c r="R27" i="21" a="1"/>
  <c r="R27" i="21" s="1"/>
  <c r="R252" i="21" a="1"/>
  <c r="R252" i="21" s="1"/>
  <c r="R166" i="21" a="1"/>
  <c r="R166" i="21" s="1"/>
  <c r="R80" i="21" a="1"/>
  <c r="R80" i="21" s="1"/>
  <c r="R253" i="21" a="1"/>
  <c r="R253" i="21" s="1"/>
  <c r="R174" i="21" a="1"/>
  <c r="R174" i="21" s="1"/>
  <c r="R88" i="21" a="1"/>
  <c r="R88" i="21" s="1"/>
  <c r="R244" i="21" a="1"/>
  <c r="R244" i="21" s="1"/>
  <c r="R158" i="21" a="1"/>
  <c r="R158" i="21" s="1"/>
  <c r="R236" i="21" a="1"/>
  <c r="R236" i="21" s="1"/>
  <c r="R149" i="21" a="1"/>
  <c r="R149" i="21" s="1"/>
  <c r="R63" i="21" a="1"/>
  <c r="R63" i="21" s="1"/>
  <c r="R296" i="21" a="1"/>
  <c r="R296" i="21" s="1"/>
  <c r="R209" i="21" a="1"/>
  <c r="R209" i="21" s="1"/>
  <c r="R115" i="21" a="1"/>
  <c r="R115" i="21" s="1"/>
  <c r="R35" i="21" a="1"/>
  <c r="R35" i="21" s="1"/>
  <c r="R287" i="21" a="1"/>
  <c r="R287" i="21" s="1"/>
  <c r="R114" i="21" a="1"/>
  <c r="R114" i="21" s="1"/>
  <c r="R279" i="21" a="1"/>
  <c r="R279" i="21" s="1"/>
  <c r="R193" i="21" a="1"/>
  <c r="R193" i="21" s="1"/>
  <c r="R106" i="21" a="1"/>
  <c r="R106" i="21" s="1"/>
  <c r="R23" i="21" a="1"/>
  <c r="R23" i="21" s="1"/>
  <c r="R269" i="21" a="1"/>
  <c r="R269" i="21" s="1"/>
  <c r="R183" i="21" a="1"/>
  <c r="R183" i="21" s="1"/>
  <c r="R97" i="21" a="1"/>
  <c r="R97" i="21" s="1"/>
  <c r="R17" i="21" a="1"/>
  <c r="R17" i="21" s="1"/>
  <c r="R261" i="21" a="1"/>
  <c r="R261" i="21" s="1"/>
  <c r="R175" i="21" a="1"/>
  <c r="R175" i="21" s="1"/>
  <c r="R96" i="21" a="1"/>
  <c r="R96" i="21" s="1"/>
  <c r="R9" i="21" a="1"/>
  <c r="R9" i="21" s="1"/>
  <c r="R306" i="21" a="1"/>
  <c r="R306" i="21" s="1"/>
  <c r="R246" i="21" a="1"/>
  <c r="R246" i="21" s="1"/>
  <c r="R186" i="21" a="1"/>
  <c r="R186" i="21" s="1"/>
  <c r="R168" i="21" a="1"/>
  <c r="R168" i="21" s="1"/>
  <c r="R108" i="21" a="1"/>
  <c r="R108" i="21" s="1"/>
  <c r="R90" i="21" a="1"/>
  <c r="R90" i="21" s="1"/>
  <c r="R29" i="21" a="1"/>
  <c r="R29" i="21" s="1"/>
  <c r="R305" i="21" a="1"/>
  <c r="R305" i="21" s="1"/>
  <c r="R297" i="21" a="1"/>
  <c r="R297" i="21" s="1"/>
  <c r="R289" i="21" a="1"/>
  <c r="R289" i="21" s="1"/>
  <c r="R280" i="21" a="1"/>
  <c r="R280" i="21" s="1"/>
  <c r="R272" i="21" a="1"/>
  <c r="R272" i="21" s="1"/>
  <c r="R262" i="21" a="1"/>
  <c r="R262" i="21" s="1"/>
  <c r="R254" i="21" a="1"/>
  <c r="R254" i="21" s="1"/>
  <c r="R245" i="21" a="1"/>
  <c r="R245" i="21" s="1"/>
  <c r="R237" i="21" a="1"/>
  <c r="R237" i="21" s="1"/>
  <c r="R229" i="21" a="1"/>
  <c r="R229" i="21" s="1"/>
  <c r="R219" i="21" a="1"/>
  <c r="R219" i="21" s="1"/>
  <c r="R211" i="21" a="1"/>
  <c r="R211" i="21" s="1"/>
  <c r="R202" i="21" a="1"/>
  <c r="R202" i="21" s="1"/>
  <c r="R194" i="21" a="1"/>
  <c r="R194" i="21" s="1"/>
  <c r="R185" i="21" a="1"/>
  <c r="R185" i="21" s="1"/>
  <c r="R176" i="21" a="1"/>
  <c r="R176" i="21" s="1"/>
  <c r="R167" i="21" a="1"/>
  <c r="R167" i="21" s="1"/>
  <c r="R159" i="21" a="1"/>
  <c r="R159" i="21" s="1"/>
  <c r="R151" i="21" a="1"/>
  <c r="R151" i="21" s="1"/>
  <c r="R142" i="21" a="1"/>
  <c r="R142" i="21" s="1"/>
  <c r="R133" i="21" a="1"/>
  <c r="R133" i="21" s="1"/>
  <c r="R124" i="21" a="1"/>
  <c r="R124" i="21" s="1"/>
  <c r="R116" i="21" a="1"/>
  <c r="R116" i="21" s="1"/>
  <c r="R107" i="21" a="1"/>
  <c r="R107" i="21" s="1"/>
  <c r="R99" i="21" a="1"/>
  <c r="R99" i="21" s="1"/>
  <c r="R89" i="21" a="1"/>
  <c r="R89" i="21" s="1"/>
  <c r="R81" i="21" a="1"/>
  <c r="R81" i="21" s="1"/>
  <c r="R73" i="21" a="1"/>
  <c r="R73" i="21" s="1"/>
  <c r="R64" i="21" a="1"/>
  <c r="R64" i="21" s="1"/>
  <c r="R55" i="21" a="1"/>
  <c r="R55" i="21" s="1"/>
  <c r="R45" i="21" a="1"/>
  <c r="R45" i="21" s="1"/>
  <c r="R37" i="21" a="1"/>
  <c r="R37" i="21" s="1"/>
  <c r="R28" i="21" a="1"/>
  <c r="R28" i="21" s="1"/>
  <c r="R20" i="21" a="1"/>
  <c r="R20" i="21" s="1"/>
  <c r="R12" i="21" a="1"/>
  <c r="R12" i="21" s="1"/>
  <c r="R312" i="21" a="1"/>
  <c r="R312" i="21" s="1"/>
  <c r="R288" i="21" a="1"/>
  <c r="R288" i="21" s="1"/>
  <c r="R270" i="21" a="1"/>
  <c r="R270" i="21" s="1"/>
  <c r="R210" i="21" a="1"/>
  <c r="R210" i="21" s="1"/>
  <c r="R150" i="21" a="1"/>
  <c r="R150" i="21" s="1"/>
  <c r="R132" i="21" a="1"/>
  <c r="R132" i="21" s="1"/>
  <c r="R72" i="21" a="1"/>
  <c r="R72" i="21" s="1"/>
  <c r="R53" i="21" a="1"/>
  <c r="R53" i="21" s="1"/>
  <c r="S24" i="22" s="1"/>
  <c r="R303" i="21" a="1"/>
  <c r="R303" i="21" s="1"/>
  <c r="R295" i="21" a="1"/>
  <c r="R295" i="21" s="1"/>
  <c r="R286" i="21" a="1"/>
  <c r="R286" i="21" s="1"/>
  <c r="R277" i="21" a="1"/>
  <c r="R277" i="21" s="1"/>
  <c r="R268" i="21" a="1"/>
  <c r="R268" i="21" s="1"/>
  <c r="R260" i="21" a="1"/>
  <c r="R260" i="21" s="1"/>
  <c r="R251" i="21" a="1"/>
  <c r="R251" i="21" s="1"/>
  <c r="R243" i="21" a="1"/>
  <c r="R243" i="21" s="1"/>
  <c r="R233" i="21" a="1"/>
  <c r="R233" i="21" s="1"/>
  <c r="R225" i="21" a="1"/>
  <c r="R225" i="21" s="1"/>
  <c r="R217" i="21" a="1"/>
  <c r="R217" i="21" s="1"/>
  <c r="R208" i="21" a="1"/>
  <c r="R208" i="21" s="1"/>
  <c r="R200" i="21" a="1"/>
  <c r="R200" i="21" s="1"/>
  <c r="R190" i="21" a="1"/>
  <c r="R190" i="21" s="1"/>
  <c r="R182" i="21" a="1"/>
  <c r="R182" i="21" s="1"/>
  <c r="R173" i="21" a="1"/>
  <c r="R173" i="21" s="1"/>
  <c r="R165" i="21" a="1"/>
  <c r="R165" i="21" s="1"/>
  <c r="R157" i="21" a="1"/>
  <c r="R157" i="21" s="1"/>
  <c r="R147" i="21" a="1"/>
  <c r="R147" i="21" s="1"/>
  <c r="R139" i="21" a="1"/>
  <c r="R139" i="21" s="1"/>
  <c r="R130" i="21" a="1"/>
  <c r="R130" i="21" s="1"/>
  <c r="R122" i="21" a="1"/>
  <c r="R122" i="21" s="1"/>
  <c r="R113" i="21" a="1"/>
  <c r="R113" i="21" s="1"/>
  <c r="R104" i="21" a="1"/>
  <c r="R104" i="21" s="1"/>
  <c r="R95" i="21" a="1"/>
  <c r="R95" i="21" s="1"/>
  <c r="R87" i="21" a="1"/>
  <c r="R87" i="21" s="1"/>
  <c r="R79" i="21" a="1"/>
  <c r="R79" i="21" s="1"/>
  <c r="R70" i="21" a="1"/>
  <c r="R70" i="21" s="1"/>
  <c r="R61" i="21" a="1"/>
  <c r="R61" i="21" s="1"/>
  <c r="R51" i="21" a="1"/>
  <c r="R51" i="21" s="1"/>
  <c r="R43" i="21" a="1"/>
  <c r="R43" i="21" s="1"/>
  <c r="R34" i="21" a="1"/>
  <c r="R34" i="21" s="1"/>
  <c r="R26" i="21" a="1"/>
  <c r="R26" i="21" s="1"/>
  <c r="R16" i="21" a="1"/>
  <c r="R16" i="21" s="1"/>
  <c r="R309" i="21" a="1"/>
  <c r="R309" i="21" s="1"/>
  <c r="R258" i="21" a="1"/>
  <c r="R258" i="21" s="1"/>
  <c r="R240" i="21" a="1"/>
  <c r="R240" i="21" s="1"/>
  <c r="R180" i="21" a="1"/>
  <c r="R180" i="21" s="1"/>
  <c r="R162" i="21" a="1"/>
  <c r="R162" i="21" s="1"/>
  <c r="R102" i="21" a="1"/>
  <c r="R102" i="21" s="1"/>
  <c r="R41" i="21" a="1"/>
  <c r="R41" i="21" s="1"/>
  <c r="R302" i="21" a="1"/>
  <c r="R302" i="21" s="1"/>
  <c r="R284" i="21" a="1"/>
  <c r="R284" i="21" s="1"/>
  <c r="R267" i="21" a="1"/>
  <c r="R267" i="21" s="1"/>
  <c r="R250" i="21" a="1"/>
  <c r="R250" i="21" s="1"/>
  <c r="R232" i="21" a="1"/>
  <c r="R232" i="21" s="1"/>
  <c r="R215" i="21" a="1"/>
  <c r="R215" i="21" s="1"/>
  <c r="R207" i="21" a="1"/>
  <c r="R207" i="21" s="1"/>
  <c r="R189" i="21" a="1"/>
  <c r="R189" i="21" s="1"/>
  <c r="R172" i="21" a="1"/>
  <c r="R172" i="21" s="1"/>
  <c r="R164" i="21" a="1"/>
  <c r="R164" i="21" s="1"/>
  <c r="R154" i="21" a="1"/>
  <c r="R154" i="21" s="1"/>
  <c r="R146" i="21" a="1"/>
  <c r="R146" i="21" s="1"/>
  <c r="R137" i="21" a="1"/>
  <c r="R137" i="21" s="1"/>
  <c r="R129" i="21" a="1"/>
  <c r="R129" i="21" s="1"/>
  <c r="R121" i="21" a="1"/>
  <c r="R121" i="21" s="1"/>
  <c r="R111" i="21" a="1"/>
  <c r="R111" i="21" s="1"/>
  <c r="R103" i="21" a="1"/>
  <c r="R103" i="21" s="1"/>
  <c r="R94" i="21" a="1"/>
  <c r="R94" i="21" s="1"/>
  <c r="R86" i="21" a="1"/>
  <c r="R86" i="21" s="1"/>
  <c r="R77" i="21" a="1"/>
  <c r="R77" i="21" s="1"/>
  <c r="R68" i="21" a="1"/>
  <c r="R68" i="21" s="1"/>
  <c r="R59" i="21" a="1"/>
  <c r="R59" i="21" s="1"/>
  <c r="R50" i="21" a="1"/>
  <c r="R50" i="21" s="1"/>
  <c r="R42" i="21" a="1"/>
  <c r="R42" i="21" s="1"/>
  <c r="R33" i="21" a="1"/>
  <c r="R33" i="21" s="1"/>
  <c r="R24" i="21" a="1"/>
  <c r="R24" i="21" s="1"/>
  <c r="R7" i="21" a="1"/>
  <c r="R7" i="21" s="1"/>
  <c r="R3" i="21" a="1"/>
  <c r="R3" i="21" s="1"/>
  <c r="R10" i="21" a="1"/>
  <c r="R10" i="21" s="1"/>
  <c r="R18" i="21" a="1"/>
  <c r="R18" i="21" s="1"/>
  <c r="R25" i="21" a="1"/>
  <c r="R25" i="21" s="1"/>
  <c r="R32" i="21" a="1"/>
  <c r="R32" i="21" s="1"/>
  <c r="R39" i="21" a="1"/>
  <c r="R39" i="21" s="1"/>
  <c r="R46" i="21" a="1"/>
  <c r="R46" i="21" s="1"/>
  <c r="R54" i="21" a="1"/>
  <c r="R54" i="21" s="1"/>
  <c r="R62" i="21" a="1"/>
  <c r="R62" i="21" s="1"/>
  <c r="R69" i="21" a="1"/>
  <c r="R69" i="21" s="1"/>
  <c r="R76" i="21" a="1"/>
  <c r="R76" i="21" s="1"/>
  <c r="R83" i="21" a="1"/>
  <c r="R83" i="21" s="1"/>
  <c r="R91" i="21" a="1"/>
  <c r="R91" i="21" s="1"/>
  <c r="R98" i="21" a="1"/>
  <c r="R98" i="21" s="1"/>
  <c r="R105" i="21" a="1"/>
  <c r="R105" i="21" s="1"/>
  <c r="R112" i="21" a="1"/>
  <c r="R112" i="21" s="1"/>
  <c r="R119" i="21" a="1"/>
  <c r="R119" i="21" s="1"/>
  <c r="R127" i="21" a="1"/>
  <c r="R127" i="21" s="1"/>
  <c r="R134" i="21" a="1"/>
  <c r="R134" i="21" s="1"/>
  <c r="R141" i="21" a="1"/>
  <c r="R141" i="21" s="1"/>
  <c r="R148" i="21" a="1"/>
  <c r="R148" i="21" s="1"/>
  <c r="R155" i="21" a="1"/>
  <c r="R155" i="21" s="1"/>
  <c r="R163" i="21" a="1"/>
  <c r="R163" i="21" s="1"/>
  <c r="R170" i="21" a="1"/>
  <c r="R170" i="21" s="1"/>
  <c r="R177" i="21" a="1"/>
  <c r="R177" i="21" s="1"/>
  <c r="R184" i="21" a="1"/>
  <c r="R184" i="21" s="1"/>
  <c r="R191" i="21" a="1"/>
  <c r="R191" i="21" s="1"/>
  <c r="R199" i="21" a="1"/>
  <c r="R199" i="21" s="1"/>
  <c r="R206" i="21" a="1"/>
  <c r="R206" i="21" s="1"/>
  <c r="R213" i="21" a="1"/>
  <c r="R213" i="21" s="1"/>
  <c r="R220" i="21" a="1"/>
  <c r="R220" i="21" s="1"/>
  <c r="R227" i="21" a="1"/>
  <c r="R227" i="21" s="1"/>
  <c r="R235" i="21" a="1"/>
  <c r="R235" i="21" s="1"/>
  <c r="R242" i="21" a="1"/>
  <c r="R242" i="21" s="1"/>
  <c r="R249" i="21" a="1"/>
  <c r="R249" i="21" s="1"/>
  <c r="R256" i="21" a="1"/>
  <c r="R256" i="21" s="1"/>
  <c r="S26" i="22" s="1"/>
  <c r="R263" i="21" a="1"/>
  <c r="R263" i="21" s="1"/>
  <c r="R271" i="21" a="1"/>
  <c r="R271" i="21" s="1"/>
  <c r="R278" i="21" a="1"/>
  <c r="R278" i="21" s="1"/>
  <c r="R285" i="21" a="1"/>
  <c r="R285" i="21" s="1"/>
  <c r="R292" i="21" a="1"/>
  <c r="R292" i="21" s="1"/>
  <c r="R299" i="21" a="1"/>
  <c r="R299" i="21" s="1"/>
  <c r="R307" i="21" a="1"/>
  <c r="R307" i="21" s="1"/>
  <c r="R4" i="21" a="1"/>
  <c r="R4" i="21" s="1"/>
  <c r="R11" i="21" a="1"/>
  <c r="R11" i="21" s="1"/>
  <c r="R47" i="21" a="1"/>
  <c r="R47" i="21" s="1"/>
  <c r="R84" i="21" a="1"/>
  <c r="R84" i="21" s="1"/>
  <c r="R120" i="21" a="1"/>
  <c r="R120" i="21" s="1"/>
  <c r="R156" i="21" a="1"/>
  <c r="R156" i="21" s="1"/>
  <c r="R192" i="21" a="1"/>
  <c r="R192" i="21" s="1"/>
  <c r="R228" i="21" a="1"/>
  <c r="R228" i="21" s="1"/>
  <c r="R264" i="21" a="1"/>
  <c r="R264" i="21" s="1"/>
  <c r="R300" i="21" a="1"/>
  <c r="R300" i="21" s="1"/>
  <c r="R301" i="21" a="1"/>
  <c r="R301" i="21" s="1"/>
  <c r="R291" i="21" a="1"/>
  <c r="R291" i="21" s="1"/>
  <c r="R283" i="21" a="1"/>
  <c r="R283" i="21" s="1"/>
  <c r="R274" i="21" a="1"/>
  <c r="R274" i="21" s="1"/>
  <c r="R266" i="21" a="1"/>
  <c r="R266" i="21" s="1"/>
  <c r="R257" i="21" a="1"/>
  <c r="R257" i="21" s="1"/>
  <c r="R248" i="21" a="1"/>
  <c r="R248" i="21" s="1"/>
  <c r="R239" i="21" a="1"/>
  <c r="R239" i="21" s="1"/>
  <c r="R231" i="21" a="1"/>
  <c r="R231" i="21" s="1"/>
  <c r="R223" i="21" a="1"/>
  <c r="R223" i="21" s="1"/>
  <c r="R214" i="21" a="1"/>
  <c r="R214" i="21" s="1"/>
  <c r="R205" i="21" a="1"/>
  <c r="R205" i="21" s="1"/>
  <c r="R196" i="21" a="1"/>
  <c r="R196" i="21" s="1"/>
  <c r="R188" i="21" a="1"/>
  <c r="R188" i="21" s="1"/>
  <c r="R179" i="21" a="1"/>
  <c r="R179" i="21" s="1"/>
  <c r="R171" i="21" a="1"/>
  <c r="R171" i="21" s="1"/>
  <c r="R161" i="21" a="1"/>
  <c r="R161" i="21" s="1"/>
  <c r="R153" i="21" a="1"/>
  <c r="R153" i="21" s="1"/>
  <c r="R145" i="21" a="1"/>
  <c r="R145" i="21" s="1"/>
  <c r="R136" i="21" a="1"/>
  <c r="R136" i="21" s="1"/>
  <c r="R128" i="21" a="1"/>
  <c r="R128" i="21" s="1"/>
  <c r="R118" i="21" a="1"/>
  <c r="R118" i="21" s="1"/>
  <c r="R110" i="21" a="1"/>
  <c r="R110" i="21" s="1"/>
  <c r="R101" i="21" a="1"/>
  <c r="R101" i="21" s="1"/>
  <c r="R93" i="21" a="1"/>
  <c r="R93" i="21" s="1"/>
  <c r="R85" i="21" a="1"/>
  <c r="R85" i="21" s="1"/>
  <c r="R75" i="21" a="1"/>
  <c r="R75" i="21" s="1"/>
  <c r="R67" i="21" a="1"/>
  <c r="R67" i="21" s="1"/>
  <c r="R58" i="21" a="1"/>
  <c r="R58" i="21" s="1"/>
  <c r="R49" i="21" a="1"/>
  <c r="R49" i="21" s="1"/>
  <c r="R40" i="21" a="1"/>
  <c r="R40" i="21" s="1"/>
  <c r="R31" i="21" a="1"/>
  <c r="R31" i="21" s="1"/>
  <c r="R22" i="21" a="1"/>
  <c r="R22" i="21" s="1"/>
  <c r="R14" i="21" a="1"/>
  <c r="R14" i="21" s="1"/>
  <c r="R6" i="21" a="1"/>
  <c r="R6" i="21" s="1"/>
  <c r="R293" i="21" a="1"/>
  <c r="R293" i="21" s="1"/>
  <c r="R275" i="21" a="1"/>
  <c r="R275" i="21" s="1"/>
  <c r="R259" i="21" a="1"/>
  <c r="R259" i="21" s="1"/>
  <c r="R241" i="21" a="1"/>
  <c r="R241" i="21" s="1"/>
  <c r="R224" i="21" a="1"/>
  <c r="R224" i="21" s="1"/>
  <c r="R197" i="21" a="1"/>
  <c r="R197" i="21" s="1"/>
  <c r="R181" i="21" a="1"/>
  <c r="R181" i="21" s="1"/>
  <c r="R15" i="21" a="1"/>
  <c r="R15" i="21" s="1"/>
  <c r="R308" i="21" a="1"/>
  <c r="R308" i="21" s="1"/>
  <c r="R282" i="21" a="1"/>
  <c r="R282" i="21" s="1"/>
  <c r="R222" i="21" a="1"/>
  <c r="R222" i="21" s="1"/>
  <c r="R204" i="21" a="1"/>
  <c r="R204" i="21" s="1"/>
  <c r="R144" i="21" a="1"/>
  <c r="R144" i="21" s="1"/>
  <c r="R126" i="21" a="1"/>
  <c r="R126" i="21" s="1"/>
  <c r="R66" i="21" a="1"/>
  <c r="R66" i="21" s="1"/>
  <c r="R5" i="21" a="1"/>
  <c r="R5" i="21" s="1"/>
  <c r="R310" i="21" a="1"/>
  <c r="R310" i="21" s="1"/>
  <c r="R294" i="21" a="1"/>
  <c r="R294" i="21" s="1"/>
  <c r="R276" i="21" a="1"/>
  <c r="R276" i="21" s="1"/>
  <c r="R216" i="21" a="1"/>
  <c r="R216" i="21" s="1"/>
  <c r="R198" i="21" a="1"/>
  <c r="R198" i="21" s="1"/>
  <c r="R138" i="21" a="1"/>
  <c r="R138" i="21" s="1"/>
  <c r="R78" i="21" a="1"/>
  <c r="R78" i="21" s="1"/>
  <c r="R298" i="21" a="1"/>
  <c r="R298" i="21" s="1"/>
  <c r="R290" i="21" a="1"/>
  <c r="R290" i="21" s="1"/>
  <c r="R281" i="21" a="1"/>
  <c r="R281" i="21" s="1"/>
  <c r="R273" i="21" a="1"/>
  <c r="R273" i="21" s="1"/>
  <c r="R265" i="21" a="1"/>
  <c r="R265" i="21" s="1"/>
  <c r="R255" i="21" a="1"/>
  <c r="R255" i="21" s="1"/>
  <c r="R247" i="21" a="1"/>
  <c r="R247" i="21" s="1"/>
  <c r="R238" i="21" a="1"/>
  <c r="R238" i="21" s="1"/>
  <c r="R230" i="21" a="1"/>
  <c r="R230" i="21" s="1"/>
  <c r="R221" i="21" a="1"/>
  <c r="R221" i="21" s="1"/>
  <c r="R212" i="21" a="1"/>
  <c r="R212" i="21" s="1"/>
  <c r="R203" i="21" a="1"/>
  <c r="R203" i="21" s="1"/>
  <c r="R195" i="21" a="1"/>
  <c r="R195" i="21" s="1"/>
  <c r="R187" i="21" a="1"/>
  <c r="R187" i="21" s="1"/>
  <c r="R178" i="21" a="1"/>
  <c r="R178" i="21" s="1"/>
  <c r="R169" i="21" a="1"/>
  <c r="R169" i="21" s="1"/>
  <c r="R160" i="21" a="1"/>
  <c r="R160" i="21" s="1"/>
  <c r="R152" i="21" a="1"/>
  <c r="R152" i="21" s="1"/>
  <c r="R143" i="21" a="1"/>
  <c r="R143" i="21" s="1"/>
  <c r="R135" i="21" a="1"/>
  <c r="R135" i="21" s="1"/>
  <c r="R125" i="21" a="1"/>
  <c r="R125" i="21" s="1"/>
  <c r="R117" i="21" a="1"/>
  <c r="R117" i="21" s="1"/>
  <c r="R109" i="21" a="1"/>
  <c r="R109" i="21" s="1"/>
  <c r="R100" i="21" a="1"/>
  <c r="R100" i="21" s="1"/>
  <c r="R92" i="21" a="1"/>
  <c r="R92" i="21" s="1"/>
  <c r="R82" i="21" a="1"/>
  <c r="R82" i="21" s="1"/>
  <c r="R74" i="21" a="1"/>
  <c r="R74" i="21" s="1"/>
  <c r="R65" i="21" a="1"/>
  <c r="R65" i="21" s="1"/>
  <c r="R57" i="21" a="1"/>
  <c r="R57" i="21" s="1"/>
  <c r="R48" i="21" a="1"/>
  <c r="R48" i="21" s="1"/>
  <c r="R38" i="21" a="1"/>
  <c r="R38" i="21" s="1"/>
  <c r="R30" i="21" a="1"/>
  <c r="R30" i="21" s="1"/>
  <c r="R21" i="21" a="1"/>
  <c r="R21" i="21" s="1"/>
  <c r="R13" i="21" a="1"/>
  <c r="R13" i="21" s="1"/>
  <c r="S178" i="21" a="1"/>
  <c r="S178" i="21" s="1"/>
  <c r="S170" i="21" a="1"/>
  <c r="S170" i="21" s="1"/>
  <c r="S256" i="21" a="1"/>
  <c r="S256" i="21" s="1"/>
  <c r="S164" i="21" a="1"/>
  <c r="S164" i="21" s="1"/>
  <c r="S250" i="21" a="1"/>
  <c r="S250" i="21" s="1"/>
  <c r="S242" i="21" a="1"/>
  <c r="S242" i="21" s="1"/>
  <c r="S98" i="21" a="1"/>
  <c r="S98" i="21" s="1"/>
  <c r="S92" i="21" a="1"/>
  <c r="S92" i="21" s="1"/>
  <c r="S84" i="21" a="1"/>
  <c r="S84" i="21" s="1"/>
  <c r="S150" i="21" a="1"/>
  <c r="S150" i="21" s="1"/>
  <c r="S300" i="21" a="1"/>
  <c r="S300" i="21" s="1"/>
  <c r="S222" i="21" a="1"/>
  <c r="S222" i="21" s="1"/>
  <c r="S149" i="21" a="1"/>
  <c r="S149" i="21" s="1"/>
  <c r="S69" i="21" a="1"/>
  <c r="S69" i="21" s="1"/>
  <c r="S77" i="21" a="1"/>
  <c r="S77" i="21" s="1"/>
  <c r="S294" i="21" a="1"/>
  <c r="S294" i="21" s="1"/>
  <c r="S221" i="21" a="1"/>
  <c r="S221" i="21" s="1"/>
  <c r="S141" i="21" a="1"/>
  <c r="S141" i="21" s="1"/>
  <c r="S63" i="21" a="1"/>
  <c r="S63" i="21" s="1"/>
  <c r="S156" i="21" a="1"/>
  <c r="S156" i="21" s="1"/>
  <c r="S228" i="21" a="1"/>
  <c r="S228" i="21" s="1"/>
  <c r="S293" i="21" a="1"/>
  <c r="S293" i="21" s="1"/>
  <c r="S213" i="21" a="1"/>
  <c r="S213" i="21" s="1"/>
  <c r="S135" i="21" a="1"/>
  <c r="S135" i="21" s="1"/>
  <c r="S47" i="21" a="1"/>
  <c r="S47" i="21" s="1"/>
  <c r="S236" i="21" a="1"/>
  <c r="S236" i="21" s="1"/>
  <c r="S285" i="21" a="1"/>
  <c r="S285" i="21" s="1"/>
  <c r="S207" i="21" a="1"/>
  <c r="S207" i="21" s="1"/>
  <c r="S127" i="21" a="1"/>
  <c r="S127" i="21" s="1"/>
  <c r="S46" i="21" a="1"/>
  <c r="S46" i="21" s="1"/>
  <c r="S279" i="21" a="1"/>
  <c r="S279" i="21" s="1"/>
  <c r="S199" i="21" a="1"/>
  <c r="S199" i="21" s="1"/>
  <c r="S121" i="21" a="1"/>
  <c r="S121" i="21" s="1"/>
  <c r="S35" i="21" a="1"/>
  <c r="S35" i="21" s="1"/>
  <c r="S308" i="21" a="1"/>
  <c r="S308" i="21" s="1"/>
  <c r="S271" i="21" a="1"/>
  <c r="S271" i="21" s="1"/>
  <c r="S193" i="21" a="1"/>
  <c r="S193" i="21" s="1"/>
  <c r="S112" i="21" a="1"/>
  <c r="S112" i="21" s="1"/>
  <c r="S78" i="21" a="1"/>
  <c r="S78" i="21" s="1"/>
  <c r="S265" i="21" a="1"/>
  <c r="S265" i="21" s="1"/>
  <c r="S184" i="21" a="1"/>
  <c r="S184" i="21" s="1"/>
  <c r="S106" i="21" a="1"/>
  <c r="S106" i="21" s="1"/>
  <c r="S28" i="21" a="1"/>
  <c r="S28" i="21" s="1"/>
  <c r="S291" i="21" a="1"/>
  <c r="S291" i="21" s="1"/>
  <c r="S277" i="21" a="1"/>
  <c r="S277" i="21" s="1"/>
  <c r="S262" i="21" a="1"/>
  <c r="S262" i="21" s="1"/>
  <c r="S248" i="21" a="1"/>
  <c r="S248" i="21" s="1"/>
  <c r="S234" i="21" a="1"/>
  <c r="S234" i="21" s="1"/>
  <c r="S219" i="21" a="1"/>
  <c r="S219" i="21" s="1"/>
  <c r="S205" i="21" a="1"/>
  <c r="S205" i="21" s="1"/>
  <c r="S190" i="21" a="1"/>
  <c r="S190" i="21" s="1"/>
  <c r="S176" i="21" a="1"/>
  <c r="S176" i="21" s="1"/>
  <c r="S162" i="21" a="1"/>
  <c r="S162" i="21" s="1"/>
  <c r="S147" i="21" a="1"/>
  <c r="S147" i="21" s="1"/>
  <c r="S133" i="21" a="1"/>
  <c r="S133" i="21" s="1"/>
  <c r="S118" i="21" a="1"/>
  <c r="S118" i="21" s="1"/>
  <c r="S104" i="21" a="1"/>
  <c r="S104" i="21" s="1"/>
  <c r="S90" i="21" a="1"/>
  <c r="S90" i="21" s="1"/>
  <c r="S75" i="21" a="1"/>
  <c r="S75" i="21" s="1"/>
  <c r="S41" i="21" a="1"/>
  <c r="S41" i="21" s="1"/>
  <c r="S14" i="21" a="1"/>
  <c r="S14" i="21" s="1"/>
  <c r="S287" i="21" a="1"/>
  <c r="S287" i="21" s="1"/>
  <c r="S215" i="21" a="1"/>
  <c r="S215" i="21" s="1"/>
  <c r="S143" i="21" a="1"/>
  <c r="S143" i="21" s="1"/>
  <c r="S71" i="21" a="1"/>
  <c r="S71" i="21" s="1"/>
  <c r="S55" i="21" a="1"/>
  <c r="S55" i="21" s="1"/>
  <c r="S40" i="21" a="1"/>
  <c r="S40" i="21" s="1"/>
  <c r="S301" i="21" a="1"/>
  <c r="S301" i="21" s="1"/>
  <c r="S286" i="21" a="1"/>
  <c r="S286" i="21" s="1"/>
  <c r="S272" i="21" a="1"/>
  <c r="S272" i="21" s="1"/>
  <c r="S258" i="21" a="1"/>
  <c r="S258" i="21" s="1"/>
  <c r="S243" i="21" a="1"/>
  <c r="S243" i="21" s="1"/>
  <c r="S229" i="21" a="1"/>
  <c r="S229" i="21" s="1"/>
  <c r="S214" i="21" a="1"/>
  <c r="S214" i="21" s="1"/>
  <c r="S200" i="21" a="1"/>
  <c r="S200" i="21" s="1"/>
  <c r="S186" i="21" a="1"/>
  <c r="S186" i="21" s="1"/>
  <c r="S171" i="21" a="1"/>
  <c r="S171" i="21" s="1"/>
  <c r="S157" i="21" a="1"/>
  <c r="S157" i="21" s="1"/>
  <c r="S142" i="21" a="1"/>
  <c r="S142" i="21" s="1"/>
  <c r="S128" i="21" a="1"/>
  <c r="S128" i="21" s="1"/>
  <c r="S114" i="21" a="1"/>
  <c r="S114" i="21" s="1"/>
  <c r="S99" i="21" a="1"/>
  <c r="S99" i="21" s="1"/>
  <c r="S85" i="21" a="1"/>
  <c r="S85" i="21" s="1"/>
  <c r="S70" i="21" a="1"/>
  <c r="S70" i="21" s="1"/>
  <c r="S26" i="21" a="1"/>
  <c r="S26" i="21" s="1"/>
  <c r="S13" i="21" a="1"/>
  <c r="S13" i="21" s="1"/>
  <c r="S307" i="21" a="1"/>
  <c r="S307" i="21" s="1"/>
  <c r="S292" i="21" a="1"/>
  <c r="S292" i="21" s="1"/>
  <c r="S278" i="21" a="1"/>
  <c r="S278" i="21" s="1"/>
  <c r="S264" i="21" a="1"/>
  <c r="S264" i="21" s="1"/>
  <c r="S249" i="21" a="1"/>
  <c r="S249" i="21" s="1"/>
  <c r="S235" i="21" a="1"/>
  <c r="S235" i="21" s="1"/>
  <c r="S220" i="21" a="1"/>
  <c r="S220" i="21" s="1"/>
  <c r="S206" i="21" a="1"/>
  <c r="S206" i="21" s="1"/>
  <c r="S192" i="21" a="1"/>
  <c r="S192" i="21" s="1"/>
  <c r="S177" i="21" a="1"/>
  <c r="S177" i="21" s="1"/>
  <c r="S163" i="21" a="1"/>
  <c r="S163" i="21" s="1"/>
  <c r="S148" i="21" a="1"/>
  <c r="S148" i="21" s="1"/>
  <c r="S134" i="21" a="1"/>
  <c r="S134" i="21" s="1"/>
  <c r="S120" i="21" a="1"/>
  <c r="S120" i="21" s="1"/>
  <c r="S105" i="21" a="1"/>
  <c r="S105" i="21" s="1"/>
  <c r="S91" i="21" a="1"/>
  <c r="S91" i="21" s="1"/>
  <c r="S76" i="21" a="1"/>
  <c r="S76" i="21" s="1"/>
  <c r="S62" i="21" a="1"/>
  <c r="S62" i="21" s="1"/>
  <c r="S42" i="21" a="1"/>
  <c r="S42" i="21" s="1"/>
  <c r="S15" i="21" a="1"/>
  <c r="S15" i="21" s="1"/>
  <c r="S263" i="21" a="1"/>
  <c r="S263" i="21" s="1"/>
  <c r="S191" i="21" a="1"/>
  <c r="S191" i="21" s="1"/>
  <c r="S119" i="21" a="1"/>
  <c r="S119" i="21" s="1"/>
  <c r="S306" i="21" a="1"/>
  <c r="S306" i="21" s="1"/>
  <c r="S257" i="21" a="1"/>
  <c r="S257" i="21" s="1"/>
  <c r="S185" i="21" a="1"/>
  <c r="S185" i="21" s="1"/>
  <c r="S113" i="21" a="1"/>
  <c r="S113" i="21" s="1"/>
  <c r="S54" i="21" a="1"/>
  <c r="S54" i="21" s="1"/>
  <c r="S22" i="21" a="1"/>
  <c r="S22" i="21" s="1"/>
  <c r="S9" i="21" a="1"/>
  <c r="S9" i="21" s="1"/>
  <c r="S299" i="21" a="1"/>
  <c r="S299" i="21" s="1"/>
  <c r="S227" i="21" a="1"/>
  <c r="S227" i="21" s="1"/>
  <c r="S155" i="21" a="1"/>
  <c r="S155" i="21" s="1"/>
  <c r="S83" i="21" a="1"/>
  <c r="S83" i="21" s="1"/>
  <c r="S34" i="21" a="1"/>
  <c r="S34" i="21" s="1"/>
  <c r="S312" i="21" a="1"/>
  <c r="S312" i="21" s="1"/>
  <c r="S298" i="21" a="1"/>
  <c r="S298" i="21" s="1"/>
  <c r="S284" i="21" a="1"/>
  <c r="S284" i="21" s="1"/>
  <c r="S270" i="21" a="1"/>
  <c r="S270" i="21" s="1"/>
  <c r="S255" i="21" a="1"/>
  <c r="S255" i="21" s="1"/>
  <c r="S241" i="21" a="1"/>
  <c r="S241" i="21" s="1"/>
  <c r="S226" i="21" a="1"/>
  <c r="S226" i="21" s="1"/>
  <c r="S212" i="21" a="1"/>
  <c r="S212" i="21" s="1"/>
  <c r="S198" i="21" a="1"/>
  <c r="S198" i="21" s="1"/>
  <c r="S183" i="21" a="1"/>
  <c r="S183" i="21" s="1"/>
  <c r="S169" i="21" a="1"/>
  <c r="S169" i="21" s="1"/>
  <c r="S154" i="21" a="1"/>
  <c r="S154" i="21" s="1"/>
  <c r="S140" i="21" a="1"/>
  <c r="S140" i="21" s="1"/>
  <c r="S126" i="21" a="1"/>
  <c r="S126" i="21" s="1"/>
  <c r="S111" i="21" a="1"/>
  <c r="S111" i="21" s="1"/>
  <c r="S97" i="21" a="1"/>
  <c r="S97" i="21" s="1"/>
  <c r="S82" i="21" a="1"/>
  <c r="S82" i="21" s="1"/>
  <c r="S68" i="21" a="1"/>
  <c r="S68" i="21" s="1"/>
  <c r="S3" i="21" a="1"/>
  <c r="S3" i="21" s="1"/>
  <c r="O22" i="22" s="1"/>
  <c r="S16" i="21" a="1"/>
  <c r="S16" i="21" s="1"/>
  <c r="S36" i="21" a="1"/>
  <c r="S36" i="21" s="1"/>
  <c r="S49" i="21" a="1"/>
  <c r="S49" i="21" s="1"/>
  <c r="S57" i="21" a="1"/>
  <c r="S57" i="21" s="1"/>
  <c r="S64" i="21" a="1"/>
  <c r="S64" i="21" s="1"/>
  <c r="S72" i="21" a="1"/>
  <c r="S72" i="21" s="1"/>
  <c r="S79" i="21" a="1"/>
  <c r="S79" i="21" s="1"/>
  <c r="S86" i="21" a="1"/>
  <c r="S86" i="21" s="1"/>
  <c r="S93" i="21" a="1"/>
  <c r="S93" i="21" s="1"/>
  <c r="S100" i="21" a="1"/>
  <c r="S100" i="21" s="1"/>
  <c r="S108" i="21" a="1"/>
  <c r="S108" i="21" s="1"/>
  <c r="S115" i="21" a="1"/>
  <c r="S115" i="21" s="1"/>
  <c r="S122" i="21" a="1"/>
  <c r="S122" i="21" s="1"/>
  <c r="S129" i="21" a="1"/>
  <c r="S129" i="21" s="1"/>
  <c r="S136" i="21" a="1"/>
  <c r="S136" i="21" s="1"/>
  <c r="S144" i="21" a="1"/>
  <c r="S144" i="21" s="1"/>
  <c r="S151" i="21" a="1"/>
  <c r="S151" i="21" s="1"/>
  <c r="S158" i="21" a="1"/>
  <c r="S158" i="21" s="1"/>
  <c r="S165" i="21" a="1"/>
  <c r="S165" i="21" s="1"/>
  <c r="S172" i="21" a="1"/>
  <c r="S172" i="21" s="1"/>
  <c r="S180" i="21" a="1"/>
  <c r="S180" i="21" s="1"/>
  <c r="S187" i="21" a="1"/>
  <c r="S187" i="21" s="1"/>
  <c r="S194" i="21" a="1"/>
  <c r="S194" i="21" s="1"/>
  <c r="S201" i="21" a="1"/>
  <c r="S201" i="21" s="1"/>
  <c r="S208" i="21" a="1"/>
  <c r="S208" i="21" s="1"/>
  <c r="S216" i="21" a="1"/>
  <c r="S216" i="21" s="1"/>
  <c r="S223" i="21" a="1"/>
  <c r="S223" i="21" s="1"/>
  <c r="S230" i="21" a="1"/>
  <c r="S230" i="21" s="1"/>
  <c r="S237" i="21" a="1"/>
  <c r="S237" i="21" s="1"/>
  <c r="S244" i="21" a="1"/>
  <c r="S244" i="21" s="1"/>
  <c r="S252" i="21" a="1"/>
  <c r="S252" i="21" s="1"/>
  <c r="S259" i="21" a="1"/>
  <c r="S259" i="21" s="1"/>
  <c r="S266" i="21" a="1"/>
  <c r="S266" i="21" s="1"/>
  <c r="S273" i="21" a="1"/>
  <c r="S273" i="21" s="1"/>
  <c r="S280" i="21" a="1"/>
  <c r="S280" i="21" s="1"/>
  <c r="S288" i="21" a="1"/>
  <c r="S288" i="21" s="1"/>
  <c r="S295" i="21" a="1"/>
  <c r="S295" i="21" s="1"/>
  <c r="S302" i="21" a="1"/>
  <c r="S302" i="21" s="1"/>
  <c r="S309" i="21" a="1"/>
  <c r="S309" i="21" s="1"/>
  <c r="S32" i="21" a="1"/>
  <c r="S32" i="21" s="1"/>
  <c r="S10" i="21" a="1"/>
  <c r="S10" i="21" s="1"/>
  <c r="S17" i="21" a="1"/>
  <c r="S17" i="21" s="1"/>
  <c r="S30" i="21" a="1"/>
  <c r="S30" i="21" s="1"/>
  <c r="S65" i="21" a="1"/>
  <c r="S65" i="21" s="1"/>
  <c r="S101" i="21" a="1"/>
  <c r="S101" i="21" s="1"/>
  <c r="S137" i="21" a="1"/>
  <c r="S137" i="21" s="1"/>
  <c r="S173" i="21" a="1"/>
  <c r="S173" i="21" s="1"/>
  <c r="S209" i="21" a="1"/>
  <c r="S209" i="21" s="1"/>
  <c r="S245" i="21" a="1"/>
  <c r="S245" i="21" s="1"/>
  <c r="S281" i="21" a="1"/>
  <c r="S281" i="21" s="1"/>
  <c r="S11" i="21" a="1"/>
  <c r="S11" i="21" s="1"/>
  <c r="S24" i="21" a="1"/>
  <c r="S24" i="21" s="1"/>
  <c r="S50" i="21" a="1"/>
  <c r="S50" i="21" s="1"/>
  <c r="S58" i="21" a="1"/>
  <c r="S58" i="21" s="1"/>
  <c r="S66" i="21" a="1"/>
  <c r="S66" i="21" s="1"/>
  <c r="S73" i="21" a="1"/>
  <c r="S73" i="21" s="1"/>
  <c r="S80" i="21" a="1"/>
  <c r="S80" i="21" s="1"/>
  <c r="S87" i="21" a="1"/>
  <c r="S87" i="21" s="1"/>
  <c r="S94" i="21" a="1"/>
  <c r="S94" i="21" s="1"/>
  <c r="S102" i="21" a="1"/>
  <c r="S102" i="21" s="1"/>
  <c r="S109" i="21" a="1"/>
  <c r="S109" i="21" s="1"/>
  <c r="S116" i="21" a="1"/>
  <c r="S116" i="21" s="1"/>
  <c r="S123" i="21" a="1"/>
  <c r="S123" i="21" s="1"/>
  <c r="S130" i="21" a="1"/>
  <c r="S130" i="21" s="1"/>
  <c r="S138" i="21" a="1"/>
  <c r="S138" i="21" s="1"/>
  <c r="S145" i="21" a="1"/>
  <c r="S145" i="21" s="1"/>
  <c r="S152" i="21" a="1"/>
  <c r="S152" i="21" s="1"/>
  <c r="S159" i="21" a="1"/>
  <c r="S159" i="21" s="1"/>
  <c r="S166" i="21" a="1"/>
  <c r="S166" i="21" s="1"/>
  <c r="S174" i="21" a="1"/>
  <c r="S174" i="21" s="1"/>
  <c r="S181" i="21" a="1"/>
  <c r="S181" i="21" s="1"/>
  <c r="S188" i="21" a="1"/>
  <c r="S188" i="21" s="1"/>
  <c r="S195" i="21" a="1"/>
  <c r="S195" i="21" s="1"/>
  <c r="S202" i="21" a="1"/>
  <c r="S202" i="21" s="1"/>
  <c r="S210" i="21" a="1"/>
  <c r="S210" i="21" s="1"/>
  <c r="S217" i="21" a="1"/>
  <c r="S217" i="21" s="1"/>
  <c r="S224" i="21" a="1"/>
  <c r="S224" i="21" s="1"/>
  <c r="S231" i="21" a="1"/>
  <c r="S231" i="21" s="1"/>
  <c r="S238" i="21" a="1"/>
  <c r="S238" i="21" s="1"/>
  <c r="S246" i="21" a="1"/>
  <c r="S246" i="21" s="1"/>
  <c r="S253" i="21" a="1"/>
  <c r="S253" i="21" s="1"/>
  <c r="S260" i="21" a="1"/>
  <c r="S260" i="21" s="1"/>
  <c r="S267" i="21" a="1"/>
  <c r="S267" i="21" s="1"/>
  <c r="S274" i="21" a="1"/>
  <c r="S274" i="21" s="1"/>
  <c r="S282" i="21" a="1"/>
  <c r="S282" i="21" s="1"/>
  <c r="S289" i="21" a="1"/>
  <c r="S289" i="21" s="1"/>
  <c r="S296" i="21" a="1"/>
  <c r="S296" i="21" s="1"/>
  <c r="S303" i="21" a="1"/>
  <c r="S303" i="21" s="1"/>
  <c r="S310" i="21" a="1"/>
  <c r="S310" i="21" s="1"/>
  <c r="S19" i="21" a="1"/>
  <c r="S19" i="21" s="1"/>
  <c r="S305" i="21" a="1"/>
  <c r="S305" i="21" s="1"/>
  <c r="S5" i="21" a="1"/>
  <c r="S5" i="21" s="1"/>
  <c r="S18" i="21" a="1"/>
  <c r="S18" i="21" s="1"/>
  <c r="S44" i="21" a="1"/>
  <c r="S44" i="21" s="1"/>
  <c r="S59" i="21" a="1"/>
  <c r="S59" i="21" s="1"/>
  <c r="S95" i="21" a="1"/>
  <c r="S95" i="21" s="1"/>
  <c r="S131" i="21" a="1"/>
  <c r="S131" i="21" s="1"/>
  <c r="S167" i="21" a="1"/>
  <c r="S167" i="21" s="1"/>
  <c r="S203" i="21" a="1"/>
  <c r="S203" i="21" s="1"/>
  <c r="S239" i="21" a="1"/>
  <c r="S239" i="21" s="1"/>
  <c r="S275" i="21" a="1"/>
  <c r="S275" i="21" s="1"/>
  <c r="S311" i="21" a="1"/>
  <c r="S311" i="21" s="1"/>
  <c r="S12" i="21" a="1"/>
  <c r="S12" i="21" s="1"/>
  <c r="S25" i="21" a="1"/>
  <c r="S25" i="21" s="1"/>
  <c r="S38" i="21" a="1"/>
  <c r="S38" i="21" s="1"/>
  <c r="S60" i="21" a="1"/>
  <c r="S60" i="21" s="1"/>
  <c r="S67" i="21" a="1"/>
  <c r="S67" i="21" s="1"/>
  <c r="S74" i="21" a="1"/>
  <c r="S74" i="21" s="1"/>
  <c r="S81" i="21" a="1"/>
  <c r="S81" i="21" s="1"/>
  <c r="S88" i="21" a="1"/>
  <c r="S88" i="21" s="1"/>
  <c r="S96" i="21" a="1"/>
  <c r="S96" i="21" s="1"/>
  <c r="S103" i="21" a="1"/>
  <c r="S103" i="21" s="1"/>
  <c r="S110" i="21" a="1"/>
  <c r="S110" i="21" s="1"/>
  <c r="S117" i="21" a="1"/>
  <c r="S117" i="21" s="1"/>
  <c r="S124" i="21" a="1"/>
  <c r="S124" i="21" s="1"/>
  <c r="S132" i="21" a="1"/>
  <c r="S132" i="21" s="1"/>
  <c r="S139" i="21" a="1"/>
  <c r="S139" i="21" s="1"/>
  <c r="S146" i="21" a="1"/>
  <c r="S146" i="21" s="1"/>
  <c r="S153" i="21" a="1"/>
  <c r="S153" i="21" s="1"/>
  <c r="S160" i="21" a="1"/>
  <c r="S160" i="21" s="1"/>
  <c r="S168" i="21" a="1"/>
  <c r="S168" i="21" s="1"/>
  <c r="S175" i="21" a="1"/>
  <c r="S175" i="21" s="1"/>
  <c r="S182" i="21" a="1"/>
  <c r="S182" i="21" s="1"/>
  <c r="S189" i="21" a="1"/>
  <c r="S189" i="21" s="1"/>
  <c r="S196" i="21" a="1"/>
  <c r="S196" i="21" s="1"/>
  <c r="S204" i="21" a="1"/>
  <c r="S204" i="21" s="1"/>
  <c r="S211" i="21" a="1"/>
  <c r="S211" i="21" s="1"/>
  <c r="S218" i="21" a="1"/>
  <c r="S218" i="21" s="1"/>
  <c r="S225" i="21" a="1"/>
  <c r="S225" i="21" s="1"/>
  <c r="S232" i="21" a="1"/>
  <c r="S232" i="21" s="1"/>
  <c r="S240" i="21" a="1"/>
  <c r="S240" i="21" s="1"/>
  <c r="S247" i="21" a="1"/>
  <c r="S247" i="21" s="1"/>
  <c r="S254" i="21" a="1"/>
  <c r="S254" i="21" s="1"/>
  <c r="S261" i="21" a="1"/>
  <c r="S261" i="21" s="1"/>
  <c r="S268" i="21" a="1"/>
  <c r="S268" i="21" s="1"/>
  <c r="S276" i="21" a="1"/>
  <c r="S276" i="21" s="1"/>
  <c r="S283" i="21" a="1"/>
  <c r="S283" i="21" s="1"/>
  <c r="S290" i="21" a="1"/>
  <c r="S290" i="21" s="1"/>
  <c r="S297" i="21" a="1"/>
  <c r="S297" i="21" s="1"/>
  <c r="S304" i="21" a="1"/>
  <c r="S304" i="21" s="1"/>
  <c r="S313" i="21" a="1"/>
  <c r="S313" i="21" s="1"/>
  <c r="S6" i="21" a="1"/>
  <c r="S6" i="21" s="1"/>
  <c r="S52" i="21" a="1"/>
  <c r="S52" i="21" s="1"/>
  <c r="S89" i="21" a="1"/>
  <c r="S89" i="21" s="1"/>
  <c r="S125" i="21" a="1"/>
  <c r="S125" i="21" s="1"/>
  <c r="S161" i="21" a="1"/>
  <c r="S161" i="21" s="1"/>
  <c r="S197" i="21" a="1"/>
  <c r="S197" i="21" s="1"/>
  <c r="S233" i="21" a="1"/>
  <c r="S233" i="21" s="1"/>
  <c r="S269" i="21" a="1"/>
  <c r="S269" i="21" s="1"/>
  <c r="S39" i="21" a="1"/>
  <c r="S39" i="21" s="1"/>
  <c r="S53" i="21" a="1"/>
  <c r="S53" i="21" s="1"/>
  <c r="O24" i="22" s="1"/>
  <c r="S61" i="21" a="1"/>
  <c r="S61" i="21" s="1"/>
  <c r="S251" i="21" a="1"/>
  <c r="S251" i="21" s="1"/>
  <c r="S179" i="21" a="1"/>
  <c r="S179" i="21" s="1"/>
  <c r="S107" i="21" a="1"/>
  <c r="S107" i="21" s="1"/>
  <c r="S20" i="21" a="1"/>
  <c r="S20" i="21" s="1"/>
  <c r="S7" i="21" a="1"/>
  <c r="S7" i="21" s="1"/>
  <c r="G26" i="23"/>
  <c r="E64" i="22"/>
  <c r="E52" i="22"/>
  <c r="E63" i="22"/>
  <c r="E51" i="22"/>
  <c r="E53" i="22"/>
  <c r="E50" i="22"/>
  <c r="E71" i="22"/>
  <c r="E59" i="22"/>
  <c r="E49" i="22" s="1"/>
  <c r="E47" i="22"/>
  <c r="E62" i="22"/>
  <c r="E61" i="22"/>
  <c r="E72" i="22"/>
  <c r="E60" i="22"/>
  <c r="E92" i="22" s="1"/>
  <c r="E48" i="22"/>
  <c r="E70" i="22"/>
  <c r="E58" i="22"/>
  <c r="E46" i="22"/>
  <c r="E65" i="22"/>
  <c r="E69" i="22"/>
  <c r="E57" i="22"/>
  <c r="E45" i="22"/>
  <c r="E68" i="22"/>
  <c r="E56" i="22"/>
  <c r="E44" i="22"/>
  <c r="E67" i="22"/>
  <c r="E55" i="22"/>
  <c r="E43" i="22"/>
  <c r="E66" i="22"/>
  <c r="E54" i="22"/>
  <c r="E42" i="22"/>
  <c r="G25" i="23"/>
  <c r="M33" i="21"/>
  <c r="S33" i="21" s="1" a="1"/>
  <c r="S33" i="21" s="1"/>
  <c r="M43" i="21"/>
  <c r="S43" i="21" s="1" a="1"/>
  <c r="S43" i="21" s="1"/>
  <c r="M8" i="21"/>
  <c r="S8" i="21" s="1" a="1"/>
  <c r="S8" i="21" s="1"/>
  <c r="M45" i="21"/>
  <c r="S45" i="21" s="1" a="1"/>
  <c r="S45" i="21" s="1"/>
  <c r="M21" i="21"/>
  <c r="S21" i="21" s="1" a="1"/>
  <c r="S21" i="21" s="1"/>
  <c r="M31" i="21"/>
  <c r="S31" i="21" s="1" a="1"/>
  <c r="S31" i="21" s="1"/>
  <c r="M4" i="21"/>
  <c r="S4" i="21" s="1" a="1"/>
  <c r="S4" i="21" s="1"/>
  <c r="M29" i="21"/>
  <c r="S29" i="21" s="1" a="1"/>
  <c r="S29" i="21" s="1"/>
  <c r="M51" i="21"/>
  <c r="S51" i="21" s="1" a="1"/>
  <c r="S51" i="21" s="1"/>
  <c r="M27" i="21"/>
  <c r="S27" i="21" s="1" a="1"/>
  <c r="S27" i="21" s="1"/>
  <c r="M37" i="21"/>
  <c r="S37" i="21" s="1" a="1"/>
  <c r="S37" i="21" s="1"/>
  <c r="AC16" i="23" a="1"/>
  <c r="AC16" i="23" s="1"/>
  <c r="X3" i="23"/>
  <c r="B41" i="22"/>
  <c r="B12" i="23"/>
  <c r="AC17" i="23" a="1"/>
  <c r="AC17" i="23" s="1"/>
  <c r="AC15" i="23" a="1"/>
  <c r="AC15" i="23" s="1"/>
  <c r="AB34" i="23" a="1"/>
  <c r="AB34" i="23" s="1"/>
  <c r="D33" i="22"/>
  <c r="D31" i="22"/>
  <c r="D29" i="22"/>
  <c r="D28" i="22"/>
  <c r="AC22" i="23" a="1"/>
  <c r="AC22" i="23" s="1"/>
  <c r="B59" i="23"/>
  <c r="B42" i="23"/>
  <c r="B20" i="23"/>
  <c r="B56" i="23"/>
  <c r="B34" i="23"/>
  <c r="B13" i="23"/>
  <c r="B25" i="23"/>
  <c r="B37" i="23"/>
  <c r="B49" i="23"/>
  <c r="B14" i="23"/>
  <c r="B26" i="23"/>
  <c r="B38" i="23"/>
  <c r="B50" i="23"/>
  <c r="B15" i="23"/>
  <c r="B27" i="23"/>
  <c r="B39" i="23"/>
  <c r="B51" i="23"/>
  <c r="B4" i="23"/>
  <c r="B16" i="23"/>
  <c r="B28" i="23"/>
  <c r="B40" i="23"/>
  <c r="B52" i="23"/>
  <c r="B5" i="23"/>
  <c r="B17" i="23"/>
  <c r="B29" i="23"/>
  <c r="B41" i="23"/>
  <c r="B53" i="23"/>
  <c r="B55" i="23"/>
  <c r="B33" i="23"/>
  <c r="B11" i="23"/>
  <c r="B54" i="23"/>
  <c r="B32" i="23"/>
  <c r="B10" i="23"/>
  <c r="B48" i="23"/>
  <c r="B9" i="23"/>
  <c r="B47" i="23"/>
  <c r="B8" i="23"/>
  <c r="B24" i="23"/>
  <c r="B45" i="23"/>
  <c r="B23" i="23"/>
  <c r="B6" i="23"/>
  <c r="B44" i="23"/>
  <c r="B22" i="23"/>
  <c r="B58" i="23"/>
  <c r="B36" i="23"/>
  <c r="B19" i="23"/>
  <c r="B57" i="23"/>
  <c r="B35" i="23"/>
  <c r="B18" i="23"/>
  <c r="B31" i="23"/>
  <c r="B30" i="23"/>
  <c r="B46" i="23"/>
  <c r="B7" i="23"/>
  <c r="B43" i="23"/>
  <c r="B21" i="23"/>
  <c r="Y48" i="23"/>
  <c r="Y36" i="23"/>
  <c r="Y24" i="23"/>
  <c r="Y12" i="23"/>
  <c r="Y59" i="23"/>
  <c r="Y47" i="23"/>
  <c r="Y35" i="23"/>
  <c r="Y23" i="23"/>
  <c r="Y11" i="23"/>
  <c r="Y51" i="23"/>
  <c r="Y39" i="23"/>
  <c r="Y27" i="23"/>
  <c r="Y15" i="23"/>
  <c r="Y50" i="23"/>
  <c r="Y38" i="23"/>
  <c r="Y26" i="23"/>
  <c r="Y14" i="23"/>
  <c r="Y58" i="23"/>
  <c r="Y46" i="23"/>
  <c r="Y34" i="23"/>
  <c r="Y22" i="23"/>
  <c r="Y10" i="23"/>
  <c r="Y56" i="23"/>
  <c r="Y44" i="23"/>
  <c r="Y32" i="23"/>
  <c r="Y20" i="23"/>
  <c r="Y8" i="23"/>
  <c r="Y55" i="23"/>
  <c r="Y43" i="23"/>
  <c r="Y31" i="23"/>
  <c r="Y19" i="23"/>
  <c r="Y7" i="23"/>
  <c r="Y54" i="23"/>
  <c r="Y42" i="23"/>
  <c r="Y30" i="23"/>
  <c r="Y18" i="23"/>
  <c r="Y6" i="23"/>
  <c r="Y53" i="23"/>
  <c r="Y41" i="23"/>
  <c r="Y29" i="23"/>
  <c r="Y17" i="23"/>
  <c r="Y5" i="23"/>
  <c r="Y49" i="23"/>
  <c r="Y37" i="23"/>
  <c r="Y25" i="23"/>
  <c r="Y13" i="23"/>
  <c r="Y45" i="23"/>
  <c r="Y33" i="23"/>
  <c r="Y21" i="23"/>
  <c r="Y9" i="23"/>
  <c r="Y52" i="23"/>
  <c r="Y40" i="23"/>
  <c r="Y28" i="23"/>
  <c r="Y16" i="23"/>
  <c r="Y4" i="23"/>
  <c r="AC38" i="23" a="1"/>
  <c r="AC38" i="23" s="1"/>
  <c r="S2" i="21"/>
  <c r="AB10" i="23" a="1"/>
  <c r="AB10" i="23" s="1"/>
  <c r="AB48" i="23" a="1"/>
  <c r="AB48" i="23" s="1"/>
  <c r="AB25" i="23" a="1"/>
  <c r="AB25" i="23" s="1"/>
  <c r="AB18" i="23" a="1"/>
  <c r="AB18" i="23" s="1"/>
  <c r="AF3" i="23" a="1"/>
  <c r="AF3" i="23" s="1"/>
  <c r="AB44" i="23" a="1"/>
  <c r="AB44" i="23" s="1"/>
  <c r="AB22" i="23" a="1"/>
  <c r="AB22" i="23" s="1"/>
  <c r="AB15" i="23" a="1"/>
  <c r="AB15" i="23" s="1"/>
  <c r="AB7" i="23" a="1"/>
  <c r="AB7" i="23" s="1"/>
  <c r="AB43" i="23" a="1"/>
  <c r="AB43" i="23" s="1"/>
  <c r="AB36" i="23" a="1"/>
  <c r="AB36" i="23" s="1"/>
  <c r="AB29" i="23" a="1"/>
  <c r="AB29" i="23" s="1"/>
  <c r="AB52" i="23" a="1"/>
  <c r="AB52" i="23" s="1"/>
  <c r="AB28" i="23" a="1"/>
  <c r="AB28" i="23" s="1"/>
  <c r="AB21" i="23" a="1"/>
  <c r="AB21" i="23" s="1"/>
  <c r="AB14" i="23" a="1"/>
  <c r="AB14" i="23" s="1"/>
  <c r="AB6" i="23" a="1"/>
  <c r="AB6" i="23" s="1"/>
  <c r="AB51" i="23" a="1"/>
  <c r="AB51" i="23" s="1"/>
  <c r="AB42" i="23" a="1"/>
  <c r="AB42" i="23" s="1"/>
  <c r="AB35" i="23" a="1"/>
  <c r="AB35" i="23" s="1"/>
  <c r="AB13" i="23" a="1"/>
  <c r="AB13" i="23" s="1"/>
  <c r="AB27" i="23" a="1"/>
  <c r="AB27" i="23" s="1"/>
  <c r="AB20" i="23" a="1"/>
  <c r="AB20" i="23" s="1"/>
  <c r="AB12" i="23" a="1"/>
  <c r="AB12" i="23" s="1"/>
  <c r="AB5" i="23" a="1"/>
  <c r="AB5" i="23" s="1"/>
  <c r="AB50" i="23" a="1"/>
  <c r="AB50" i="23" s="1"/>
  <c r="AB41" i="23" a="1"/>
  <c r="AB41" i="23" s="1"/>
  <c r="AB19" i="23" a="1"/>
  <c r="AB19" i="23" s="1"/>
  <c r="AB4" i="23" a="1"/>
  <c r="AB4" i="23" s="1"/>
  <c r="AB49" i="23" a="1"/>
  <c r="AB49" i="23" s="1"/>
  <c r="AB40" i="23" a="1"/>
  <c r="AB40" i="23" s="1"/>
  <c r="AB33" i="23" a="1"/>
  <c r="AB33" i="23" s="1"/>
  <c r="AB26" i="23" a="1"/>
  <c r="AB26" i="23" s="1"/>
  <c r="AB11" i="23" a="1"/>
  <c r="AB11" i="23" s="1"/>
  <c r="AB47" i="23" a="1"/>
  <c r="AB47" i="23" s="1"/>
  <c r="AB39" i="23" a="1"/>
  <c r="AB39" i="23" s="1"/>
  <c r="AB32" i="23" a="1"/>
  <c r="AB32" i="23" s="1"/>
  <c r="AB46" i="23" a="1"/>
  <c r="AB46" i="23" s="1"/>
  <c r="AB31" i="23" a="1"/>
  <c r="AB31" i="23" s="1"/>
  <c r="AB24" i="23" a="1"/>
  <c r="AB24" i="23" s="1"/>
  <c r="AB17" i="23" a="1"/>
  <c r="AB17" i="23" s="1"/>
  <c r="AB9" i="23" a="1"/>
  <c r="AB9" i="23" s="1"/>
  <c r="AB45" i="23" a="1"/>
  <c r="AB45" i="23" s="1"/>
  <c r="AB38" i="23" a="1"/>
  <c r="AB38" i="23" s="1"/>
  <c r="AB16" i="23" a="1"/>
  <c r="AB16" i="23" s="1"/>
  <c r="AB37" i="23" a="1"/>
  <c r="AB37" i="23" s="1"/>
  <c r="AB30" i="23" a="1"/>
  <c r="AB30" i="23" s="1"/>
  <c r="AB23" i="23" a="1"/>
  <c r="AB23" i="23" s="1"/>
  <c r="AB8" i="23" a="1"/>
  <c r="AB8" i="23" s="1"/>
  <c r="H54" i="16"/>
  <c r="I18" i="16" s="1"/>
  <c r="H53" i="1"/>
  <c r="I28" i="1" s="1"/>
  <c r="W32" i="22" l="1"/>
  <c r="X32" i="22" s="1"/>
  <c r="P412" i="21" a="1"/>
  <c r="P412" i="21" s="1"/>
  <c r="P433" i="21" s="1" a="1"/>
  <c r="P433" i="21" s="1"/>
  <c r="P61" i="21" a="1"/>
  <c r="P61" i="21" s="1"/>
  <c r="P66" i="21" s="1" a="1"/>
  <c r="P66" i="21" s="1"/>
  <c r="P65" i="21" a="1"/>
  <c r="P65" i="21" s="1"/>
  <c r="P145" i="21" a="1"/>
  <c r="P145" i="21" s="1"/>
  <c r="P165" i="21" s="1" a="1"/>
  <c r="P165" i="21" s="1"/>
  <c r="P172" i="21" s="1" a="1"/>
  <c r="P172" i="21" s="1"/>
  <c r="P179" i="21" s="1" a="1"/>
  <c r="P179" i="21" s="1"/>
  <c r="P296" i="21" s="1" a="1"/>
  <c r="P296" i="21" s="1"/>
  <c r="O25" i="22"/>
  <c r="Q25" i="22" s="1"/>
  <c r="I87" i="22"/>
  <c r="P188" i="21" a="1"/>
  <c r="P188" i="21" s="1"/>
  <c r="P203" i="21" s="1" a="1"/>
  <c r="P203" i="21" s="1"/>
  <c r="P310" i="21" s="1" a="1"/>
  <c r="P310" i="21" s="1"/>
  <c r="I78" i="22"/>
  <c r="P408" i="21" a="1"/>
  <c r="P408" i="21" s="1"/>
  <c r="P411" i="21" s="1" a="1"/>
  <c r="P411" i="21" s="1"/>
  <c r="F92" i="22" a="1"/>
  <c r="F92" i="22" s="1"/>
  <c r="H92" i="22" s="1"/>
  <c r="F74" i="22" a="1"/>
  <c r="F74" i="22" s="1"/>
  <c r="H74" i="22" s="1"/>
  <c r="F87" i="22" a="1"/>
  <c r="F87" i="22" s="1"/>
  <c r="H87" i="22" s="1"/>
  <c r="I81" i="22"/>
  <c r="J81" i="22" s="1"/>
  <c r="I85" i="22"/>
  <c r="I73" i="22"/>
  <c r="I79" i="22"/>
  <c r="I82" i="22"/>
  <c r="I74" i="22"/>
  <c r="I80" i="22"/>
  <c r="I84" i="22"/>
  <c r="I86" i="22"/>
  <c r="F79" i="22" a="1"/>
  <c r="F79" i="22" s="1"/>
  <c r="H79" i="22" s="1"/>
  <c r="F91" i="22" a="1"/>
  <c r="F91" i="22" s="1"/>
  <c r="H91" i="22" s="1"/>
  <c r="F86" i="22" a="1"/>
  <c r="F86" i="22" s="1"/>
  <c r="H86" i="22" s="1"/>
  <c r="F77" i="22" a="1"/>
  <c r="F77" i="22" s="1"/>
  <c r="H77" i="22" s="1"/>
  <c r="I91" i="22"/>
  <c r="F82" i="22" a="1"/>
  <c r="F82" i="22" s="1"/>
  <c r="H82" i="22" s="1"/>
  <c r="I90" i="22"/>
  <c r="J90" i="22" s="1"/>
  <c r="I75" i="22"/>
  <c r="J75" i="22" s="1"/>
  <c r="I92" i="22"/>
  <c r="F78" i="22" a="1"/>
  <c r="F78" i="22" s="1"/>
  <c r="H78" i="22" s="1"/>
  <c r="I77" i="22"/>
  <c r="F84" i="22" a="1"/>
  <c r="F84" i="22" s="1"/>
  <c r="H84" i="22" s="1"/>
  <c r="I89" i="22"/>
  <c r="I76" i="22"/>
  <c r="I88" i="22"/>
  <c r="J88" i="22" s="1"/>
  <c r="F76" i="22" a="1"/>
  <c r="F76" i="22" s="1"/>
  <c r="H76" i="22" s="1"/>
  <c r="I93" i="22"/>
  <c r="F93" i="22" a="1"/>
  <c r="F93" i="22" s="1"/>
  <c r="H93" i="22" s="1"/>
  <c r="F73" i="22" a="1"/>
  <c r="F73" i="22" s="1"/>
  <c r="H73" i="22" s="1"/>
  <c r="I83" i="22"/>
  <c r="D16" i="22"/>
  <c r="P302" i="21" a="1"/>
  <c r="P302" i="21" s="1"/>
  <c r="P406" i="21" s="1" a="1"/>
  <c r="P406" i="21" s="1"/>
  <c r="F43" i="22" s="1" a="1"/>
  <c r="F43" i="22" s="1"/>
  <c r="H43" i="22" s="1"/>
  <c r="F67" i="22" a="1"/>
  <c r="F67" i="22" s="1"/>
  <c r="H67" i="22" s="1"/>
  <c r="F68" i="22" a="1"/>
  <c r="F68" i="22" s="1"/>
  <c r="AC45" i="23" a="1"/>
  <c r="AC45" i="23" s="1"/>
  <c r="AH45" i="23" s="1"/>
  <c r="AL45" i="23" s="1"/>
  <c r="M45" i="23" s="1" a="1"/>
  <c r="M45" i="23" s="1"/>
  <c r="AC26" i="23" a="1"/>
  <c r="AC26" i="23" s="1"/>
  <c r="AH26" i="23" s="1"/>
  <c r="AL26" i="23" s="1"/>
  <c r="M26" i="23" s="1" a="1"/>
  <c r="M26" i="23" s="1"/>
  <c r="F65" i="22" a="1"/>
  <c r="F65" i="22" s="1"/>
  <c r="H65" i="22" s="1"/>
  <c r="P123" i="21" a="1"/>
  <c r="P123" i="21" s="1"/>
  <c r="P151" i="21" s="1" a="1"/>
  <c r="P151" i="21" s="1"/>
  <c r="P241" i="21" s="1" a="1"/>
  <c r="P241" i="21" s="1"/>
  <c r="P255" i="21" s="1" a="1"/>
  <c r="P255" i="21" s="1"/>
  <c r="O21" i="22"/>
  <c r="U21" i="22"/>
  <c r="V21" i="22"/>
  <c r="V33" i="22" s="1"/>
  <c r="Q302" i="27"/>
  <c r="Q301" i="27"/>
  <c r="Q303" i="27"/>
  <c r="X28" i="22"/>
  <c r="P81" i="21" a="1"/>
  <c r="P81" i="21" s="1"/>
  <c r="P82" i="21" s="1" a="1"/>
  <c r="P82" i="21" s="1"/>
  <c r="P85" i="21" s="1" a="1"/>
  <c r="P85" i="21" s="1"/>
  <c r="X29" i="22"/>
  <c r="Q31" i="22"/>
  <c r="Q24" i="22"/>
  <c r="Q32" i="22"/>
  <c r="X24" i="22"/>
  <c r="X31" i="22"/>
  <c r="X23" i="22"/>
  <c r="X22" i="22"/>
  <c r="X26" i="22"/>
  <c r="Q26" i="22"/>
  <c r="X25" i="22"/>
  <c r="Q22" i="22"/>
  <c r="S29" i="22"/>
  <c r="S31" i="22"/>
  <c r="U27" i="22"/>
  <c r="X27" i="22" s="1"/>
  <c r="W30" i="22"/>
  <c r="X30" i="22" s="1"/>
  <c r="S28" i="22"/>
  <c r="S22" i="22"/>
  <c r="R32" i="22"/>
  <c r="R27" i="22"/>
  <c r="O27" i="22"/>
  <c r="Q27" i="22" s="1"/>
  <c r="R22" i="22"/>
  <c r="S30" i="22"/>
  <c r="S25" i="22"/>
  <c r="O30" i="22"/>
  <c r="Q30" i="22" s="1"/>
  <c r="R30" i="22"/>
  <c r="O23" i="22"/>
  <c r="Q23" i="22" s="1"/>
  <c r="R23" i="22"/>
  <c r="O29" i="22"/>
  <c r="Q29" i="22" s="1"/>
  <c r="O28" i="22"/>
  <c r="Q28" i="22" s="1"/>
  <c r="S23" i="22"/>
  <c r="S32" i="22"/>
  <c r="S27" i="22"/>
  <c r="P371" i="21" a="1"/>
  <c r="P371" i="21" s="1"/>
  <c r="AI65" i="23"/>
  <c r="J65" i="23" s="1" a="1"/>
  <c r="J65" i="23" s="1"/>
  <c r="H65" i="23" a="1"/>
  <c r="H65" i="23" s="1"/>
  <c r="E65" i="23" a="1"/>
  <c r="E65" i="23" s="1"/>
  <c r="P258" i="21" a="1"/>
  <c r="P258" i="21" s="1"/>
  <c r="P260" i="21" s="1" a="1"/>
  <c r="P260" i="21" s="1"/>
  <c r="P347" i="21" s="1" a="1"/>
  <c r="P347" i="21" s="1"/>
  <c r="P73" i="21" a="1"/>
  <c r="P73" i="21" s="1"/>
  <c r="P340" i="21" s="1" a="1"/>
  <c r="P340" i="21" s="1"/>
  <c r="F55" i="22" s="1" a="1"/>
  <c r="F55" i="22" s="1"/>
  <c r="H55" i="22" s="1"/>
  <c r="P127" i="21" a="1"/>
  <c r="P127" i="21" s="1"/>
  <c r="P86" i="21" a="1"/>
  <c r="P86" i="21" s="1"/>
  <c r="P89" i="21" s="1" a="1"/>
  <c r="P89" i="21" s="1"/>
  <c r="P98" i="21" s="1" a="1"/>
  <c r="P98" i="21" s="1"/>
  <c r="P265" i="21" a="1"/>
  <c r="P265" i="21" s="1"/>
  <c r="P301" i="21" s="1" a="1"/>
  <c r="P301" i="21" s="1"/>
  <c r="P111" i="21" a="1"/>
  <c r="P111" i="21" s="1"/>
  <c r="P119" i="21" s="1" a="1"/>
  <c r="P119" i="21" s="1"/>
  <c r="P328" i="21" a="1"/>
  <c r="P328" i="21" s="1"/>
  <c r="P337" i="21" s="1" a="1"/>
  <c r="P337" i="21" s="1"/>
  <c r="F53" i="22" s="1" a="1"/>
  <c r="F53" i="22" s="1"/>
  <c r="H53" i="22" s="1"/>
  <c r="P280" i="21" a="1"/>
  <c r="P280" i="21" s="1"/>
  <c r="P121" i="21" a="1"/>
  <c r="P121" i="21" s="1"/>
  <c r="P122" i="21" s="1" a="1"/>
  <c r="P122" i="21" s="1"/>
  <c r="P133" i="21" a="1"/>
  <c r="P133" i="21" s="1"/>
  <c r="P141" i="21" s="1" a="1"/>
  <c r="P141" i="21" s="1"/>
  <c r="P103" i="21" a="1"/>
  <c r="P103" i="21" s="1"/>
  <c r="P105" i="21" s="1" a="1"/>
  <c r="P105" i="21" s="1"/>
  <c r="H72" i="22"/>
  <c r="D303" i="27"/>
  <c r="I42" i="22"/>
  <c r="G49" i="22"/>
  <c r="I49" i="22" s="1"/>
  <c r="H69" i="22"/>
  <c r="C302" i="27"/>
  <c r="P302" i="27"/>
  <c r="H64" i="23" a="1"/>
  <c r="H64" i="23" s="1"/>
  <c r="E64" i="23" a="1"/>
  <c r="E64" i="23" s="1"/>
  <c r="AI64" i="23"/>
  <c r="J64" i="23" s="1" a="1"/>
  <c r="J64" i="23" s="1"/>
  <c r="H63" i="23" a="1"/>
  <c r="H63" i="23" s="1"/>
  <c r="E63" i="23" a="1"/>
  <c r="E63" i="23" s="1"/>
  <c r="N301" i="27"/>
  <c r="I301" i="27"/>
  <c r="H301" i="27"/>
  <c r="G301" i="27"/>
  <c r="K301" i="27"/>
  <c r="D301" i="27"/>
  <c r="P301" i="27"/>
  <c r="C301" i="27"/>
  <c r="O301" i="27"/>
  <c r="F301" i="27"/>
  <c r="R301" i="27"/>
  <c r="L301" i="27"/>
  <c r="J301" i="27"/>
  <c r="E301" i="27"/>
  <c r="M301" i="27"/>
  <c r="N303" i="27"/>
  <c r="AI63" i="23"/>
  <c r="J63" i="23" s="1" a="1"/>
  <c r="J63" i="23" s="1"/>
  <c r="P303" i="27"/>
  <c r="H303" i="27"/>
  <c r="O303" i="27"/>
  <c r="M303" i="27"/>
  <c r="L303" i="27"/>
  <c r="F303" i="27"/>
  <c r="I303" i="27"/>
  <c r="G303" i="27"/>
  <c r="E303" i="27"/>
  <c r="I302" i="27"/>
  <c r="M302" i="27"/>
  <c r="L302" i="27"/>
  <c r="K302" i="27"/>
  <c r="H302" i="27"/>
  <c r="G302" i="27"/>
  <c r="C303" i="27"/>
  <c r="J302" i="27"/>
  <c r="O302" i="27"/>
  <c r="E302" i="27"/>
  <c r="J303" i="27"/>
  <c r="N302" i="27"/>
  <c r="D302" i="27"/>
  <c r="F302" i="27"/>
  <c r="K303" i="27"/>
  <c r="R303" i="27"/>
  <c r="R302" i="27"/>
  <c r="AI29" i="23"/>
  <c r="AI30" i="23"/>
  <c r="AI4" i="23"/>
  <c r="AI53" i="23"/>
  <c r="AI43" i="23"/>
  <c r="AI40" i="23"/>
  <c r="AI55" i="23"/>
  <c r="AI42" i="23"/>
  <c r="AI7" i="23"/>
  <c r="AI8" i="23"/>
  <c r="AI6" i="23"/>
  <c r="AI54" i="23"/>
  <c r="AI32" i="23"/>
  <c r="AI28" i="23"/>
  <c r="AI18" i="23"/>
  <c r="AI41" i="23"/>
  <c r="AI5" i="23"/>
  <c r="AH17" i="23"/>
  <c r="AL17" i="23" s="1"/>
  <c r="M17" i="23" s="1" a="1"/>
  <c r="M17" i="23" s="1"/>
  <c r="AI31" i="23"/>
  <c r="AI44" i="23"/>
  <c r="AI19" i="23"/>
  <c r="AI52" i="23"/>
  <c r="AI16" i="23"/>
  <c r="AI17" i="23"/>
  <c r="AI56" i="23"/>
  <c r="AI20" i="23"/>
  <c r="AI57" i="23"/>
  <c r="AI23" i="23"/>
  <c r="AI37" i="23"/>
  <c r="AI58" i="23"/>
  <c r="C16" i="23"/>
  <c r="AH16" i="23"/>
  <c r="AI38" i="23"/>
  <c r="AH38" i="23"/>
  <c r="AL38" i="23" s="1"/>
  <c r="M38" i="23" s="1" a="1"/>
  <c r="M38" i="23" s="1"/>
  <c r="AI45" i="23"/>
  <c r="AI9" i="23"/>
  <c r="AI24" i="23"/>
  <c r="AI46" i="23"/>
  <c r="AI59" i="23"/>
  <c r="C39" i="23"/>
  <c r="AI39" i="23"/>
  <c r="AI47" i="23"/>
  <c r="AI11" i="23"/>
  <c r="AI26" i="23"/>
  <c r="AI33" i="23"/>
  <c r="AI49" i="23"/>
  <c r="C4" i="23"/>
  <c r="AI50" i="23"/>
  <c r="AI12" i="23"/>
  <c r="C27" i="23"/>
  <c r="AI27" i="23"/>
  <c r="AI13" i="23"/>
  <c r="AI35" i="23"/>
  <c r="AI51" i="23"/>
  <c r="AI14" i="23"/>
  <c r="AI21" i="23"/>
  <c r="C52" i="23"/>
  <c r="AI36" i="23"/>
  <c r="AH15" i="23"/>
  <c r="AL15" i="23" s="1"/>
  <c r="M15" i="23" s="1" a="1"/>
  <c r="M15" i="23" s="1"/>
  <c r="AI15" i="23"/>
  <c r="AH22" i="23"/>
  <c r="AL22" i="23" s="1"/>
  <c r="M22" i="23" s="1" a="1"/>
  <c r="M22" i="23" s="1"/>
  <c r="AI22" i="23"/>
  <c r="AH25" i="23"/>
  <c r="AL25" i="23" s="1"/>
  <c r="M25" i="23" s="1" a="1"/>
  <c r="M25" i="23" s="1"/>
  <c r="AI25" i="23"/>
  <c r="AI48" i="23"/>
  <c r="AH10" i="23"/>
  <c r="AL10" i="23" s="1"/>
  <c r="M10" i="23" s="1" a="1"/>
  <c r="M10" i="23" s="1"/>
  <c r="AI10" i="23"/>
  <c r="AI34" i="23"/>
  <c r="AI60" i="23"/>
  <c r="AI61" i="23"/>
  <c r="AI62" i="23"/>
  <c r="C51" i="23"/>
  <c r="C28" i="23"/>
  <c r="C40" i="23"/>
  <c r="C15" i="23"/>
  <c r="C57" i="23"/>
  <c r="C8" i="23"/>
  <c r="C37" i="23"/>
  <c r="C58" i="23"/>
  <c r="C38" i="23"/>
  <c r="C45" i="23"/>
  <c r="C55" i="23"/>
  <c r="C31" i="23"/>
  <c r="C46" i="23"/>
  <c r="C32" i="23"/>
  <c r="C47" i="23"/>
  <c r="C56" i="23"/>
  <c r="C11" i="23"/>
  <c r="C26" i="23"/>
  <c r="C33" i="23"/>
  <c r="C49" i="23"/>
  <c r="C19" i="23"/>
  <c r="C41" i="23"/>
  <c r="C50" i="23"/>
  <c r="C12" i="23"/>
  <c r="C20" i="23"/>
  <c r="C42" i="23"/>
  <c r="C14" i="23"/>
  <c r="C21" i="23"/>
  <c r="C29" i="23"/>
  <c r="C43" i="23"/>
  <c r="C53" i="23"/>
  <c r="C22" i="23"/>
  <c r="C44" i="23"/>
  <c r="C25" i="23"/>
  <c r="C48" i="23"/>
  <c r="C34" i="23"/>
  <c r="C60" i="23"/>
  <c r="C61" i="23"/>
  <c r="C62" i="23"/>
  <c r="H62" i="23" a="1"/>
  <c r="H62" i="23" s="1"/>
  <c r="E62" i="23" a="1"/>
  <c r="E62" i="23" s="1"/>
  <c r="T24" i="23"/>
  <c r="T25" i="23"/>
  <c r="T14" i="23"/>
  <c r="T61" i="23"/>
  <c r="E61" i="23" a="1"/>
  <c r="E61" i="23" s="1"/>
  <c r="H61" i="23" a="1"/>
  <c r="H61" i="23" s="1"/>
  <c r="E60" i="23" a="1"/>
  <c r="E60" i="23" s="1"/>
  <c r="H60" i="23" a="1"/>
  <c r="H60" i="23" s="1"/>
  <c r="C24" i="23"/>
  <c r="C6" i="23"/>
  <c r="C54" i="23"/>
  <c r="C17" i="23"/>
  <c r="C23" i="23"/>
  <c r="C18" i="23"/>
  <c r="C5" i="23"/>
  <c r="C9" i="23"/>
  <c r="C35" i="23"/>
  <c r="C7" i="23"/>
  <c r="C36" i="23"/>
  <c r="C10" i="23"/>
  <c r="AC27" i="23" a="1"/>
  <c r="AC27" i="23" s="1"/>
  <c r="AH27" i="23" s="1"/>
  <c r="D34" i="22"/>
  <c r="I47" i="22"/>
  <c r="I61" i="22"/>
  <c r="I65" i="22"/>
  <c r="I53" i="22"/>
  <c r="I50" i="22"/>
  <c r="I48" i="22"/>
  <c r="I63" i="22"/>
  <c r="I59" i="22"/>
  <c r="I71" i="22"/>
  <c r="I51" i="22"/>
  <c r="G41" i="22"/>
  <c r="E41" i="22"/>
  <c r="I60" i="22"/>
  <c r="AC35" i="23" a="1"/>
  <c r="AC35" i="23" s="1"/>
  <c r="C41" i="22" a="1"/>
  <c r="C41" i="22" s="1"/>
  <c r="F41" i="22" s="1" a="1"/>
  <c r="F41" i="22" s="1"/>
  <c r="H41" i="22" s="1"/>
  <c r="AC18" i="23" a="1"/>
  <c r="AC18" i="23" s="1"/>
  <c r="I72" i="22"/>
  <c r="I69" i="22"/>
  <c r="AC50" i="23" a="1"/>
  <c r="AC50" i="23" s="1"/>
  <c r="AH50" i="23" s="1"/>
  <c r="AC5" i="23" a="1"/>
  <c r="AC5" i="23" s="1"/>
  <c r="AC6" i="23" a="1"/>
  <c r="AC6" i="23" s="1"/>
  <c r="I45" i="22"/>
  <c r="I54" i="22"/>
  <c r="I57" i="22"/>
  <c r="I66" i="22"/>
  <c r="I43" i="22"/>
  <c r="I46" i="22"/>
  <c r="I55" i="22"/>
  <c r="I58" i="22"/>
  <c r="I67" i="22"/>
  <c r="I70" i="22"/>
  <c r="I44" i="22"/>
  <c r="I52" i="22"/>
  <c r="I56" i="22"/>
  <c r="I64" i="22"/>
  <c r="I68" i="22"/>
  <c r="T33" i="22"/>
  <c r="F64" i="22" a="1"/>
  <c r="F64" i="22" s="1"/>
  <c r="H64" i="22" s="1"/>
  <c r="F48" i="22" a="1"/>
  <c r="F48" i="22" s="1"/>
  <c r="H48" i="22" s="1"/>
  <c r="F56" i="22" a="1"/>
  <c r="F56" i="22" s="1"/>
  <c r="H56" i="22" s="1"/>
  <c r="F62" i="22" a="1"/>
  <c r="F62" i="22" s="1"/>
  <c r="H62" i="22" s="1"/>
  <c r="J62" i="22" s="1"/>
  <c r="AC31" i="23" a="1"/>
  <c r="AC31" i="23" s="1"/>
  <c r="F63" i="22" a="1"/>
  <c r="F63" i="22" s="1"/>
  <c r="H63" i="22" s="1"/>
  <c r="F42" i="22" a="1"/>
  <c r="F42" i="22" s="1"/>
  <c r="H42" i="22" s="1"/>
  <c r="F61" i="22" a="1"/>
  <c r="F61" i="22" s="1"/>
  <c r="H61" i="22" s="1"/>
  <c r="H71" i="22"/>
  <c r="AC49" i="23" a="1"/>
  <c r="AC49" i="23" s="1"/>
  <c r="AC46" i="23" a="1"/>
  <c r="AC46" i="23" s="1"/>
  <c r="AH46" i="23" s="1"/>
  <c r="AC47" i="23" a="1"/>
  <c r="AC47" i="23" s="1"/>
  <c r="H66" i="22"/>
  <c r="W21" i="22"/>
  <c r="S21" i="22"/>
  <c r="R21" i="22"/>
  <c r="P21" i="22"/>
  <c r="D32" i="22"/>
  <c r="D30" i="22"/>
  <c r="D25" i="22"/>
  <c r="D27" i="22" s="1"/>
  <c r="Y3" i="23"/>
  <c r="B3" i="23"/>
  <c r="C13" i="23"/>
  <c r="C30" i="23"/>
  <c r="C59" i="23"/>
  <c r="Z3" i="23"/>
  <c r="AS72" i="23" a="1"/>
  <c r="G3" i="23"/>
  <c r="AD3" i="23" a="1"/>
  <c r="AD3" i="23" s="1"/>
  <c r="AB3" i="23" a="1"/>
  <c r="AB3" i="23" s="1"/>
  <c r="C3" i="23" s="1"/>
  <c r="I6" i="16"/>
  <c r="I51" i="16"/>
  <c r="I26" i="16"/>
  <c r="I27" i="16"/>
  <c r="I49" i="16"/>
  <c r="I38" i="16"/>
  <c r="I25" i="16"/>
  <c r="I14" i="16"/>
  <c r="I48" i="16"/>
  <c r="I24" i="16"/>
  <c r="I53" i="16"/>
  <c r="I13" i="16"/>
  <c r="I52" i="16"/>
  <c r="I47" i="16"/>
  <c r="I20" i="16"/>
  <c r="I5" i="16"/>
  <c r="I11" i="16"/>
  <c r="I15" i="16"/>
  <c r="I33" i="16"/>
  <c r="I28" i="16"/>
  <c r="I34" i="16"/>
  <c r="I3" i="16"/>
  <c r="I9" i="16"/>
  <c r="I4" i="16"/>
  <c r="I10" i="16"/>
  <c r="I32" i="16"/>
  <c r="I21" i="16"/>
  <c r="I31" i="16"/>
  <c r="I44" i="16"/>
  <c r="I42" i="16"/>
  <c r="I8" i="16"/>
  <c r="I19" i="16"/>
  <c r="I50" i="16"/>
  <c r="I37" i="16"/>
  <c r="I30" i="16"/>
  <c r="I45" i="16"/>
  <c r="I41" i="16"/>
  <c r="I36" i="16"/>
  <c r="I40" i="16"/>
  <c r="I23" i="16"/>
  <c r="I43" i="16"/>
  <c r="I29" i="16"/>
  <c r="I12" i="16"/>
  <c r="I16" i="16"/>
  <c r="I46" i="16"/>
  <c r="I7" i="16"/>
  <c r="I17" i="16"/>
  <c r="I35" i="16"/>
  <c r="I39" i="16"/>
  <c r="I22" i="16"/>
  <c r="I29" i="1"/>
  <c r="I11" i="1"/>
  <c r="I36" i="1"/>
  <c r="I10" i="1"/>
  <c r="I21" i="1"/>
  <c r="I40" i="1"/>
  <c r="I23" i="1"/>
  <c r="I19" i="1"/>
  <c r="I37" i="1"/>
  <c r="I49" i="1"/>
  <c r="I2" i="1"/>
  <c r="I8" i="1"/>
  <c r="I32" i="1"/>
  <c r="I38" i="1"/>
  <c r="I17" i="1"/>
  <c r="I46" i="1"/>
  <c r="I45" i="1"/>
  <c r="I52" i="1"/>
  <c r="I35" i="1"/>
  <c r="I30" i="1"/>
  <c r="I51" i="1"/>
  <c r="I15" i="1"/>
  <c r="I26" i="1"/>
  <c r="I43" i="1"/>
  <c r="I33" i="1"/>
  <c r="I22" i="1"/>
  <c r="I41" i="1"/>
  <c r="I6" i="1"/>
  <c r="I47" i="1"/>
  <c r="I24" i="1"/>
  <c r="I4" i="1"/>
  <c r="I9" i="1"/>
  <c r="I12" i="1"/>
  <c r="I39" i="1"/>
  <c r="I3" i="1"/>
  <c r="I48" i="1"/>
  <c r="I14" i="1"/>
  <c r="I18" i="1"/>
  <c r="I31" i="1"/>
  <c r="I50" i="1"/>
  <c r="I16" i="1"/>
  <c r="I27" i="1"/>
  <c r="I44" i="1"/>
  <c r="I13" i="1"/>
  <c r="I34" i="1"/>
  <c r="I42" i="1"/>
  <c r="I7" i="1"/>
  <c r="I20" i="1"/>
  <c r="I25" i="1"/>
  <c r="I5" i="1"/>
  <c r="P440" i="21" l="1" a="1"/>
  <c r="P440" i="21" s="1"/>
  <c r="F83" i="22" s="1" a="1"/>
  <c r="F83" i="22" s="1"/>
  <c r="H83" i="22" s="1"/>
  <c r="J83" i="22" s="1"/>
  <c r="P436" i="21" a="1"/>
  <c r="P436" i="21" s="1"/>
  <c r="P438" i="21" s="1" a="1"/>
  <c r="P438" i="21" s="1"/>
  <c r="P67" i="21" a="1"/>
  <c r="P67" i="21" s="1"/>
  <c r="P68" i="21" a="1"/>
  <c r="P68" i="21" s="1"/>
  <c r="P419" i="21" a="1"/>
  <c r="P419" i="21" s="1"/>
  <c r="J87" i="22"/>
  <c r="J78" i="22"/>
  <c r="J92" i="22"/>
  <c r="J74" i="22"/>
  <c r="J79" i="22"/>
  <c r="J86" i="22"/>
  <c r="J73" i="22"/>
  <c r="J82" i="22"/>
  <c r="J91" i="22"/>
  <c r="J84" i="22"/>
  <c r="J77" i="22"/>
  <c r="J76" i="22"/>
  <c r="J93" i="22"/>
  <c r="F70" i="22" a="1"/>
  <c r="F70" i="22" s="1"/>
  <c r="H70" i="22" s="1"/>
  <c r="J70" i="22" s="1"/>
  <c r="P87" i="21" a="1"/>
  <c r="P87" i="21" s="1"/>
  <c r="P388" i="21" a="1"/>
  <c r="P388" i="21" s="1"/>
  <c r="P416" i="21" s="1" a="1"/>
  <c r="P416" i="21" s="1"/>
  <c r="AC61" i="23" s="1" a="1"/>
  <c r="AC61" i="23" s="1"/>
  <c r="AH61" i="23" s="1"/>
  <c r="C9" i="22"/>
  <c r="E10" i="22"/>
  <c r="E9" i="22"/>
  <c r="C10" i="22"/>
  <c r="P256" i="21" a="1"/>
  <c r="P256" i="21" s="1"/>
  <c r="P324" i="21" s="1" a="1"/>
  <c r="P324" i="21" s="1"/>
  <c r="P279" i="21" a="1"/>
  <c r="P279" i="21" s="1"/>
  <c r="P331" i="21" a="1"/>
  <c r="P331" i="21" s="1"/>
  <c r="P120" i="21" a="1"/>
  <c r="P120" i="21" s="1"/>
  <c r="P107" i="21" a="1"/>
  <c r="P107" i="21" s="1"/>
  <c r="P126" i="21" a="1"/>
  <c r="P126" i="21" s="1"/>
  <c r="P108" i="21" a="1"/>
  <c r="P108" i="21" s="1"/>
  <c r="P139" i="21" a="1"/>
  <c r="P139" i="21" s="1"/>
  <c r="AC65" i="23" a="1"/>
  <c r="AC65" i="23" s="1"/>
  <c r="AC12" i="23" a="1"/>
  <c r="AC12" i="23" s="1"/>
  <c r="AH12" i="23" s="1"/>
  <c r="AL12" i="23" s="1"/>
  <c r="M12" i="23" s="1" a="1"/>
  <c r="M12" i="23" s="1"/>
  <c r="F46" i="22" a="1"/>
  <c r="F46" i="22" s="1"/>
  <c r="H46" i="22" s="1"/>
  <c r="J46" i="22" s="1"/>
  <c r="J42" i="22"/>
  <c r="J69" i="22"/>
  <c r="J56" i="22"/>
  <c r="J67" i="22"/>
  <c r="J61" i="22"/>
  <c r="J55" i="22"/>
  <c r="J71" i="22"/>
  <c r="J43" i="22"/>
  <c r="J72" i="22"/>
  <c r="J63" i="22"/>
  <c r="J64" i="22"/>
  <c r="J48" i="22"/>
  <c r="J66" i="22"/>
  <c r="J53" i="22"/>
  <c r="J65" i="22"/>
  <c r="AC64" i="23" a="1"/>
  <c r="AC64" i="23" s="1"/>
  <c r="U5" i="22"/>
  <c r="T7" i="22"/>
  <c r="AC63" i="23" a="1"/>
  <c r="AC63" i="23" s="1"/>
  <c r="AC8" i="23" a="1"/>
  <c r="AC8" i="23" s="1"/>
  <c r="D8" i="23" s="1" a="1"/>
  <c r="D8" i="23" s="1"/>
  <c r="J61" i="23" a="1"/>
  <c r="J61" i="23" s="1"/>
  <c r="J62" i="23" a="1"/>
  <c r="J62" i="23" s="1"/>
  <c r="U7" i="22"/>
  <c r="T5" i="22"/>
  <c r="T4" i="22"/>
  <c r="U4" i="22"/>
  <c r="F52" i="22" a="1"/>
  <c r="F52" i="22" s="1"/>
  <c r="H52" i="22" s="1"/>
  <c r="J52" i="22" s="1"/>
  <c r="AS72" i="23"/>
  <c r="AU65" i="23" s="1"/>
  <c r="V65" i="23" s="1"/>
  <c r="AJ16" i="23"/>
  <c r="K16" i="23" s="1"/>
  <c r="AJ15" i="23"/>
  <c r="K15" i="23" s="1"/>
  <c r="D10" i="22" a="1"/>
  <c r="D10" i="22" s="1"/>
  <c r="D9" i="22" a="1"/>
  <c r="D9" i="22" s="1"/>
  <c r="AK15" i="23"/>
  <c r="AM15" i="23" s="1"/>
  <c r="B10" i="22" a="1"/>
  <c r="B10" i="22" s="1"/>
  <c r="B9" i="22" a="1"/>
  <c r="B9" i="22" s="1"/>
  <c r="AH49" i="23"/>
  <c r="AJ49" i="23" s="1"/>
  <c r="K49" i="23" s="1"/>
  <c r="AH18" i="23"/>
  <c r="AJ18" i="23" s="1"/>
  <c r="K18" i="23" s="1"/>
  <c r="AK16" i="23"/>
  <c r="AL16" i="23"/>
  <c r="M16" i="23" s="1" a="1"/>
  <c r="M16" i="23" s="1"/>
  <c r="AL46" i="23"/>
  <c r="M46" i="23" s="1" a="1"/>
  <c r="M46" i="23" s="1"/>
  <c r="AH6" i="23"/>
  <c r="AJ6" i="23" s="1"/>
  <c r="AH47" i="23"/>
  <c r="AJ47" i="23" s="1"/>
  <c r="K47" i="23" s="1"/>
  <c r="AH5" i="23"/>
  <c r="AK5" i="23" s="1"/>
  <c r="AH31" i="23"/>
  <c r="AL31" i="23" s="1"/>
  <c r="M31" i="23" s="1" a="1"/>
  <c r="M31" i="23" s="1"/>
  <c r="AH35" i="23"/>
  <c r="AL35" i="23" s="1"/>
  <c r="M35" i="23" s="1" a="1"/>
  <c r="M35" i="23" s="1"/>
  <c r="AK17" i="23"/>
  <c r="AM17" i="23" s="1"/>
  <c r="AJ17" i="23"/>
  <c r="K17" i="23" s="1"/>
  <c r="AL50" i="23"/>
  <c r="M50" i="23" s="1" a="1"/>
  <c r="M50" i="23" s="1"/>
  <c r="AK50" i="23"/>
  <c r="AJ50" i="23"/>
  <c r="K50" i="23" s="1"/>
  <c r="AK38" i="23"/>
  <c r="AM38" i="23" s="1"/>
  <c r="AL27" i="23"/>
  <c r="M27" i="23" s="1" a="1"/>
  <c r="M27" i="23" s="1"/>
  <c r="AJ27" i="23"/>
  <c r="K27" i="23" s="1"/>
  <c r="AJ25" i="23"/>
  <c r="K25" i="23" s="1"/>
  <c r="AK25" i="23"/>
  <c r="AM25" i="23" s="1"/>
  <c r="AJ38" i="23"/>
  <c r="K38" i="23" s="1"/>
  <c r="AK26" i="23"/>
  <c r="AM26" i="23" s="1"/>
  <c r="AJ26" i="23"/>
  <c r="K26" i="23" s="1"/>
  <c r="J60" i="23" a="1"/>
  <c r="J60" i="23" s="1"/>
  <c r="AK27" i="23"/>
  <c r="AK10" i="23"/>
  <c r="AM10" i="23" s="1"/>
  <c r="AJ10" i="23"/>
  <c r="K10" i="23" s="1"/>
  <c r="AK22" i="23"/>
  <c r="AM22" i="23" s="1"/>
  <c r="AJ22" i="23"/>
  <c r="K22" i="23" s="1"/>
  <c r="AJ46" i="23"/>
  <c r="K46" i="23" s="1"/>
  <c r="AK46" i="23"/>
  <c r="AJ45" i="23"/>
  <c r="K45" i="23" s="1"/>
  <c r="AK45" i="23"/>
  <c r="AM45" i="23" s="1"/>
  <c r="AC62" i="23" a="1"/>
  <c r="AC62" i="23" s="1"/>
  <c r="AH62" i="23" s="1"/>
  <c r="H68" i="22"/>
  <c r="J68" i="22" s="1"/>
  <c r="AC32" i="23" a="1"/>
  <c r="AC32" i="23" s="1"/>
  <c r="AH32" i="23" s="1"/>
  <c r="AC28" i="23" a="1"/>
  <c r="AC28" i="23" s="1"/>
  <c r="AH28" i="23" s="1"/>
  <c r="J27" i="23" a="1"/>
  <c r="J27" i="23" s="1"/>
  <c r="H27" i="23" a="1"/>
  <c r="H27" i="23" s="1"/>
  <c r="D27" i="23" a="1"/>
  <c r="D27" i="23" s="1"/>
  <c r="E27" i="23" a="1"/>
  <c r="E27" i="23" s="1"/>
  <c r="J8" i="23" a="1"/>
  <c r="J8" i="23" s="1"/>
  <c r="H8" i="23" a="1"/>
  <c r="H8" i="23" s="1"/>
  <c r="E8" i="23" a="1"/>
  <c r="E8" i="23" s="1"/>
  <c r="E25" i="23" a="1"/>
  <c r="E25" i="23" s="1"/>
  <c r="H25" i="23" a="1"/>
  <c r="H25" i="23" s="1"/>
  <c r="J25" i="23" a="1"/>
  <c r="J25" i="23" s="1"/>
  <c r="D25" i="23" a="1"/>
  <c r="D25" i="23" s="1"/>
  <c r="H51" i="23" a="1"/>
  <c r="H51" i="23" s="1"/>
  <c r="J51" i="23" a="1"/>
  <c r="J51" i="23" s="1"/>
  <c r="E51" i="23" a="1"/>
  <c r="E51" i="23" s="1"/>
  <c r="H22" i="23" a="1"/>
  <c r="H22" i="23" s="1"/>
  <c r="D22" i="23" a="1"/>
  <c r="D22" i="23" s="1"/>
  <c r="J22" i="23" a="1"/>
  <c r="J22" i="23" s="1"/>
  <c r="E22" i="23" a="1"/>
  <c r="E22" i="23" s="1"/>
  <c r="J54" i="23" a="1"/>
  <c r="J54" i="23" s="1"/>
  <c r="E54" i="23" a="1"/>
  <c r="E54" i="23" s="1"/>
  <c r="H54" i="23" a="1"/>
  <c r="H54" i="23" s="1"/>
  <c r="J4" i="23" a="1"/>
  <c r="J4" i="23" s="1"/>
  <c r="H4" i="23" a="1"/>
  <c r="H4" i="23" s="1"/>
  <c r="E4" i="23" a="1"/>
  <c r="E4" i="23" s="1"/>
  <c r="J48" i="23" a="1"/>
  <c r="J48" i="23" s="1"/>
  <c r="H48" i="23" a="1"/>
  <c r="H48" i="23" s="1"/>
  <c r="E48" i="23" a="1"/>
  <c r="E48" i="23" s="1"/>
  <c r="H58" i="23" a="1"/>
  <c r="H58" i="23" s="1"/>
  <c r="J58" i="23" a="1"/>
  <c r="J58" i="23" s="1"/>
  <c r="E58" i="23" a="1"/>
  <c r="E58" i="23" s="1"/>
  <c r="E20" i="23" a="1"/>
  <c r="E20" i="23" s="1"/>
  <c r="H20" i="23" a="1"/>
  <c r="H20" i="23" s="1"/>
  <c r="J20" i="23" a="1"/>
  <c r="J20" i="23" s="1"/>
  <c r="E52" i="23" a="1"/>
  <c r="E52" i="23" s="1"/>
  <c r="H52" i="23" a="1"/>
  <c r="H52" i="23" s="1"/>
  <c r="J52" i="23" a="1"/>
  <c r="J52" i="23" s="1"/>
  <c r="H11" i="23" a="1"/>
  <c r="H11" i="23" s="1"/>
  <c r="E11" i="23" a="1"/>
  <c r="E11" i="23" s="1"/>
  <c r="P6" i="22" s="1"/>
  <c r="P17" i="22" s="1"/>
  <c r="J11" i="23" a="1"/>
  <c r="J11" i="23" s="1"/>
  <c r="H44" i="23" a="1"/>
  <c r="H44" i="23" s="1"/>
  <c r="J44" i="23" a="1"/>
  <c r="J44" i="23" s="1"/>
  <c r="E44" i="23" a="1"/>
  <c r="E44" i="23" s="1"/>
  <c r="H7" i="23" a="1"/>
  <c r="H7" i="23" s="1"/>
  <c r="J7" i="23" a="1"/>
  <c r="J7" i="23" s="1"/>
  <c r="E7" i="23" a="1"/>
  <c r="E7" i="23" s="1"/>
  <c r="H26" i="23" a="1"/>
  <c r="H26" i="23" s="1"/>
  <c r="J26" i="23" a="1"/>
  <c r="J26" i="23" s="1"/>
  <c r="D26" i="23" a="1"/>
  <c r="D26" i="23" s="1"/>
  <c r="E26" i="23" a="1"/>
  <c r="E26" i="23" s="1"/>
  <c r="E23" i="23" a="1"/>
  <c r="E23" i="23" s="1"/>
  <c r="H23" i="23" a="1"/>
  <c r="H23" i="23" s="1"/>
  <c r="J23" i="23" a="1"/>
  <c r="J23" i="23" s="1"/>
  <c r="H37" i="23" a="1"/>
  <c r="H37" i="23" s="1"/>
  <c r="E37" i="23" a="1"/>
  <c r="E37" i="23" s="1"/>
  <c r="J37" i="23" a="1"/>
  <c r="J37" i="23" s="1"/>
  <c r="E31" i="23" a="1"/>
  <c r="E31" i="23" s="1"/>
  <c r="H31" i="23" a="1"/>
  <c r="H31" i="23" s="1"/>
  <c r="J31" i="23" a="1"/>
  <c r="J31" i="23" s="1"/>
  <c r="D31" i="23" a="1"/>
  <c r="D31" i="23" s="1"/>
  <c r="H5" i="23" a="1"/>
  <c r="H5" i="23" s="1"/>
  <c r="J5" i="23" a="1"/>
  <c r="J5" i="23" s="1"/>
  <c r="D5" i="23" a="1"/>
  <c r="D5" i="23" s="1"/>
  <c r="E5" i="23" a="1"/>
  <c r="E5" i="23" s="1"/>
  <c r="J21" i="23" a="1"/>
  <c r="J21" i="23" s="1"/>
  <c r="E21" i="23" a="1"/>
  <c r="E21" i="23" s="1"/>
  <c r="H21" i="23" a="1"/>
  <c r="H21" i="23" s="1"/>
  <c r="H56" i="23" a="1"/>
  <c r="H56" i="23" s="1"/>
  <c r="J56" i="23" a="1"/>
  <c r="J56" i="23" s="1"/>
  <c r="E56" i="23" a="1"/>
  <c r="E56" i="23" s="1"/>
  <c r="E24" i="23" a="1"/>
  <c r="E24" i="23" s="1"/>
  <c r="H24" i="23" a="1"/>
  <c r="H24" i="23" s="1"/>
  <c r="J24" i="23" a="1"/>
  <c r="J24" i="23" s="1"/>
  <c r="H29" i="23" a="1"/>
  <c r="H29" i="23" s="1"/>
  <c r="J29" i="23" a="1"/>
  <c r="J29" i="23" s="1"/>
  <c r="E29" i="23" a="1"/>
  <c r="E29" i="23" s="1"/>
  <c r="D50" i="23" a="1"/>
  <c r="D50" i="23" s="1"/>
  <c r="H50" i="23" a="1"/>
  <c r="H50" i="23" s="1"/>
  <c r="E50" i="23" a="1"/>
  <c r="E50" i="23" s="1"/>
  <c r="J50" i="23" a="1"/>
  <c r="J50" i="23" s="1"/>
  <c r="H36" i="23" a="1"/>
  <c r="H36" i="23" s="1"/>
  <c r="J36" i="23" a="1"/>
  <c r="J36" i="23" s="1"/>
  <c r="E36" i="23" a="1"/>
  <c r="E36" i="23" s="1"/>
  <c r="J43" i="23" a="1"/>
  <c r="J43" i="23" s="1"/>
  <c r="E43" i="23" a="1"/>
  <c r="E43" i="23" s="1"/>
  <c r="H43" i="23" a="1"/>
  <c r="H43" i="23" s="1"/>
  <c r="J35" i="23" a="1"/>
  <c r="J35" i="23" s="1"/>
  <c r="H35" i="23" a="1"/>
  <c r="H35" i="23" s="1"/>
  <c r="D35" i="23" a="1"/>
  <c r="D35" i="23" s="1"/>
  <c r="E35" i="23" a="1"/>
  <c r="E35" i="23" s="1"/>
  <c r="E39" i="23" a="1"/>
  <c r="E39" i="23" s="1"/>
  <c r="H39" i="23" a="1"/>
  <c r="H39" i="23" s="1"/>
  <c r="J39" i="23" a="1"/>
  <c r="J39" i="23" s="1"/>
  <c r="D49" i="23" a="1"/>
  <c r="D49" i="23" s="1"/>
  <c r="H49" i="23" a="1"/>
  <c r="H49" i="23" s="1"/>
  <c r="J49" i="23" a="1"/>
  <c r="J49" i="23" s="1"/>
  <c r="E49" i="23" a="1"/>
  <c r="E49" i="23" s="1"/>
  <c r="H16" i="23" a="1"/>
  <c r="H16" i="23" s="1"/>
  <c r="E16" i="23" a="1"/>
  <c r="E16" i="23" s="1"/>
  <c r="J16" i="23" a="1"/>
  <c r="J16" i="23" s="1"/>
  <c r="D16" i="23" a="1"/>
  <c r="D16" i="23" s="1"/>
  <c r="E38" i="23" a="1"/>
  <c r="E38" i="23" s="1"/>
  <c r="H38" i="23" a="1"/>
  <c r="H38" i="23" s="1"/>
  <c r="D38" i="23" a="1"/>
  <c r="D38" i="23" s="1"/>
  <c r="J38" i="23" a="1"/>
  <c r="J38" i="23" s="1"/>
  <c r="J12" i="23" a="1"/>
  <c r="J12" i="23" s="1"/>
  <c r="E12" i="23" a="1"/>
  <c r="E12" i="23" s="1"/>
  <c r="H12" i="23" a="1"/>
  <c r="H12" i="23" s="1"/>
  <c r="H46" i="23" a="1"/>
  <c r="H46" i="23" s="1"/>
  <c r="E46" i="23" a="1"/>
  <c r="E46" i="23" s="1"/>
  <c r="J46" i="23" a="1"/>
  <c r="J46" i="23" s="1"/>
  <c r="D46" i="23" a="1"/>
  <c r="D46" i="23" s="1"/>
  <c r="J42" i="23" a="1"/>
  <c r="J42" i="23" s="1"/>
  <c r="E42" i="23" a="1"/>
  <c r="E42" i="23" s="1"/>
  <c r="H42" i="23" a="1"/>
  <c r="H42" i="23" s="1"/>
  <c r="J14" i="23" a="1"/>
  <c r="J14" i="23" s="1"/>
  <c r="H14" i="23" a="1"/>
  <c r="H14" i="23" s="1"/>
  <c r="E14" i="23" a="1"/>
  <c r="E14" i="23" s="1"/>
  <c r="E33" i="23" a="1"/>
  <c r="E33" i="23" s="1"/>
  <c r="J33" i="23" a="1"/>
  <c r="J33" i="23" s="1"/>
  <c r="H33" i="23" a="1"/>
  <c r="H33" i="23" s="1"/>
  <c r="E59" i="23" a="1"/>
  <c r="E59" i="23" s="1"/>
  <c r="U6" i="22" s="1"/>
  <c r="H59" i="23" a="1"/>
  <c r="H59" i="23" s="1"/>
  <c r="U8" i="22" s="1"/>
  <c r="J59" i="23" a="1"/>
  <c r="J59" i="23" s="1"/>
  <c r="E32" i="23" a="1"/>
  <c r="E32" i="23" s="1"/>
  <c r="J32" i="23" a="1"/>
  <c r="J32" i="23" s="1"/>
  <c r="H32" i="23" a="1"/>
  <c r="H32" i="23" s="1"/>
  <c r="J40" i="23" a="1"/>
  <c r="J40" i="23" s="1"/>
  <c r="E40" i="23" a="1"/>
  <c r="E40" i="23" s="1"/>
  <c r="H40" i="23" a="1"/>
  <c r="H40" i="23" s="1"/>
  <c r="H9" i="23" a="1"/>
  <c r="H9" i="23" s="1"/>
  <c r="E9" i="23" a="1"/>
  <c r="E9" i="23" s="1"/>
  <c r="R6" i="22" s="1"/>
  <c r="R17" i="22" s="1"/>
  <c r="J9" i="23" a="1"/>
  <c r="J9" i="23" s="1"/>
  <c r="J13" i="23" a="1"/>
  <c r="J13" i="23" s="1"/>
  <c r="E13" i="23" a="1"/>
  <c r="E13" i="23" s="1"/>
  <c r="H13" i="23" a="1"/>
  <c r="H13" i="23" s="1"/>
  <c r="E10" i="23" a="1"/>
  <c r="E10" i="23" s="1"/>
  <c r="H10" i="23" a="1"/>
  <c r="H10" i="23" s="1"/>
  <c r="J10" i="23" a="1"/>
  <c r="J10" i="23" s="1"/>
  <c r="D10" i="23" a="1"/>
  <c r="D10" i="23" s="1"/>
  <c r="E45" i="23" a="1"/>
  <c r="E45" i="23" s="1"/>
  <c r="H45" i="23" a="1"/>
  <c r="H45" i="23" s="1"/>
  <c r="D45" i="23" a="1"/>
  <c r="D45" i="23" s="1"/>
  <c r="J45" i="23" a="1"/>
  <c r="J45" i="23" s="1"/>
  <c r="E18" i="23" a="1"/>
  <c r="E18" i="23" s="1"/>
  <c r="H18" i="23" a="1"/>
  <c r="H18" i="23" s="1"/>
  <c r="D18" i="23" a="1"/>
  <c r="D18" i="23" s="1"/>
  <c r="J18" i="23" a="1"/>
  <c r="J18" i="23" s="1"/>
  <c r="J41" i="23" a="1"/>
  <c r="J41" i="23" s="1"/>
  <c r="E41" i="23" a="1"/>
  <c r="E41" i="23" s="1"/>
  <c r="H41" i="23" a="1"/>
  <c r="H41" i="23" s="1"/>
  <c r="J34" i="23" a="1"/>
  <c r="J34" i="23" s="1"/>
  <c r="H34" i="23" a="1"/>
  <c r="H34" i="23" s="1"/>
  <c r="E34" i="23" a="1"/>
  <c r="E34" i="23" s="1"/>
  <c r="J19" i="23" a="1"/>
  <c r="J19" i="23" s="1"/>
  <c r="E19" i="23" a="1"/>
  <c r="E19" i="23" s="1"/>
  <c r="H19" i="23" a="1"/>
  <c r="H19" i="23" s="1"/>
  <c r="J15" i="23" a="1"/>
  <c r="J15" i="23" s="1"/>
  <c r="H15" i="23" a="1"/>
  <c r="H15" i="23" s="1"/>
  <c r="D15" i="23" a="1"/>
  <c r="D15" i="23" s="1"/>
  <c r="E15" i="23" a="1"/>
  <c r="E15" i="23" s="1"/>
  <c r="J47" i="23" a="1"/>
  <c r="J47" i="23" s="1"/>
  <c r="D47" i="23" a="1"/>
  <c r="D47" i="23" s="1"/>
  <c r="H47" i="23" a="1"/>
  <c r="H47" i="23" s="1"/>
  <c r="E47" i="23" a="1"/>
  <c r="E47" i="23" s="1"/>
  <c r="H30" i="23" a="1"/>
  <c r="H30" i="23" s="1"/>
  <c r="E30" i="23" a="1"/>
  <c r="E30" i="23" s="1"/>
  <c r="J30" i="23" a="1"/>
  <c r="J30" i="23" s="1"/>
  <c r="J55" i="23" a="1"/>
  <c r="J55" i="23" s="1"/>
  <c r="E55" i="23" a="1"/>
  <c r="E55" i="23" s="1"/>
  <c r="H55" i="23" a="1"/>
  <c r="H55" i="23" s="1"/>
  <c r="H17" i="23" a="1"/>
  <c r="H17" i="23" s="1"/>
  <c r="E17" i="23" a="1"/>
  <c r="E17" i="23" s="1"/>
  <c r="D17" i="23" a="1"/>
  <c r="D17" i="23" s="1"/>
  <c r="J17" i="23" a="1"/>
  <c r="J17" i="23" s="1"/>
  <c r="P51" i="22" s="1"/>
  <c r="H57" i="23" a="1"/>
  <c r="H57" i="23" s="1"/>
  <c r="E57" i="23" a="1"/>
  <c r="E57" i="23" s="1"/>
  <c r="J57" i="23" a="1"/>
  <c r="J57" i="23" s="1"/>
  <c r="D6" i="23" a="1"/>
  <c r="D6" i="23" s="1"/>
  <c r="H6" i="23" a="1"/>
  <c r="H6" i="23" s="1"/>
  <c r="J6" i="23" a="1"/>
  <c r="J6" i="23" s="1"/>
  <c r="E6" i="23" a="1"/>
  <c r="E6" i="23" s="1"/>
  <c r="J28" i="23" a="1"/>
  <c r="J28" i="23" s="1"/>
  <c r="H28" i="23" a="1"/>
  <c r="H28" i="23" s="1"/>
  <c r="E28" i="23" a="1"/>
  <c r="E28" i="23" s="1"/>
  <c r="J53" i="23" a="1"/>
  <c r="J53" i="23" s="1"/>
  <c r="H53" i="23" a="1"/>
  <c r="H53" i="23" s="1"/>
  <c r="E53" i="23" a="1"/>
  <c r="E53" i="23" s="1"/>
  <c r="I17" i="23" a="1"/>
  <c r="I17" i="23" s="1"/>
  <c r="O51" i="22" s="1"/>
  <c r="I27" i="23" a="1"/>
  <c r="I27" i="23" s="1"/>
  <c r="I22" i="23" a="1"/>
  <c r="I22" i="23" s="1"/>
  <c r="I50" i="23" a="1"/>
  <c r="I50" i="23" s="1"/>
  <c r="I45" i="23" a="1"/>
  <c r="I45" i="23" s="1"/>
  <c r="I15" i="23" a="1"/>
  <c r="I15" i="23" s="1"/>
  <c r="I26" i="23" a="1"/>
  <c r="I26" i="23" s="1"/>
  <c r="I16" i="23" a="1"/>
  <c r="I16" i="23" s="1"/>
  <c r="I38" i="23" a="1"/>
  <c r="I38" i="23" s="1"/>
  <c r="I25" i="23" a="1"/>
  <c r="I25" i="23" s="1"/>
  <c r="I10" i="23" a="1"/>
  <c r="I10" i="23" s="1"/>
  <c r="D35" i="22"/>
  <c r="O57" i="22"/>
  <c r="R7" i="22"/>
  <c r="R5" i="22"/>
  <c r="R4" i="22"/>
  <c r="I41" i="22"/>
  <c r="A3" i="23"/>
  <c r="S33" i="22"/>
  <c r="W33" i="22"/>
  <c r="O33" i="22"/>
  <c r="Q21" i="22"/>
  <c r="Q33" i="22" s="1"/>
  <c r="P33" i="22"/>
  <c r="X21" i="22"/>
  <c r="X33" i="22" s="1"/>
  <c r="R33" i="22"/>
  <c r="U33" i="22"/>
  <c r="S5" i="22"/>
  <c r="Q4" i="22"/>
  <c r="S4" i="22"/>
  <c r="Q7" i="22"/>
  <c r="P5" i="22"/>
  <c r="P7" i="22"/>
  <c r="S7" i="22"/>
  <c r="P4" i="22"/>
  <c r="Q5" i="22"/>
  <c r="T3" i="23"/>
  <c r="AI3" i="23"/>
  <c r="I54" i="16"/>
  <c r="I53" i="1"/>
  <c r="P70" i="21" l="1" a="1"/>
  <c r="P70" i="21" s="1"/>
  <c r="P153" i="21" s="1" a="1"/>
  <c r="P153" i="21" s="1"/>
  <c r="AC14" i="23" a="1"/>
  <c r="AC14" i="23" s="1"/>
  <c r="F54" i="22" a="1"/>
  <c r="F54" i="22" s="1"/>
  <c r="H54" i="22" s="1"/>
  <c r="J54" i="22" s="1"/>
  <c r="P372" i="21" a="1"/>
  <c r="P372" i="21" s="1"/>
  <c r="P422" i="21" a="1"/>
  <c r="P422" i="21" s="1"/>
  <c r="AC33" i="23" s="1" a="1"/>
  <c r="AC33" i="23" s="1"/>
  <c r="AH33" i="23" s="1"/>
  <c r="AJ33" i="23" s="1"/>
  <c r="K33" i="23" s="1"/>
  <c r="P333" i="21" a="1"/>
  <c r="P333" i="21" s="1"/>
  <c r="P346" i="21" s="1" a="1"/>
  <c r="P346" i="21" s="1"/>
  <c r="P91" i="21" a="1"/>
  <c r="P91" i="21" s="1"/>
  <c r="P95" i="21" s="1" a="1"/>
  <c r="P95" i="21" s="1"/>
  <c r="P96" i="21" s="1" a="1"/>
  <c r="P96" i="21" s="1"/>
  <c r="D67" i="22"/>
  <c r="D89" i="22"/>
  <c r="D75" i="22"/>
  <c r="D92" i="22"/>
  <c r="D80" i="22"/>
  <c r="D79" i="22"/>
  <c r="D83" i="22"/>
  <c r="D73" i="22"/>
  <c r="D82" i="22"/>
  <c r="D77" i="22"/>
  <c r="D76" i="22"/>
  <c r="D86" i="22"/>
  <c r="D88" i="22"/>
  <c r="D91" i="22"/>
  <c r="D85" i="22"/>
  <c r="D90" i="22"/>
  <c r="D81" i="22"/>
  <c r="D87" i="22"/>
  <c r="D74" i="22"/>
  <c r="D84" i="22"/>
  <c r="D93" i="22"/>
  <c r="D78" i="22"/>
  <c r="P403" i="21" a="1"/>
  <c r="P403" i="21" s="1"/>
  <c r="P404" i="21" s="1" a="1"/>
  <c r="P404" i="21" s="1"/>
  <c r="AH65" i="23"/>
  <c r="AK65" i="23" s="1"/>
  <c r="D65" i="23" a="1"/>
  <c r="D65" i="23" s="1"/>
  <c r="P115" i="21" a="1"/>
  <c r="P115" i="21" s="1"/>
  <c r="P163" i="21" a="1"/>
  <c r="P163" i="21" s="1"/>
  <c r="P128" i="21" a="1"/>
  <c r="P128" i="21" s="1"/>
  <c r="P118" i="21" a="1"/>
  <c r="P118" i="21" s="1"/>
  <c r="P134" i="21" s="1" a="1"/>
  <c r="P134" i="21" s="1"/>
  <c r="P137" i="21" a="1"/>
  <c r="P137" i="21" s="1"/>
  <c r="AP3" i="23"/>
  <c r="AP65" i="23"/>
  <c r="D12" i="23" a="1"/>
  <c r="D12" i="23" s="1"/>
  <c r="I12" i="23" a="1"/>
  <c r="I12" i="23" s="1"/>
  <c r="AK12" i="23"/>
  <c r="AM12" i="23" s="1"/>
  <c r="AJ12" i="23"/>
  <c r="K12" i="23" s="1"/>
  <c r="D69" i="22"/>
  <c r="D43" i="22"/>
  <c r="D68" i="22"/>
  <c r="D47" i="22"/>
  <c r="D50" i="22"/>
  <c r="D60" i="22"/>
  <c r="D61" i="22"/>
  <c r="D54" i="22"/>
  <c r="D70" i="22"/>
  <c r="D55" i="22"/>
  <c r="D42" i="22"/>
  <c r="D63" i="22"/>
  <c r="D71" i="22"/>
  <c r="D65" i="22"/>
  <c r="D72" i="22"/>
  <c r="D41" i="22"/>
  <c r="D62" i="22"/>
  <c r="D64" i="22"/>
  <c r="D59" i="22"/>
  <c r="D45" i="22"/>
  <c r="D57" i="22"/>
  <c r="D56" i="22"/>
  <c r="D46" i="22"/>
  <c r="D44" i="22"/>
  <c r="D49" i="22"/>
  <c r="D66" i="22"/>
  <c r="D53" i="22"/>
  <c r="D51" i="22"/>
  <c r="D52" i="22"/>
  <c r="D48" i="22"/>
  <c r="D58" i="22"/>
  <c r="AU59" i="23"/>
  <c r="V59" i="23" s="1"/>
  <c r="AJ35" i="23"/>
  <c r="K35" i="23" s="1"/>
  <c r="J41" i="22"/>
  <c r="AC44" i="23" a="1"/>
  <c r="AC44" i="23" s="1"/>
  <c r="P50" i="22"/>
  <c r="P47" i="22"/>
  <c r="P49" i="22"/>
  <c r="P48" i="22"/>
  <c r="P43" i="22"/>
  <c r="P45" i="22"/>
  <c r="P42" i="22"/>
  <c r="O48" i="22"/>
  <c r="P44" i="22"/>
  <c r="P41" i="22"/>
  <c r="T8" i="22"/>
  <c r="AP40" i="23"/>
  <c r="AR40" i="23" s="1"/>
  <c r="AP58" i="23"/>
  <c r="AR58" i="23" s="1"/>
  <c r="AP64" i="23"/>
  <c r="Q64" i="23" s="1"/>
  <c r="AP17" i="23"/>
  <c r="AR17" i="23" s="1"/>
  <c r="AP24" i="23"/>
  <c r="AR24" i="23" s="1"/>
  <c r="AP15" i="23"/>
  <c r="AR15" i="23" s="1"/>
  <c r="AP22" i="23"/>
  <c r="AR22" i="23" s="1"/>
  <c r="AP35" i="23"/>
  <c r="AR35" i="23" s="1"/>
  <c r="AP14" i="23"/>
  <c r="AR14" i="23" s="1"/>
  <c r="AP28" i="23"/>
  <c r="AR28" i="23" s="1"/>
  <c r="D64" i="23" a="1"/>
  <c r="D64" i="23" s="1"/>
  <c r="AH64" i="23"/>
  <c r="AP25" i="23"/>
  <c r="AR25" i="23" s="1"/>
  <c r="AP54" i="23"/>
  <c r="AR54" i="23" s="1"/>
  <c r="AP20" i="23"/>
  <c r="AR20" i="23" s="1"/>
  <c r="AP39" i="23"/>
  <c r="AR39" i="23" s="1"/>
  <c r="AP63" i="23"/>
  <c r="Q63" i="23" s="1"/>
  <c r="AU64" i="23"/>
  <c r="V64" i="23" s="1"/>
  <c r="AP49" i="23"/>
  <c r="AR49" i="23" s="1"/>
  <c r="AP50" i="23"/>
  <c r="AP53" i="23"/>
  <c r="AR53" i="23" s="1"/>
  <c r="AP27" i="23"/>
  <c r="AR27" i="23" s="1"/>
  <c r="AP42" i="23"/>
  <c r="AR42" i="23" s="1"/>
  <c r="AP8" i="23"/>
  <c r="AR8" i="23" s="1"/>
  <c r="AP10" i="23"/>
  <c r="AR10" i="23" s="1"/>
  <c r="AP60" i="23"/>
  <c r="AR60" i="23" s="1"/>
  <c r="AP41" i="23"/>
  <c r="AR41" i="23" s="1"/>
  <c r="AP44" i="23"/>
  <c r="AR44" i="23" s="1"/>
  <c r="AP52" i="23"/>
  <c r="AP29" i="23"/>
  <c r="AR29" i="23" s="1"/>
  <c r="AP4" i="23"/>
  <c r="AR4" i="23" s="1"/>
  <c r="AH63" i="23"/>
  <c r="D63" i="23" a="1"/>
  <c r="D63" i="23" s="1"/>
  <c r="AP23" i="23"/>
  <c r="AR23" i="23" s="1"/>
  <c r="AP11" i="23"/>
  <c r="AR11" i="23" s="1"/>
  <c r="AP51" i="23"/>
  <c r="AP32" i="23"/>
  <c r="AR32" i="23" s="1"/>
  <c r="AP18" i="23"/>
  <c r="AR18" i="23" s="1"/>
  <c r="AP59" i="23"/>
  <c r="AR59" i="23" s="1"/>
  <c r="S59" i="23" s="1"/>
  <c r="AP13" i="23"/>
  <c r="AR13" i="23" s="1"/>
  <c r="AP48" i="23"/>
  <c r="AR48" i="23" s="1"/>
  <c r="AP56" i="23"/>
  <c r="AR56" i="23" s="1"/>
  <c r="AP57" i="23"/>
  <c r="AR57" i="23" s="1"/>
  <c r="AP62" i="23"/>
  <c r="AR62" i="23" s="1"/>
  <c r="S62" i="23" s="1"/>
  <c r="AP7" i="23"/>
  <c r="AR7" i="23" s="1"/>
  <c r="AP6" i="23"/>
  <c r="AR6" i="23" s="1"/>
  <c r="AP9" i="23"/>
  <c r="AR9" i="23" s="1"/>
  <c r="AP46" i="23"/>
  <c r="AR46" i="23" s="1"/>
  <c r="AP43" i="23"/>
  <c r="AR43" i="23" s="1"/>
  <c r="AP55" i="23"/>
  <c r="AR55" i="23" s="1"/>
  <c r="AP19" i="23"/>
  <c r="AR19" i="23" s="1"/>
  <c r="AP16" i="23"/>
  <c r="AR16" i="23" s="1"/>
  <c r="AP21" i="23"/>
  <c r="AR21" i="23" s="1"/>
  <c r="AP12" i="23"/>
  <c r="AR12" i="23" s="1"/>
  <c r="AP5" i="23"/>
  <c r="AR5" i="23" s="1"/>
  <c r="AP31" i="23"/>
  <c r="AR31" i="23" s="1"/>
  <c r="AP38" i="23"/>
  <c r="AR38" i="23" s="1"/>
  <c r="AP45" i="23"/>
  <c r="AR45" i="23" s="1"/>
  <c r="AP34" i="23"/>
  <c r="AR34" i="23" s="1"/>
  <c r="AP36" i="23"/>
  <c r="AR36" i="23" s="1"/>
  <c r="AP37" i="23"/>
  <c r="AR37" i="23" s="1"/>
  <c r="AP47" i="23"/>
  <c r="AR47" i="23" s="1"/>
  <c r="AP26" i="23"/>
  <c r="AR26" i="23" s="1"/>
  <c r="AP33" i="23"/>
  <c r="AR33" i="23" s="1"/>
  <c r="AP30" i="23"/>
  <c r="AR30" i="23" s="1"/>
  <c r="AP61" i="23"/>
  <c r="AR61" i="23" s="1"/>
  <c r="AH8" i="23"/>
  <c r="AJ8" i="23" s="1"/>
  <c r="K8" i="23" s="1"/>
  <c r="T6" i="22"/>
  <c r="T17" i="22" s="1"/>
  <c r="AU3" i="23"/>
  <c r="V3" i="23" s="1"/>
  <c r="AU14" i="23"/>
  <c r="V14" i="23" s="1"/>
  <c r="AU33" i="23"/>
  <c r="V33" i="23" s="1"/>
  <c r="AU30" i="23"/>
  <c r="V30" i="23" s="1"/>
  <c r="AU55" i="23"/>
  <c r="V55" i="23" s="1"/>
  <c r="AU54" i="23"/>
  <c r="V54" i="23" s="1"/>
  <c r="AU40" i="23"/>
  <c r="V40" i="23" s="1"/>
  <c r="AU32" i="23"/>
  <c r="V32" i="23" s="1"/>
  <c r="AU11" i="23"/>
  <c r="V11" i="23" s="1"/>
  <c r="AU16" i="23"/>
  <c r="V16" i="23" s="1"/>
  <c r="AU63" i="23"/>
  <c r="V63" i="23" s="1"/>
  <c r="AU15" i="23"/>
  <c r="V15" i="23" s="1"/>
  <c r="AU50" i="23"/>
  <c r="V50" i="23" s="1"/>
  <c r="AU56" i="23"/>
  <c r="V56" i="23" s="1"/>
  <c r="AU46" i="23"/>
  <c r="V46" i="23" s="1"/>
  <c r="AU39" i="23"/>
  <c r="V39" i="23" s="1"/>
  <c r="AU48" i="23"/>
  <c r="V48" i="23" s="1"/>
  <c r="AU57" i="23"/>
  <c r="V57" i="23" s="1"/>
  <c r="AC43" i="23" a="1"/>
  <c r="AC43" i="23" s="1"/>
  <c r="AH43" i="23" s="1"/>
  <c r="I43" i="23" s="1" a="1"/>
  <c r="I43" i="23" s="1"/>
  <c r="AC29" i="23" a="1"/>
  <c r="AC29" i="23" s="1"/>
  <c r="AH29" i="23" s="1"/>
  <c r="I29" i="23" s="1" a="1"/>
  <c r="I29" i="23" s="1"/>
  <c r="AC30" i="23" a="1"/>
  <c r="AC30" i="23" s="1"/>
  <c r="AU58" i="23"/>
  <c r="V58" i="23" s="1"/>
  <c r="AU43" i="23"/>
  <c r="V43" i="23" s="1"/>
  <c r="AU19" i="23"/>
  <c r="V19" i="23" s="1"/>
  <c r="AU60" i="23"/>
  <c r="V60" i="23" s="1"/>
  <c r="AU31" i="23"/>
  <c r="V31" i="23" s="1"/>
  <c r="AU22" i="23"/>
  <c r="V22" i="23" s="1"/>
  <c r="AU52" i="23"/>
  <c r="V52" i="23" s="1"/>
  <c r="AU17" i="23"/>
  <c r="V17" i="23" s="1"/>
  <c r="AU45" i="23"/>
  <c r="V45" i="23" s="1"/>
  <c r="AU13" i="23"/>
  <c r="V13" i="23" s="1"/>
  <c r="AU36" i="23"/>
  <c r="V36" i="23" s="1"/>
  <c r="AU5" i="23"/>
  <c r="V5" i="23" s="1"/>
  <c r="AU28" i="23"/>
  <c r="V28" i="23" s="1"/>
  <c r="AU47" i="23"/>
  <c r="V47" i="23" s="1"/>
  <c r="AU7" i="23"/>
  <c r="V7" i="23" s="1"/>
  <c r="AU49" i="23"/>
  <c r="V49" i="23" s="1"/>
  <c r="AU24" i="23"/>
  <c r="V24" i="23" s="1"/>
  <c r="AU35" i="23"/>
  <c r="V35" i="23" s="1"/>
  <c r="AU27" i="23"/>
  <c r="V27" i="23" s="1"/>
  <c r="AU4" i="23"/>
  <c r="V4" i="23" s="1"/>
  <c r="AU38" i="23"/>
  <c r="V38" i="23" s="1"/>
  <c r="AU29" i="23"/>
  <c r="V29" i="23" s="1"/>
  <c r="AU20" i="23"/>
  <c r="V20" i="23" s="1"/>
  <c r="AU42" i="23"/>
  <c r="V42" i="23" s="1"/>
  <c r="AU25" i="23"/>
  <c r="V25" i="23" s="1"/>
  <c r="AU53" i="23"/>
  <c r="V53" i="23" s="1"/>
  <c r="AU6" i="23"/>
  <c r="V6" i="23" s="1"/>
  <c r="AU8" i="23"/>
  <c r="V8" i="23" s="1"/>
  <c r="AU41" i="23"/>
  <c r="V41" i="23" s="1"/>
  <c r="AU44" i="23"/>
  <c r="V44" i="23" s="1"/>
  <c r="AU51" i="23"/>
  <c r="V51" i="23" s="1"/>
  <c r="AU23" i="23"/>
  <c r="V23" i="23" s="1"/>
  <c r="AU10" i="23"/>
  <c r="V10" i="23" s="1"/>
  <c r="AU21" i="23"/>
  <c r="V21" i="23" s="1"/>
  <c r="AU12" i="23"/>
  <c r="V12" i="23" s="1"/>
  <c r="AU34" i="23"/>
  <c r="V34" i="23" s="1"/>
  <c r="AU61" i="23"/>
  <c r="V61" i="23" s="1"/>
  <c r="AU18" i="23"/>
  <c r="V18" i="23" s="1"/>
  <c r="AU37" i="23"/>
  <c r="V37" i="23" s="1"/>
  <c r="AU62" i="23"/>
  <c r="V62" i="23" s="1"/>
  <c r="AU9" i="23"/>
  <c r="V9" i="23" s="1"/>
  <c r="AU26" i="23"/>
  <c r="V26" i="23" s="1"/>
  <c r="I49" i="23" a="1"/>
  <c r="I49" i="23" s="1"/>
  <c r="AK49" i="23"/>
  <c r="AL49" i="23"/>
  <c r="M49" i="23" s="1" a="1"/>
  <c r="M49" i="23" s="1"/>
  <c r="AK18" i="23"/>
  <c r="I18" i="23" a="1"/>
  <c r="I18" i="23" s="1"/>
  <c r="AL18" i="23"/>
  <c r="M18" i="23" s="1" a="1"/>
  <c r="M18" i="23" s="1"/>
  <c r="I31" i="23" a="1"/>
  <c r="I31" i="23" s="1"/>
  <c r="AK35" i="23"/>
  <c r="AM35" i="23" s="1"/>
  <c r="I47" i="23" a="1"/>
  <c r="I47" i="23" s="1"/>
  <c r="AJ31" i="23"/>
  <c r="K31" i="23" s="1"/>
  <c r="I5" i="23" a="1"/>
  <c r="I5" i="23" s="1"/>
  <c r="AK47" i="23"/>
  <c r="AL47" i="23"/>
  <c r="M47" i="23" s="1" a="1"/>
  <c r="M47" i="23" s="1"/>
  <c r="AL6" i="23"/>
  <c r="M6" i="23" s="1" a="1"/>
  <c r="M6" i="23" s="1"/>
  <c r="AK6" i="23"/>
  <c r="AJ5" i="23"/>
  <c r="K5" i="23" s="1"/>
  <c r="AK31" i="23"/>
  <c r="AM31" i="23" s="1"/>
  <c r="AL5" i="23"/>
  <c r="M5" i="23" s="1" a="1"/>
  <c r="M5" i="23" s="1"/>
  <c r="I35" i="23" a="1"/>
  <c r="I35" i="23" s="1"/>
  <c r="AM46" i="23"/>
  <c r="AM16" i="23"/>
  <c r="AM27" i="23"/>
  <c r="AL62" i="23"/>
  <c r="M62" i="23" s="1" a="1"/>
  <c r="M62" i="23" s="1"/>
  <c r="AJ62" i="23"/>
  <c r="K62" i="23" s="1"/>
  <c r="AK62" i="23"/>
  <c r="L62" i="23" s="1" a="1"/>
  <c r="L62" i="23" s="1"/>
  <c r="AM50" i="23"/>
  <c r="I62" i="23" a="1"/>
  <c r="I62" i="23" s="1"/>
  <c r="D62" i="23" a="1"/>
  <c r="D62" i="23" s="1"/>
  <c r="I61" i="23" a="1"/>
  <c r="I61" i="23" s="1"/>
  <c r="D61" i="23" a="1"/>
  <c r="D61" i="23" s="1"/>
  <c r="I32" i="23" a="1"/>
  <c r="I32" i="23" s="1"/>
  <c r="D32" i="23" a="1"/>
  <c r="D32" i="23" s="1"/>
  <c r="Q6" i="22"/>
  <c r="Q17" i="22" s="1"/>
  <c r="D28" i="23" a="1"/>
  <c r="D28" i="23" s="1"/>
  <c r="I28" i="23" a="1"/>
  <c r="I28" i="23" s="1"/>
  <c r="K6" i="23"/>
  <c r="AC42" i="23" a="1"/>
  <c r="AC42" i="23" s="1"/>
  <c r="AH42" i="23" s="1"/>
  <c r="I6" i="23" a="1"/>
  <c r="I6" i="23" s="1"/>
  <c r="I46" i="23" a="1"/>
  <c r="I46" i="23" s="1"/>
  <c r="S6" i="22"/>
  <c r="S17" i="22" s="1"/>
  <c r="U17" i="22"/>
  <c r="J3" i="23" a="1"/>
  <c r="J3" i="23" s="1"/>
  <c r="P46" i="22" s="1"/>
  <c r="E3" i="23" a="1"/>
  <c r="E3" i="23" s="1"/>
  <c r="H3" i="23" a="1"/>
  <c r="H3" i="23" s="1"/>
  <c r="D6" i="22" s="1"/>
  <c r="O58" i="22"/>
  <c r="AC37" i="23" a="1"/>
  <c r="AC37" i="23" s="1"/>
  <c r="AH37" i="23" s="1"/>
  <c r="AC48" i="23" a="1"/>
  <c r="AC48" i="23" s="1"/>
  <c r="AH48" i="23" s="1"/>
  <c r="AC41" i="23" a="1"/>
  <c r="AC41" i="23" s="1"/>
  <c r="AH41" i="23" s="1"/>
  <c r="AC23" i="23" a="1"/>
  <c r="AC23" i="23" s="1"/>
  <c r="AH23" i="23" s="1"/>
  <c r="F51" i="22" a="1"/>
  <c r="F51" i="22" s="1"/>
  <c r="H51" i="22" s="1"/>
  <c r="J51" i="22" s="1"/>
  <c r="AC24" i="23" a="1"/>
  <c r="AC24" i="23" s="1"/>
  <c r="AH24" i="23" s="1"/>
  <c r="R8" i="22"/>
  <c r="P158" i="21" l="1" a="1"/>
  <c r="P158" i="21" s="1"/>
  <c r="AH14" i="23"/>
  <c r="D14" i="23" a="1"/>
  <c r="D14" i="23" s="1"/>
  <c r="P377" i="21" a="1"/>
  <c r="P377" i="21" s="1"/>
  <c r="F80" i="22" a="1"/>
  <c r="F80" i="22" s="1"/>
  <c r="H80" i="22" s="1"/>
  <c r="J80" i="22" s="1"/>
  <c r="AK33" i="23"/>
  <c r="I33" i="23" a="1"/>
  <c r="I33" i="23" s="1"/>
  <c r="AL33" i="23"/>
  <c r="M33" i="23" s="1" a="1"/>
  <c r="M33" i="23" s="1"/>
  <c r="D33" i="23" a="1"/>
  <c r="D33" i="23" s="1"/>
  <c r="P413" i="21" a="1"/>
  <c r="P413" i="21" s="1"/>
  <c r="AJ65" i="23"/>
  <c r="K65" i="23" s="1"/>
  <c r="AR65" i="23"/>
  <c r="S65" i="23" s="1"/>
  <c r="Q65" i="23"/>
  <c r="L65" i="23" a="1"/>
  <c r="L65" i="23" s="1"/>
  <c r="D15" i="22"/>
  <c r="D14" i="22" s="1"/>
  <c r="D3" i="22"/>
  <c r="D36" i="22" s="1"/>
  <c r="AL65" i="23"/>
  <c r="M65" i="23" s="1" a="1"/>
  <c r="M65" i="23" s="1"/>
  <c r="I65" i="23" a="1"/>
  <c r="I65" i="23" s="1"/>
  <c r="P164" i="21" a="1"/>
  <c r="P164" i="21" s="1"/>
  <c r="P175" i="21" s="1" a="1"/>
  <c r="P175" i="21" s="1"/>
  <c r="P214" i="21" a="1"/>
  <c r="P214" i="21" s="1"/>
  <c r="P135" i="21" a="1"/>
  <c r="P135" i="21" s="1"/>
  <c r="P136" i="21" s="1" a="1"/>
  <c r="P136" i="21" s="1"/>
  <c r="P125" i="21" a="1"/>
  <c r="P125" i="21" s="1"/>
  <c r="P138" i="21" a="1"/>
  <c r="P138" i="21" s="1"/>
  <c r="P142" i="21" s="1" a="1"/>
  <c r="P142" i="21" s="1"/>
  <c r="P97" i="21" a="1"/>
  <c r="P97" i="21" s="1"/>
  <c r="P200" i="21" a="1"/>
  <c r="P200" i="21" s="1"/>
  <c r="P229" i="21" s="1" a="1"/>
  <c r="P229" i="21" s="1"/>
  <c r="AR52" i="23"/>
  <c r="S52" i="23" s="1"/>
  <c r="AT65" i="23"/>
  <c r="Q41" i="22"/>
  <c r="Q51" i="22"/>
  <c r="Q46" i="22"/>
  <c r="Q50" i="22"/>
  <c r="Q44" i="22"/>
  <c r="Q47" i="22"/>
  <c r="Q43" i="22"/>
  <c r="Q45" i="22"/>
  <c r="Q48" i="22"/>
  <c r="Q42" i="22"/>
  <c r="Q49" i="22"/>
  <c r="AR64" i="23"/>
  <c r="S64" i="23" s="1"/>
  <c r="AR63" i="23"/>
  <c r="S63" i="23" s="1"/>
  <c r="AL8" i="23"/>
  <c r="M8" i="23" s="1" a="1"/>
  <c r="M8" i="23" s="1"/>
  <c r="AT64" i="23"/>
  <c r="AV64" i="23" s="1"/>
  <c r="W64" i="23" s="1"/>
  <c r="AL64" i="23"/>
  <c r="M64" i="23" s="1" a="1"/>
  <c r="M64" i="23" s="1"/>
  <c r="I64" i="23" a="1"/>
  <c r="I64" i="23" s="1"/>
  <c r="AK64" i="23"/>
  <c r="AJ64" i="23"/>
  <c r="K64" i="23" s="1"/>
  <c r="AL63" i="23"/>
  <c r="M63" i="23" s="1" a="1"/>
  <c r="M63" i="23" s="1"/>
  <c r="I63" i="23" a="1"/>
  <c r="I63" i="23" s="1"/>
  <c r="AJ63" i="23"/>
  <c r="K63" i="23" s="1"/>
  <c r="AK63" i="23"/>
  <c r="AK8" i="23"/>
  <c r="I8" i="23" a="1"/>
  <c r="I8" i="23" s="1"/>
  <c r="AT51" i="23"/>
  <c r="AT3" i="23"/>
  <c r="AT72" i="23" s="1"/>
  <c r="AT63" i="23"/>
  <c r="AJ29" i="23"/>
  <c r="K29" i="23" s="1"/>
  <c r="D29" i="23" a="1"/>
  <c r="D29" i="23" s="1"/>
  <c r="D43" i="23" a="1"/>
  <c r="D43" i="23" s="1"/>
  <c r="AL29" i="23"/>
  <c r="M29" i="23" s="1" a="1"/>
  <c r="M29" i="23" s="1"/>
  <c r="AK29" i="23"/>
  <c r="AH30" i="23"/>
  <c r="D30" i="23" a="1"/>
  <c r="D30" i="23" s="1"/>
  <c r="AH44" i="23"/>
  <c r="D44" i="23" a="1"/>
  <c r="D44" i="23" s="1"/>
  <c r="AM49" i="23"/>
  <c r="AM18" i="23"/>
  <c r="AM6" i="23"/>
  <c r="AM5" i="23"/>
  <c r="AM47" i="23"/>
  <c r="Q62" i="23"/>
  <c r="AL24" i="23"/>
  <c r="M24" i="23" s="1" a="1"/>
  <c r="M24" i="23" s="1"/>
  <c r="AJ24" i="23"/>
  <c r="K24" i="23" s="1"/>
  <c r="AK24" i="23"/>
  <c r="AL23" i="23"/>
  <c r="M23" i="23" s="1" a="1"/>
  <c r="M23" i="23" s="1"/>
  <c r="AK23" i="23"/>
  <c r="AJ23" i="23"/>
  <c r="K23" i="23" s="1"/>
  <c r="AL41" i="23"/>
  <c r="M41" i="23" s="1" a="1"/>
  <c r="M41" i="23" s="1"/>
  <c r="AK41" i="23"/>
  <c r="AJ41" i="23"/>
  <c r="AL48" i="23"/>
  <c r="M48" i="23" s="1" a="1"/>
  <c r="M48" i="23" s="1"/>
  <c r="AJ48" i="23"/>
  <c r="AK48" i="23"/>
  <c r="AL43" i="23"/>
  <c r="M43" i="23" s="1" a="1"/>
  <c r="M43" i="23" s="1"/>
  <c r="AJ43" i="23"/>
  <c r="K43" i="23" s="1"/>
  <c r="AK43" i="23"/>
  <c r="AR50" i="23"/>
  <c r="S50" i="23" s="1"/>
  <c r="AT50" i="23"/>
  <c r="AT62" i="23"/>
  <c r="AV62" i="23" s="1"/>
  <c r="AT56" i="23"/>
  <c r="AV56" i="23" s="1"/>
  <c r="AL37" i="23"/>
  <c r="M37" i="23" s="1" a="1"/>
  <c r="M37" i="23" s="1"/>
  <c r="AK37" i="23"/>
  <c r="AJ37" i="23"/>
  <c r="AL42" i="23"/>
  <c r="M42" i="23" s="1" a="1"/>
  <c r="M42" i="23" s="1"/>
  <c r="AK42" i="23"/>
  <c r="AJ42" i="23"/>
  <c r="AL28" i="23"/>
  <c r="M28" i="23" s="1" a="1"/>
  <c r="M28" i="23" s="1"/>
  <c r="AK28" i="23"/>
  <c r="AJ28" i="23"/>
  <c r="K28" i="23" s="1"/>
  <c r="AR51" i="23"/>
  <c r="S51" i="23" s="1"/>
  <c r="AT57" i="23"/>
  <c r="AV57" i="23" s="1"/>
  <c r="AT52" i="23"/>
  <c r="AT54" i="23"/>
  <c r="AV54" i="23" s="1"/>
  <c r="AT59" i="23"/>
  <c r="AV59" i="23" s="1"/>
  <c r="AT55" i="23"/>
  <c r="AV55" i="23" s="1"/>
  <c r="AT60" i="23"/>
  <c r="AV60" i="23" s="1"/>
  <c r="AT61" i="23"/>
  <c r="AV61" i="23" s="1"/>
  <c r="AT53" i="23"/>
  <c r="AV53" i="23" s="1"/>
  <c r="AT58" i="23"/>
  <c r="AV58" i="23" s="1"/>
  <c r="AL61" i="23"/>
  <c r="M61" i="23" s="1" a="1"/>
  <c r="M61" i="23" s="1"/>
  <c r="AJ61" i="23"/>
  <c r="K61" i="23" s="1"/>
  <c r="AK61" i="23"/>
  <c r="L61" i="23" s="1" a="1"/>
  <c r="L61" i="23" s="1"/>
  <c r="AM62" i="23"/>
  <c r="N62" i="23" s="1" a="1"/>
  <c r="N62" i="23" s="1"/>
  <c r="AT46" i="23"/>
  <c r="AV46" i="23" s="1"/>
  <c r="AT18" i="23"/>
  <c r="AV18" i="23" s="1"/>
  <c r="AT42" i="23"/>
  <c r="AV42" i="23" s="1"/>
  <c r="AT7" i="23"/>
  <c r="AV7" i="23" s="1"/>
  <c r="AT24" i="23"/>
  <c r="AV24" i="23" s="1"/>
  <c r="AT12" i="23"/>
  <c r="AV12" i="23" s="1"/>
  <c r="AT27" i="23"/>
  <c r="AV27" i="23" s="1"/>
  <c r="AT28" i="23"/>
  <c r="AV28" i="23" s="1"/>
  <c r="AT43" i="23"/>
  <c r="AV43" i="23" s="1"/>
  <c r="AT5" i="23"/>
  <c r="AV5" i="23" s="1"/>
  <c r="AT34" i="23"/>
  <c r="AV34" i="23" s="1"/>
  <c r="AT13" i="23"/>
  <c r="AV13" i="23" s="1"/>
  <c r="AT41" i="23"/>
  <c r="AV41" i="23" s="1"/>
  <c r="AT32" i="23"/>
  <c r="AV32" i="23" s="1"/>
  <c r="AT21" i="23"/>
  <c r="AV21" i="23" s="1"/>
  <c r="AT20" i="23"/>
  <c r="AV20" i="23" s="1"/>
  <c r="AT29" i="23"/>
  <c r="AV29" i="23" s="1"/>
  <c r="AT6" i="23"/>
  <c r="AV6" i="23" s="1"/>
  <c r="AT15" i="23"/>
  <c r="AV15" i="23" s="1"/>
  <c r="AT25" i="23"/>
  <c r="AV25" i="23" s="1"/>
  <c r="AT45" i="23"/>
  <c r="AV45" i="23" s="1"/>
  <c r="AT11" i="23"/>
  <c r="AV11" i="23" s="1"/>
  <c r="AT44" i="23"/>
  <c r="AV44" i="23" s="1"/>
  <c r="AT16" i="23"/>
  <c r="AV16" i="23" s="1"/>
  <c r="AT37" i="23"/>
  <c r="AV37" i="23" s="1"/>
  <c r="AT38" i="23"/>
  <c r="AV38" i="23" s="1"/>
  <c r="AT14" i="23"/>
  <c r="AV14" i="23" s="1"/>
  <c r="AT49" i="23"/>
  <c r="AV49" i="23" s="1"/>
  <c r="AT30" i="23"/>
  <c r="AV30" i="23" s="1"/>
  <c r="AT22" i="23"/>
  <c r="AV22" i="23" s="1"/>
  <c r="AT9" i="23"/>
  <c r="AV9" i="23" s="1"/>
  <c r="AT4" i="23"/>
  <c r="AV4" i="23" s="1"/>
  <c r="AT26" i="23"/>
  <c r="AV26" i="23" s="1"/>
  <c r="AT48" i="23"/>
  <c r="AV48" i="23" s="1"/>
  <c r="AT10" i="23"/>
  <c r="AV10" i="23" s="1"/>
  <c r="AT8" i="23"/>
  <c r="AV8" i="23" s="1"/>
  <c r="AT40" i="23"/>
  <c r="AV40" i="23" s="1"/>
  <c r="AT19" i="23"/>
  <c r="AV19" i="23" s="1"/>
  <c r="AT35" i="23"/>
  <c r="AV35" i="23" s="1"/>
  <c r="AT17" i="23"/>
  <c r="AV17" i="23" s="1"/>
  <c r="AT31" i="23"/>
  <c r="AV31" i="23" s="1"/>
  <c r="AT47" i="23"/>
  <c r="AV47" i="23" s="1"/>
  <c r="AT33" i="23"/>
  <c r="AV33" i="23" s="1"/>
  <c r="AT23" i="23"/>
  <c r="AV23" i="23" s="1"/>
  <c r="AT36" i="23"/>
  <c r="AV36" i="23" s="1"/>
  <c r="AT39" i="23"/>
  <c r="AV39" i="23" s="1"/>
  <c r="AL32" i="23"/>
  <c r="M32" i="23" s="1" a="1"/>
  <c r="M32" i="23" s="1"/>
  <c r="AJ32" i="23"/>
  <c r="K32" i="23" s="1"/>
  <c r="AK32" i="23"/>
  <c r="S60" i="23"/>
  <c r="Q60" i="23"/>
  <c r="S61" i="23"/>
  <c r="Q61" i="23"/>
  <c r="D42" i="23" a="1"/>
  <c r="D42" i="23" s="1"/>
  <c r="I48" i="23" a="1"/>
  <c r="I48" i="23" s="1"/>
  <c r="O45" i="22" s="1"/>
  <c r="D48" i="23" a="1"/>
  <c r="D48" i="23" s="1"/>
  <c r="D24" i="23" a="1"/>
  <c r="D24" i="23" s="1"/>
  <c r="D23" i="23" a="1"/>
  <c r="D23" i="23" s="1"/>
  <c r="I41" i="23" a="1"/>
  <c r="I41" i="23" s="1"/>
  <c r="D41" i="23" a="1"/>
  <c r="D41" i="23" s="1"/>
  <c r="I37" i="23" a="1"/>
  <c r="I37" i="23" s="1"/>
  <c r="D37" i="23" a="1"/>
  <c r="D37" i="23" s="1"/>
  <c r="Q59" i="23"/>
  <c r="S8" i="22"/>
  <c r="Q8" i="22"/>
  <c r="AC40" i="23" a="1"/>
  <c r="AC40" i="23" s="1"/>
  <c r="AH40" i="23" s="1"/>
  <c r="P8" i="22"/>
  <c r="Q52" i="23"/>
  <c r="S49" i="23"/>
  <c r="Q49" i="23"/>
  <c r="S29" i="23"/>
  <c r="Q29" i="23"/>
  <c r="S13" i="23"/>
  <c r="Q13" i="23"/>
  <c r="S53" i="23"/>
  <c r="Q53" i="23"/>
  <c r="S54" i="23"/>
  <c r="Q54" i="23"/>
  <c r="S37" i="23"/>
  <c r="Q37" i="23"/>
  <c r="S39" i="23"/>
  <c r="Q39" i="23"/>
  <c r="S4" i="23"/>
  <c r="Q4" i="23"/>
  <c r="S21" i="23"/>
  <c r="Q21" i="23"/>
  <c r="S44" i="23"/>
  <c r="Q44" i="23"/>
  <c r="S46" i="23"/>
  <c r="Q46" i="23"/>
  <c r="S22" i="23"/>
  <c r="Q22" i="23"/>
  <c r="S6" i="23"/>
  <c r="Q6" i="23"/>
  <c r="S24" i="23"/>
  <c r="Q24" i="23"/>
  <c r="S41" i="23"/>
  <c r="Q41" i="23"/>
  <c r="S32" i="23"/>
  <c r="Q32" i="23"/>
  <c r="S17" i="23"/>
  <c r="Q17" i="23"/>
  <c r="S11" i="23"/>
  <c r="Q11" i="23"/>
  <c r="S15" i="23"/>
  <c r="Q15" i="23"/>
  <c r="S42" i="23"/>
  <c r="Q42" i="23"/>
  <c r="S9" i="23"/>
  <c r="Q9" i="23"/>
  <c r="S56" i="23"/>
  <c r="Q56" i="23"/>
  <c r="Q50" i="23"/>
  <c r="S12" i="23"/>
  <c r="Q12" i="23"/>
  <c r="S8" i="23"/>
  <c r="Q8" i="23"/>
  <c r="S10" i="23"/>
  <c r="Q10" i="23"/>
  <c r="S5" i="23"/>
  <c r="Q5" i="23"/>
  <c r="S55" i="23"/>
  <c r="Q55" i="23"/>
  <c r="S45" i="23"/>
  <c r="Q45" i="23"/>
  <c r="S33" i="23"/>
  <c r="Q33" i="23"/>
  <c r="S36" i="23"/>
  <c r="Q36" i="23"/>
  <c r="S47" i="23"/>
  <c r="Q47" i="23"/>
  <c r="S18" i="23"/>
  <c r="Q18" i="23"/>
  <c r="Q51" i="23"/>
  <c r="S28" i="23"/>
  <c r="Q28" i="23"/>
  <c r="S35" i="23"/>
  <c r="Q35" i="23"/>
  <c r="S16" i="23"/>
  <c r="Q16" i="23"/>
  <c r="S26" i="23"/>
  <c r="Q26" i="23"/>
  <c r="AR3" i="23"/>
  <c r="S3" i="23" s="1"/>
  <c r="Q3" i="23"/>
  <c r="S57" i="23"/>
  <c r="Q57" i="23"/>
  <c r="S43" i="23"/>
  <c r="Q43" i="23"/>
  <c r="S25" i="23"/>
  <c r="Q25" i="23"/>
  <c r="S19" i="23"/>
  <c r="Q19" i="23"/>
  <c r="S27" i="23"/>
  <c r="Q27" i="23"/>
  <c r="S14" i="23"/>
  <c r="Q14" i="23"/>
  <c r="S34" i="23"/>
  <c r="Q34" i="23"/>
  <c r="S40" i="23"/>
  <c r="Q40" i="23"/>
  <c r="S38" i="23"/>
  <c r="Q38" i="23"/>
  <c r="S30" i="23"/>
  <c r="Q30" i="23"/>
  <c r="S48" i="23"/>
  <c r="Q48" i="23"/>
  <c r="S20" i="23"/>
  <c r="Q20" i="23"/>
  <c r="S7" i="23"/>
  <c r="Q7" i="23"/>
  <c r="S23" i="23"/>
  <c r="Q23" i="23"/>
  <c r="S58" i="23"/>
  <c r="Q58" i="23"/>
  <c r="S31" i="23"/>
  <c r="Q31" i="23"/>
  <c r="AJ14" i="23" l="1"/>
  <c r="K14" i="23" s="1"/>
  <c r="AK14" i="23"/>
  <c r="I14" i="23" a="1"/>
  <c r="I14" i="23" s="1"/>
  <c r="O50" i="22" s="1"/>
  <c r="AL14" i="23"/>
  <c r="M14" i="23" s="1" a="1"/>
  <c r="M14" i="23" s="1"/>
  <c r="P421" i="21" a="1"/>
  <c r="P421" i="21" s="1"/>
  <c r="P425" i="21" s="1" a="1"/>
  <c r="P425" i="21" s="1"/>
  <c r="AM33" i="23"/>
  <c r="AV65" i="23"/>
  <c r="W65" i="23" s="1"/>
  <c r="U65" i="23"/>
  <c r="AM65" i="23"/>
  <c r="N65" i="23" s="1" a="1"/>
  <c r="N65" i="23" s="1"/>
  <c r="P147" i="21" a="1"/>
  <c r="P147" i="21" s="1"/>
  <c r="P148" i="21" s="1" a="1"/>
  <c r="P148" i="21" s="1"/>
  <c r="P154" i="21" s="1" a="1"/>
  <c r="P154" i="21" s="1"/>
  <c r="P155" i="21" s="1" a="1"/>
  <c r="P155" i="21" s="1"/>
  <c r="P227" i="21" a="1"/>
  <c r="P227" i="21" s="1"/>
  <c r="P237" i="21" a="1"/>
  <c r="P237" i="21" s="1"/>
  <c r="P149" i="21" a="1"/>
  <c r="P149" i="21" s="1"/>
  <c r="P99" i="21" a="1"/>
  <c r="P99" i="21" s="1"/>
  <c r="P129" i="21" a="1"/>
  <c r="P129" i="21" s="1"/>
  <c r="P144" i="21" s="1" a="1"/>
  <c r="P144" i="21" s="1"/>
  <c r="P181" i="21" a="1"/>
  <c r="P181" i="21" s="1"/>
  <c r="P185" i="21" s="1" a="1"/>
  <c r="P185" i="21" s="1"/>
  <c r="E6" i="22"/>
  <c r="AT73" i="23"/>
  <c r="AV52" i="23"/>
  <c r="W52" i="23" s="1"/>
  <c r="AT74" i="23"/>
  <c r="AM8" i="23"/>
  <c r="U64" i="23"/>
  <c r="AM63" i="23"/>
  <c r="N63" i="23" s="1" a="1"/>
  <c r="N63" i="23" s="1"/>
  <c r="L63" i="23" a="1"/>
  <c r="L63" i="23" s="1"/>
  <c r="AM64" i="23"/>
  <c r="N64" i="23" s="1" a="1"/>
  <c r="N64" i="23" s="1"/>
  <c r="L64" i="23" a="1"/>
  <c r="L64" i="23" s="1"/>
  <c r="AV63" i="23"/>
  <c r="W63" i="23" s="1"/>
  <c r="U63" i="23"/>
  <c r="AM29" i="23"/>
  <c r="AK44" i="23"/>
  <c r="AL44" i="23"/>
  <c r="M44" i="23" s="1" a="1"/>
  <c r="M44" i="23" s="1"/>
  <c r="I44" i="23" a="1"/>
  <c r="I44" i="23" s="1"/>
  <c r="AJ44" i="23"/>
  <c r="K44" i="23" s="1"/>
  <c r="AK30" i="23"/>
  <c r="I30" i="23" a="1"/>
  <c r="I30" i="23" s="1"/>
  <c r="AL30" i="23"/>
  <c r="M30" i="23" s="1" a="1"/>
  <c r="M30" i="23" s="1"/>
  <c r="AJ30" i="23"/>
  <c r="K30" i="23" s="1"/>
  <c r="AV50" i="23"/>
  <c r="W50" i="23" s="1"/>
  <c r="AV51" i="23"/>
  <c r="W51" i="23" s="1"/>
  <c r="AM32" i="23"/>
  <c r="U61" i="23"/>
  <c r="AM61" i="23"/>
  <c r="N61" i="23" s="1" a="1"/>
  <c r="N61" i="23" s="1"/>
  <c r="AM37" i="23"/>
  <c r="AM41" i="23"/>
  <c r="AM28" i="23"/>
  <c r="AM43" i="23"/>
  <c r="AM23" i="23"/>
  <c r="AM42" i="23"/>
  <c r="AM48" i="23"/>
  <c r="AM24" i="23"/>
  <c r="AL40" i="23"/>
  <c r="M40" i="23" s="1" a="1"/>
  <c r="M40" i="23" s="1"/>
  <c r="AK40" i="23"/>
  <c r="AJ40" i="23"/>
  <c r="W62" i="23"/>
  <c r="U62" i="23"/>
  <c r="W61" i="23"/>
  <c r="U60" i="23"/>
  <c r="W60" i="23"/>
  <c r="K42" i="23"/>
  <c r="I42" i="23" a="1"/>
  <c r="I42" i="23" s="1"/>
  <c r="K48" i="23"/>
  <c r="I24" i="23" a="1"/>
  <c r="I24" i="23" s="1"/>
  <c r="K41" i="23"/>
  <c r="I23" i="23" a="1"/>
  <c r="I23" i="23" s="1"/>
  <c r="K37" i="23"/>
  <c r="I40" i="23" a="1"/>
  <c r="I40" i="23" s="1"/>
  <c r="D40" i="23" a="1"/>
  <c r="D40" i="23" s="1"/>
  <c r="U59" i="23"/>
  <c r="W59" i="23"/>
  <c r="W32" i="23"/>
  <c r="U32" i="23"/>
  <c r="W35" i="23"/>
  <c r="U35" i="23"/>
  <c r="W33" i="23"/>
  <c r="U33" i="23"/>
  <c r="W34" i="23"/>
  <c r="U34" i="23"/>
  <c r="W30" i="23"/>
  <c r="U30" i="23"/>
  <c r="W28" i="23"/>
  <c r="U28" i="23"/>
  <c r="W5" i="23"/>
  <c r="U5" i="23"/>
  <c r="W36" i="23"/>
  <c r="U36" i="23"/>
  <c r="W44" i="23"/>
  <c r="U44" i="23"/>
  <c r="W56" i="23"/>
  <c r="U56" i="23"/>
  <c r="W4" i="23"/>
  <c r="U4" i="23"/>
  <c r="W18" i="23"/>
  <c r="U18" i="23"/>
  <c r="W23" i="23"/>
  <c r="U23" i="23"/>
  <c r="W11" i="23"/>
  <c r="U11" i="23"/>
  <c r="W12" i="23"/>
  <c r="U12" i="23"/>
  <c r="W58" i="23"/>
  <c r="U58" i="23"/>
  <c r="W39" i="23"/>
  <c r="U39" i="23"/>
  <c r="W41" i="23"/>
  <c r="U41" i="23"/>
  <c r="W17" i="23"/>
  <c r="U17" i="23"/>
  <c r="W22" i="23"/>
  <c r="U22" i="23"/>
  <c r="W49" i="23"/>
  <c r="U49" i="23"/>
  <c r="U50" i="23"/>
  <c r="AV3" i="23"/>
  <c r="W3" i="23" s="1"/>
  <c r="U3" i="23"/>
  <c r="W27" i="23"/>
  <c r="U27" i="23"/>
  <c r="W21" i="23"/>
  <c r="U21" i="23"/>
  <c r="W40" i="23"/>
  <c r="U40" i="23"/>
  <c r="W55" i="23"/>
  <c r="U55" i="23"/>
  <c r="W46" i="23"/>
  <c r="U46" i="23"/>
  <c r="W29" i="23"/>
  <c r="U29" i="23"/>
  <c r="W20" i="23"/>
  <c r="U20" i="23"/>
  <c r="U52" i="23"/>
  <c r="W8" i="23"/>
  <c r="U8" i="23"/>
  <c r="W43" i="23"/>
  <c r="U43" i="23"/>
  <c r="W48" i="23"/>
  <c r="U48" i="23"/>
  <c r="W42" i="23"/>
  <c r="U42" i="23"/>
  <c r="W19" i="23"/>
  <c r="U19" i="23"/>
  <c r="W15" i="23"/>
  <c r="U15" i="23"/>
  <c r="W47" i="23"/>
  <c r="U47" i="23"/>
  <c r="W16" i="23"/>
  <c r="U16" i="23"/>
  <c r="W37" i="23"/>
  <c r="U37" i="23"/>
  <c r="W7" i="23"/>
  <c r="U7" i="23"/>
  <c r="W9" i="23"/>
  <c r="U9" i="23"/>
  <c r="W54" i="23"/>
  <c r="U54" i="23"/>
  <c r="W57" i="23"/>
  <c r="U57" i="23"/>
  <c r="W25" i="23"/>
  <c r="U25" i="23"/>
  <c r="W45" i="23"/>
  <c r="U45" i="23"/>
  <c r="W26" i="23"/>
  <c r="U26" i="23"/>
  <c r="W31" i="23"/>
  <c r="U31" i="23"/>
  <c r="W13" i="23"/>
  <c r="U13" i="23"/>
  <c r="W38" i="23"/>
  <c r="U38" i="23"/>
  <c r="W10" i="23"/>
  <c r="U10" i="23"/>
  <c r="W24" i="23"/>
  <c r="U24" i="23"/>
  <c r="W6" i="23"/>
  <c r="U6" i="23"/>
  <c r="U51" i="23"/>
  <c r="W14" i="23"/>
  <c r="U14" i="23"/>
  <c r="W53" i="23"/>
  <c r="U53" i="23"/>
  <c r="AM14" i="23" l="1"/>
  <c r="P429" i="21" a="1"/>
  <c r="P429" i="21" s="1"/>
  <c r="P104" i="21" a="1"/>
  <c r="P104" i="21" s="1"/>
  <c r="P109" i="21" s="1" a="1"/>
  <c r="P109" i="21" s="1"/>
  <c r="P110" i="21" s="1" a="1"/>
  <c r="P110" i="21" s="1"/>
  <c r="P231" i="21" a="1"/>
  <c r="P231" i="21" s="1"/>
  <c r="P195" i="21" a="1"/>
  <c r="P195" i="21" s="1"/>
  <c r="P173" i="21" a="1"/>
  <c r="P173" i="21" s="1"/>
  <c r="P178" i="21" s="1" a="1"/>
  <c r="P178" i="21" s="1"/>
  <c r="P150" i="21" a="1"/>
  <c r="P150" i="21" s="1"/>
  <c r="P274" i="21" a="1"/>
  <c r="P274" i="21" s="1"/>
  <c r="P276" i="21" s="1" a="1"/>
  <c r="P276" i="21" s="1"/>
  <c r="P281" i="21" s="1" a="1"/>
  <c r="P281" i="21" s="1"/>
  <c r="P159" i="21" a="1"/>
  <c r="P159" i="21" s="1"/>
  <c r="AC3" i="23" a="1"/>
  <c r="AC3" i="23" s="1"/>
  <c r="F50" i="22" a="1"/>
  <c r="F50" i="22" s="1"/>
  <c r="H50" i="22" s="1"/>
  <c r="J50" i="22" s="1"/>
  <c r="AM30" i="23"/>
  <c r="AM44" i="23"/>
  <c r="AM40" i="23"/>
  <c r="K40" i="23"/>
  <c r="P239" i="21" l="1" a="1"/>
  <c r="P239" i="21" s="1"/>
  <c r="P152" i="21" a="1"/>
  <c r="P152" i="21" s="1"/>
  <c r="P156" i="21" s="1" a="1"/>
  <c r="P156" i="21" s="1"/>
  <c r="P160" i="21" a="1"/>
  <c r="P160" i="21" s="1"/>
  <c r="P171" i="21" s="1" a="1"/>
  <c r="P171" i="21" s="1"/>
  <c r="P116" i="21" a="1"/>
  <c r="P116" i="21" s="1"/>
  <c r="P284" i="21" a="1"/>
  <c r="P284" i="21" s="1"/>
  <c r="L26" i="23" a="1"/>
  <c r="L26" i="23" s="1"/>
  <c r="P282" i="21" l="1" a="1"/>
  <c r="P282" i="21" s="1"/>
  <c r="P292" i="21" a="1"/>
  <c r="P292" i="21" s="1"/>
  <c r="P117" i="21" a="1"/>
  <c r="P117" i="21" s="1"/>
  <c r="P143" i="21" s="1" a="1"/>
  <c r="P143" i="21" s="1"/>
  <c r="P146" i="21" s="1" a="1"/>
  <c r="P146" i="21" s="1"/>
  <c r="P196" i="21" a="1"/>
  <c r="P196" i="21" s="1"/>
  <c r="P157" i="21" a="1"/>
  <c r="P157" i="21" s="1"/>
  <c r="N26" i="23" a="1"/>
  <c r="N26" i="23" s="1"/>
  <c r="P297" i="21" l="1" a="1"/>
  <c r="P297" i="21" s="1"/>
  <c r="P197" i="21" a="1"/>
  <c r="P197" i="21" s="1"/>
  <c r="P161" i="21" a="1"/>
  <c r="P161" i="21" s="1"/>
  <c r="L17" i="23" a="1"/>
  <c r="L17" i="23" s="1"/>
  <c r="L29" i="23" a="1"/>
  <c r="L29" i="23" s="1"/>
  <c r="P162" i="21" l="1" a="1"/>
  <c r="P162" i="21" s="1"/>
  <c r="N17" i="23" a="1"/>
  <c r="N17" i="23" s="1"/>
  <c r="P166" i="21" l="1" a="1"/>
  <c r="P166" i="21" s="1"/>
  <c r="N29" i="23" a="1"/>
  <c r="N29" i="23" s="1"/>
  <c r="P167" i="21" l="1" a="1"/>
  <c r="P167" i="21" s="1"/>
  <c r="P198" i="21" a="1"/>
  <c r="P198" i="21" s="1"/>
  <c r="P199" i="21" s="1" a="1"/>
  <c r="P199" i="21" s="1"/>
  <c r="P201" i="21" s="1" a="1"/>
  <c r="P201" i="21" s="1"/>
  <c r="L28" i="23" a="1"/>
  <c r="L28" i="23" s="1"/>
  <c r="L27" i="23" a="1"/>
  <c r="L27" i="23" s="1"/>
  <c r="P168" i="21" l="1" a="1"/>
  <c r="P168" i="21" s="1"/>
  <c r="P169" i="21" s="1" a="1"/>
  <c r="P169" i="21" s="1"/>
  <c r="P174" i="21" s="1" a="1"/>
  <c r="P174" i="21" s="1"/>
  <c r="P176" i="21" s="1" a="1"/>
  <c r="P176" i="21" s="1"/>
  <c r="AC36" i="23" a="1"/>
  <c r="AC36" i="23" s="1"/>
  <c r="AH36" i="23" s="1"/>
  <c r="N27" i="23" a="1"/>
  <c r="N27" i="23" s="1"/>
  <c r="N28" i="23" a="1"/>
  <c r="N28" i="23" s="1"/>
  <c r="P180" i="21" l="1" a="1"/>
  <c r="P180" i="21" s="1"/>
  <c r="P182" i="21" s="1" a="1"/>
  <c r="P182" i="21" s="1"/>
  <c r="AL36" i="23"/>
  <c r="M36" i="23" s="1" a="1"/>
  <c r="M36" i="23" s="1"/>
  <c r="AK36" i="23"/>
  <c r="AJ36" i="23"/>
  <c r="I36" i="23" a="1"/>
  <c r="I36" i="23" s="1"/>
  <c r="O44" i="22" s="1"/>
  <c r="D36" i="23" a="1"/>
  <c r="D36" i="23" s="1"/>
  <c r="AC52" i="23" a="1"/>
  <c r="AC52" i="23" s="1"/>
  <c r="AH52" i="23" s="1"/>
  <c r="AC7" i="23" a="1"/>
  <c r="AC7" i="23" s="1"/>
  <c r="AH7" i="23" s="1"/>
  <c r="L18" i="23" a="1"/>
  <c r="L18" i="23" s="1"/>
  <c r="L16" i="23" a="1"/>
  <c r="L16" i="23" s="1"/>
  <c r="P183" i="21" l="1" a="1"/>
  <c r="P183" i="21" s="1"/>
  <c r="P184" i="21" a="1"/>
  <c r="P184" i="21" s="1"/>
  <c r="AL52" i="23"/>
  <c r="M52" i="23" s="1" a="1"/>
  <c r="M52" i="23" s="1"/>
  <c r="AJ52" i="23"/>
  <c r="AK52" i="23"/>
  <c r="AL7" i="23"/>
  <c r="M7" i="23" s="1" a="1"/>
  <c r="M7" i="23" s="1"/>
  <c r="AJ7" i="23"/>
  <c r="AK7" i="23"/>
  <c r="AM36" i="23"/>
  <c r="K36" i="23"/>
  <c r="I7" i="23" a="1"/>
  <c r="I7" i="23" s="1"/>
  <c r="O47" i="22" s="1"/>
  <c r="D7" i="23" a="1"/>
  <c r="D7" i="23" s="1"/>
  <c r="I52" i="23" a="1"/>
  <c r="I52" i="23" s="1"/>
  <c r="D52" i="23" a="1"/>
  <c r="D52" i="23" s="1"/>
  <c r="AC34" i="23" a="1"/>
  <c r="AC34" i="23" s="1"/>
  <c r="AH34" i="23" s="1"/>
  <c r="N18" i="23" a="1"/>
  <c r="N18" i="23" s="1"/>
  <c r="N16" i="23" a="1"/>
  <c r="N16" i="23" s="1"/>
  <c r="L5" i="23" a="1"/>
  <c r="L5" i="23" s="1"/>
  <c r="P192" i="21" l="1" a="1"/>
  <c r="P192" i="21" s="1"/>
  <c r="P193" i="21" s="1" a="1"/>
  <c r="P193" i="21" s="1"/>
  <c r="P194" i="21" s="1" a="1"/>
  <c r="P194" i="21" s="1"/>
  <c r="P205" i="21" s="1" a="1"/>
  <c r="P205" i="21" s="1"/>
  <c r="P206" i="21" s="1" a="1"/>
  <c r="P206" i="21" s="1"/>
  <c r="P207" i="21" s="1" a="1"/>
  <c r="P207" i="21" s="1"/>
  <c r="P208" i="21" s="1" a="1"/>
  <c r="P208" i="21" s="1"/>
  <c r="P209" i="21" s="1" a="1"/>
  <c r="P209" i="21" s="1"/>
  <c r="P210" i="21" s="1" a="1"/>
  <c r="P210" i="21" s="1"/>
  <c r="P211" i="21" s="1" a="1"/>
  <c r="P211" i="21" s="1"/>
  <c r="P212" i="21" s="1" a="1"/>
  <c r="P212" i="21" s="1"/>
  <c r="P213" i="21" s="1" a="1"/>
  <c r="P213" i="21" s="1"/>
  <c r="AL34" i="23"/>
  <c r="M34" i="23" s="1" a="1"/>
  <c r="M34" i="23" s="1"/>
  <c r="AJ34" i="23"/>
  <c r="AK34" i="23"/>
  <c r="AM7" i="23"/>
  <c r="AM52" i="23"/>
  <c r="K7" i="23"/>
  <c r="I34" i="23" a="1"/>
  <c r="I34" i="23" s="1"/>
  <c r="D34" i="23" a="1"/>
  <c r="D34" i="23" s="1"/>
  <c r="K52" i="23"/>
  <c r="AC39" i="23" a="1"/>
  <c r="AC39" i="23" s="1"/>
  <c r="AH39" i="23" s="1"/>
  <c r="L32" i="23" a="1"/>
  <c r="L32" i="23" s="1"/>
  <c r="P217" i="21" l="1" a="1"/>
  <c r="P217" i="21" s="1"/>
  <c r="P218" i="21" s="1" a="1"/>
  <c r="P218" i="21" s="1"/>
  <c r="P221" i="21" s="1" a="1"/>
  <c r="P221" i="21" s="1"/>
  <c r="P222" i="21" s="1" a="1"/>
  <c r="P222" i="21" s="1"/>
  <c r="P223" i="21" s="1" a="1"/>
  <c r="P223" i="21" s="1"/>
  <c r="P224" i="21" s="1" a="1"/>
  <c r="P224" i="21" s="1"/>
  <c r="P225" i="21" s="1" a="1"/>
  <c r="P225" i="21" s="1"/>
  <c r="P226" i="21" s="1" a="1"/>
  <c r="P226" i="21" s="1"/>
  <c r="P228" i="21" s="1" a="1"/>
  <c r="P228" i="21" s="1"/>
  <c r="AM34" i="23"/>
  <c r="AJ39" i="23"/>
  <c r="AL39" i="23"/>
  <c r="M39" i="23" s="1" a="1"/>
  <c r="M39" i="23" s="1"/>
  <c r="AK39" i="23"/>
  <c r="K34" i="23"/>
  <c r="I39" i="23" a="1"/>
  <c r="I39" i="23" s="1"/>
  <c r="O42" i="22" s="1"/>
  <c r="D39" i="23" a="1"/>
  <c r="D39" i="23" s="1"/>
  <c r="AC4" i="23" a="1"/>
  <c r="AC4" i="23" s="1"/>
  <c r="AH4" i="23" s="1"/>
  <c r="N32" i="23" a="1"/>
  <c r="N32" i="23" s="1"/>
  <c r="N5" i="23" a="1"/>
  <c r="N5" i="23" s="1"/>
  <c r="L44" i="23" a="1"/>
  <c r="L44" i="23" s="1"/>
  <c r="P294" i="21" l="1" a="1"/>
  <c r="P294" i="21" s="1"/>
  <c r="AC55" i="23" a="1"/>
  <c r="AC55" i="23" s="1"/>
  <c r="AM39" i="23"/>
  <c r="AL4" i="23"/>
  <c r="M4" i="23" s="1" a="1"/>
  <c r="M4" i="23" s="1"/>
  <c r="AK4" i="23"/>
  <c r="AJ4" i="23"/>
  <c r="K39" i="23"/>
  <c r="I4" i="23" a="1"/>
  <c r="I4" i="23" s="1"/>
  <c r="D4" i="23" a="1"/>
  <c r="D4" i="23" s="1"/>
  <c r="L14" i="23" a="1"/>
  <c r="L14" i="23" s="1"/>
  <c r="L43" i="23" a="1"/>
  <c r="L43" i="23" s="1"/>
  <c r="P318" i="21" l="1" a="1"/>
  <c r="P318" i="21" s="1"/>
  <c r="AC59" i="23" a="1"/>
  <c r="AC59" i="23" s="1"/>
  <c r="AH55" i="23"/>
  <c r="D55" i="23" a="1"/>
  <c r="D55" i="23" s="1"/>
  <c r="AC57" i="23" a="1"/>
  <c r="AC57" i="23" s="1"/>
  <c r="AM4" i="23"/>
  <c r="K4" i="23"/>
  <c r="N44" i="23" a="1"/>
  <c r="N44" i="23" s="1"/>
  <c r="N43" i="23" a="1"/>
  <c r="N43" i="23" s="1"/>
  <c r="N14" i="23" a="1"/>
  <c r="N14" i="23" s="1"/>
  <c r="L8" i="23" a="1"/>
  <c r="L8" i="23" s="1"/>
  <c r="P330" i="21" l="1" a="1"/>
  <c r="P330" i="21" s="1"/>
  <c r="P335" i="21" s="1" a="1"/>
  <c r="P335" i="21" s="1"/>
  <c r="AH57" i="23"/>
  <c r="D57" i="23" a="1"/>
  <c r="D57" i="23" s="1"/>
  <c r="AL55" i="23"/>
  <c r="M55" i="23" s="1" a="1"/>
  <c r="M55" i="23" s="1"/>
  <c r="I55" i="23" a="1"/>
  <c r="I55" i="23" s="1"/>
  <c r="AJ55" i="23"/>
  <c r="K55" i="23" s="1"/>
  <c r="AK55" i="23"/>
  <c r="AH59" i="23"/>
  <c r="D59" i="23" a="1"/>
  <c r="D59" i="23" s="1"/>
  <c r="N8" i="23" a="1"/>
  <c r="N8" i="23" s="1"/>
  <c r="L50" i="23" a="1"/>
  <c r="L50" i="23" s="1"/>
  <c r="L31" i="23" a="1"/>
  <c r="L31" i="23" s="1"/>
  <c r="P344" i="21" l="1" a="1"/>
  <c r="P344" i="21" s="1"/>
  <c r="AK59" i="23"/>
  <c r="AL59" i="23"/>
  <c r="M59" i="23" s="1" a="1"/>
  <c r="M59" i="23" s="1"/>
  <c r="AJ59" i="23"/>
  <c r="K59" i="23" s="1"/>
  <c r="I59" i="23" a="1"/>
  <c r="I59" i="23" s="1"/>
  <c r="AM55" i="23"/>
  <c r="AK57" i="23"/>
  <c r="AJ57" i="23"/>
  <c r="K57" i="23" s="1"/>
  <c r="AL57" i="23"/>
  <c r="M57" i="23" s="1" a="1"/>
  <c r="M57" i="23" s="1"/>
  <c r="I57" i="23" a="1"/>
  <c r="I57" i="23" s="1"/>
  <c r="L12" i="23" a="1"/>
  <c r="L12" i="23" s="1"/>
  <c r="N50" i="23" a="1"/>
  <c r="N50" i="23" s="1"/>
  <c r="N31" i="23" a="1"/>
  <c r="N31" i="23" s="1"/>
  <c r="L55" i="23" a="1"/>
  <c r="L55" i="23" s="1"/>
  <c r="P350" i="21" l="1" a="1"/>
  <c r="P350" i="21" s="1"/>
  <c r="P369" i="21" s="1" a="1"/>
  <c r="P369" i="21" s="1"/>
  <c r="P380" i="21" s="1" a="1"/>
  <c r="P380" i="21" s="1"/>
  <c r="AM57" i="23"/>
  <c r="L59" i="23" a="1"/>
  <c r="L59" i="23" s="1"/>
  <c r="AM59" i="23"/>
  <c r="N59" i="23" s="1" a="1"/>
  <c r="N59" i="23" s="1"/>
  <c r="N12" i="23" a="1"/>
  <c r="N12" i="23" s="1"/>
  <c r="AC20" i="23" l="1" a="1"/>
  <c r="AC20" i="23" s="1"/>
  <c r="AH20" i="23" s="1"/>
  <c r="N55" i="23" a="1"/>
  <c r="N55" i="23" s="1"/>
  <c r="AL20" i="23" l="1"/>
  <c r="M20" i="23" s="1" a="1"/>
  <c r="M20" i="23" s="1"/>
  <c r="AK20" i="23"/>
  <c r="AJ20" i="23"/>
  <c r="F58" i="22" a="1"/>
  <c r="F58" i="22" s="1"/>
  <c r="H58" i="22" s="1"/>
  <c r="J58" i="22" s="1"/>
  <c r="D20" i="23" a="1"/>
  <c r="D20" i="23" s="1"/>
  <c r="L46" i="23" a="1"/>
  <c r="L46" i="23" s="1"/>
  <c r="AM20" i="23" l="1"/>
  <c r="I20" i="23" a="1"/>
  <c r="I20" i="23" s="1"/>
  <c r="K20" i="23"/>
  <c r="N46" i="23" a="1"/>
  <c r="N46" i="23" s="1"/>
  <c r="L48" i="23" a="1"/>
  <c r="L48" i="23" s="1"/>
  <c r="F59" i="22" l="1" a="1"/>
  <c r="F59" i="22" s="1"/>
  <c r="H59" i="22" s="1"/>
  <c r="J59" i="22" s="1"/>
  <c r="L20" i="23" a="1"/>
  <c r="L20" i="23" s="1"/>
  <c r="N20" i="23" a="1"/>
  <c r="N20" i="23" s="1"/>
  <c r="N48" i="23" a="1"/>
  <c r="N48" i="23" s="1"/>
  <c r="L25" i="23" a="1"/>
  <c r="L25" i="23" s="1"/>
  <c r="N25" i="23" l="1" a="1"/>
  <c r="N25" i="23" s="1"/>
  <c r="L38" i="23" l="1" a="1"/>
  <c r="L38" i="23" s="1"/>
  <c r="L22" i="23" a="1"/>
  <c r="L22" i="23" s="1"/>
  <c r="L57" i="23" a="1"/>
  <c r="L57" i="23" s="1"/>
  <c r="N22" i="23" l="1" a="1"/>
  <c r="N22" i="23" s="1"/>
  <c r="N38" i="23" a="1"/>
  <c r="N38" i="23" s="1"/>
  <c r="N57" i="23" a="1"/>
  <c r="N57" i="23" s="1"/>
  <c r="L52" i="23" a="1"/>
  <c r="L52" i="23" s="1"/>
  <c r="L6" i="23" a="1"/>
  <c r="L6" i="23" s="1"/>
  <c r="N6" i="23" l="1" a="1"/>
  <c r="N6" i="23" s="1"/>
  <c r="N52" i="23" a="1"/>
  <c r="N52" i="23" s="1"/>
  <c r="L47" i="23" l="1" a="1"/>
  <c r="L47" i="23" s="1"/>
  <c r="N47" i="23" l="1" a="1"/>
  <c r="N47" i="23" s="1"/>
  <c r="L49" i="23" l="1" a="1"/>
  <c r="L49" i="23" s="1"/>
  <c r="D3" i="23" a="1"/>
  <c r="D3" i="23" s="1"/>
  <c r="L45" i="23" l="1" a="1"/>
  <c r="L45" i="23" s="1"/>
  <c r="AH3" i="23"/>
  <c r="L24" i="23" a="1"/>
  <c r="L24" i="23" s="1"/>
  <c r="AJ3" i="23" l="1"/>
  <c r="K3" i="23" s="1"/>
  <c r="I3" i="23" a="1"/>
  <c r="I3" i="23" s="1"/>
  <c r="AL3" i="23"/>
  <c r="M3" i="23" s="1" a="1"/>
  <c r="M3" i="23" s="1"/>
  <c r="L35" i="23" a="1"/>
  <c r="L35" i="23" s="1"/>
  <c r="N49" i="23" a="1"/>
  <c r="N49" i="23" s="1"/>
  <c r="L33" i="23" a="1"/>
  <c r="L33" i="23" s="1"/>
  <c r="L30" i="23" a="1"/>
  <c r="L30" i="23" s="1"/>
  <c r="L15" i="23" a="1"/>
  <c r="L15" i="23" s="1"/>
  <c r="L10" i="23" a="1"/>
  <c r="L10" i="23" s="1"/>
  <c r="AK3" i="23"/>
  <c r="L3" i="23" s="1" a="1"/>
  <c r="L3" i="23" s="1"/>
  <c r="L42" i="23" a="1"/>
  <c r="L42" i="23" s="1"/>
  <c r="AM3" i="23" l="1"/>
  <c r="N3" i="23" s="1" a="1"/>
  <c r="N3" i="23" s="1"/>
  <c r="N35" i="23" a="1"/>
  <c r="N35" i="23" s="1"/>
  <c r="N45" i="23" a="1"/>
  <c r="N45" i="23" s="1"/>
  <c r="N24" i="23" a="1"/>
  <c r="N24" i="23" s="1"/>
  <c r="N15" i="23" a="1"/>
  <c r="N15" i="23" s="1"/>
  <c r="N42" i="23" a="1"/>
  <c r="N42" i="23" s="1"/>
  <c r="N30" i="23" a="1"/>
  <c r="N30" i="23" s="1"/>
  <c r="N10" i="23" a="1"/>
  <c r="N10" i="23" s="1"/>
  <c r="N33" i="23" a="1"/>
  <c r="N33" i="23" s="1"/>
  <c r="L41" i="23" a="1"/>
  <c r="L41" i="23" s="1"/>
  <c r="L23" i="23" a="1"/>
  <c r="L23" i="23" s="1"/>
  <c r="N41" i="23" l="1" a="1"/>
  <c r="N41" i="23" s="1"/>
  <c r="N23" i="23" a="1"/>
  <c r="N23" i="23" s="1"/>
  <c r="L37" i="23" a="1"/>
  <c r="L37" i="23" s="1"/>
  <c r="L40" i="23" a="1"/>
  <c r="L40" i="23" s="1"/>
  <c r="L4" i="23" a="1"/>
  <c r="L4" i="23" s="1"/>
  <c r="L7" i="23" a="1"/>
  <c r="L7" i="23" s="1"/>
  <c r="N4" i="23" l="1" a="1"/>
  <c r="N4" i="23" s="1"/>
  <c r="N37" i="23" l="1" a="1"/>
  <c r="N37" i="23" s="1"/>
  <c r="N40" i="23" a="1"/>
  <c r="N40" i="23" s="1"/>
  <c r="N7" i="23" a="1"/>
  <c r="N7" i="23" s="1"/>
  <c r="L34" i="23" a="1"/>
  <c r="L34" i="23" s="1"/>
  <c r="N34" i="23" l="1" a="1"/>
  <c r="N34" i="23" s="1"/>
  <c r="L36" i="23" a="1"/>
  <c r="L36" i="23" s="1"/>
  <c r="L39" i="23" a="1"/>
  <c r="L39" i="23" s="1"/>
  <c r="N39" i="23" l="1" a="1"/>
  <c r="N39" i="23" s="1"/>
  <c r="N36" i="23" a="1"/>
  <c r="N36" i="23" s="1"/>
  <c r="AC53" i="23" l="1" a="1"/>
  <c r="AC53" i="23" s="1"/>
  <c r="AH53" i="23" s="1"/>
  <c r="AL53" i="23" l="1"/>
  <c r="M53" i="23" s="1" a="1"/>
  <c r="M53" i="23" s="1"/>
  <c r="AJ53" i="23"/>
  <c r="AK53" i="23"/>
  <c r="D53" i="23" a="1"/>
  <c r="D53" i="23" s="1"/>
  <c r="AM53" i="23" l="1"/>
  <c r="K53" i="23"/>
  <c r="I53" i="23" a="1"/>
  <c r="I53" i="23" s="1"/>
  <c r="AC19" i="23" a="1"/>
  <c r="AC19" i="23" s="1"/>
  <c r="AH19" i="23" s="1"/>
  <c r="F57" i="22" a="1"/>
  <c r="F57" i="22" s="1"/>
  <c r="H57" i="22" s="1"/>
  <c r="J57" i="22" s="1"/>
  <c r="L53" i="23" a="1"/>
  <c r="L53" i="23" s="1"/>
  <c r="AL19" i="23" l="1"/>
  <c r="M19" i="23" s="1" a="1"/>
  <c r="M19" i="23" s="1"/>
  <c r="AJ19" i="23"/>
  <c r="AK19" i="23"/>
  <c r="D19" i="23" a="1"/>
  <c r="D19" i="23" s="1"/>
  <c r="N53" i="23" a="1"/>
  <c r="N53" i="23" s="1"/>
  <c r="AM19" i="23" l="1"/>
  <c r="K19" i="23"/>
  <c r="I19" i="23" a="1"/>
  <c r="I19" i="23" s="1"/>
  <c r="L19" i="23" a="1"/>
  <c r="L19" i="23" s="1"/>
  <c r="N19" i="23" l="1" a="1"/>
  <c r="N19" i="23" s="1"/>
  <c r="AC51" i="23" a="1"/>
  <c r="AC51" i="23" s="1"/>
  <c r="AH51" i="23" s="1"/>
  <c r="AL51" i="23" l="1"/>
  <c r="M51" i="23" s="1" a="1"/>
  <c r="M51" i="23" s="1"/>
  <c r="AK51" i="23"/>
  <c r="AJ51" i="23"/>
  <c r="D51" i="23" a="1"/>
  <c r="D51" i="23" s="1"/>
  <c r="AM51" i="23" l="1"/>
  <c r="K51" i="23"/>
  <c r="I51" i="23" a="1"/>
  <c r="I51" i="23" s="1"/>
  <c r="O49" i="22" s="1"/>
  <c r="L51" i="23" a="1"/>
  <c r="L51" i="23" s="1"/>
  <c r="N51" i="23" l="1" a="1"/>
  <c r="N51" i="23" s="1"/>
  <c r="AC54" i="23" a="1"/>
  <c r="AC54" i="23" s="1"/>
  <c r="AH54" i="23" s="1"/>
  <c r="AL54" i="23" l="1"/>
  <c r="M54" i="23" s="1" a="1"/>
  <c r="M54" i="23" s="1"/>
  <c r="AK54" i="23"/>
  <c r="AJ54" i="23"/>
  <c r="K54" i="23" s="1"/>
  <c r="D54" i="23" a="1"/>
  <c r="D54" i="23" s="1"/>
  <c r="AM54" i="23" l="1"/>
  <c r="L54" i="23" a="1"/>
  <c r="L54" i="23" s="1"/>
  <c r="I54" i="23" a="1"/>
  <c r="I54" i="23" s="1"/>
  <c r="N54" i="23" l="1" a="1"/>
  <c r="N54" i="23" s="1"/>
  <c r="P4" i="21" a="1"/>
  <c r="P4" i="21" s="1"/>
  <c r="P6" i="21" l="1" a="1"/>
  <c r="P6" i="21" s="1"/>
  <c r="P8" i="21" s="1" a="1"/>
  <c r="P8" i="21" s="1"/>
  <c r="P10" i="21" l="1" a="1"/>
  <c r="P10" i="21" s="1"/>
  <c r="P12" i="21" s="1" a="1"/>
  <c r="P12" i="21" s="1"/>
  <c r="P14" i="21" l="1" a="1"/>
  <c r="P14" i="21" s="1"/>
  <c r="P16" i="21" s="1" a="1"/>
  <c r="P16" i="21" s="1"/>
  <c r="P18" i="21" l="1" a="1"/>
  <c r="P18" i="21" s="1"/>
  <c r="P21" i="21" l="1" a="1"/>
  <c r="P21" i="21" s="1"/>
  <c r="P23" i="21" s="1" a="1"/>
  <c r="P23" i="21" s="1"/>
  <c r="P19" i="21" a="1"/>
  <c r="P19" i="21" s="1"/>
  <c r="P25" i="21" l="1" a="1"/>
  <c r="P25" i="21" s="1"/>
  <c r="F49" i="22" a="1"/>
  <c r="F49" i="22" s="1"/>
  <c r="H49" i="22" s="1"/>
  <c r="J49" i="22" s="1"/>
  <c r="P27" i="21" l="1" a="1"/>
  <c r="P27" i="21" s="1"/>
  <c r="P29" i="21" s="1" a="1"/>
  <c r="P29" i="21" s="1"/>
  <c r="P31" i="21" a="1"/>
  <c r="P31" i="21" s="1"/>
  <c r="P33" i="21" s="1" a="1"/>
  <c r="P33" i="21" s="1"/>
  <c r="P35" i="21" s="1" a="1"/>
  <c r="P35" i="21" s="1"/>
  <c r="P37" i="21" s="1" a="1"/>
  <c r="P37" i="21" s="1"/>
  <c r="P39" i="21" s="1" a="1"/>
  <c r="P39" i="21" s="1"/>
  <c r="P41" i="21" s="1" a="1"/>
  <c r="P41" i="21" s="1"/>
  <c r="P43" i="21" s="1" a="1"/>
  <c r="P43" i="21" s="1"/>
  <c r="P45" i="21" s="1" a="1"/>
  <c r="P45" i="21" s="1"/>
  <c r="P47" i="21" s="1" a="1"/>
  <c r="P47" i="21" s="1"/>
  <c r="P49" i="21" s="1" a="1"/>
  <c r="P49" i="21" s="1"/>
  <c r="P51" i="21" s="1" a="1"/>
  <c r="P51" i="21" s="1"/>
  <c r="P189" i="21" s="1" a="1"/>
  <c r="P189" i="21" s="1"/>
  <c r="P215" i="21" l="1" a="1"/>
  <c r="P215" i="21" s="1"/>
  <c r="P232" i="21" s="1" a="1"/>
  <c r="P232" i="21" s="1"/>
  <c r="P233" i="21" s="1" a="1"/>
  <c r="P233" i="21" s="1"/>
  <c r="P234" i="21" s="1" a="1"/>
  <c r="P234" i="21" s="1"/>
  <c r="P235" i="21" s="1" a="1"/>
  <c r="P235" i="21" s="1"/>
  <c r="P236" i="21" l="1" a="1"/>
  <c r="P236" i="21" s="1"/>
  <c r="P238" i="21" s="1" a="1"/>
  <c r="P238" i="21" s="1"/>
  <c r="P240" i="21" s="1" a="1"/>
  <c r="P240" i="21" s="1"/>
  <c r="P242" i="21" s="1" a="1"/>
  <c r="P242" i="21" s="1"/>
  <c r="P250" i="21" l="1" a="1"/>
  <c r="P250" i="21" s="1"/>
  <c r="P262" i="21" s="1" a="1"/>
  <c r="P262" i="21" s="1"/>
  <c r="P303" i="21" s="1" a="1"/>
  <c r="P303" i="21" s="1"/>
  <c r="P264" i="21" l="1" a="1"/>
  <c r="P264" i="21" s="1"/>
  <c r="P266" i="21" s="1" a="1"/>
  <c r="P266" i="21" s="1"/>
  <c r="P304" i="21" a="1"/>
  <c r="P304" i="21" s="1"/>
  <c r="AC58" i="23" a="1"/>
  <c r="AC58" i="23" s="1"/>
  <c r="P306" i="21" l="1" a="1"/>
  <c r="P306" i="21" s="1"/>
  <c r="P268" i="21" a="1"/>
  <c r="P268" i="21" s="1"/>
  <c r="P269" i="21" s="1" a="1"/>
  <c r="P269" i="21" s="1"/>
  <c r="P283" i="21" s="1" a="1"/>
  <c r="P283" i="21" s="1"/>
  <c r="P286" i="21" s="1" a="1"/>
  <c r="P286" i="21" s="1"/>
  <c r="D58" i="23" a="1"/>
  <c r="D58" i="23" s="1"/>
  <c r="AH58" i="23"/>
  <c r="P307" i="21" a="1"/>
  <c r="P307" i="21" s="1"/>
  <c r="P287" i="21" l="1" a="1"/>
  <c r="P287" i="21" s="1"/>
  <c r="P289" i="21" s="1" a="1"/>
  <c r="P289" i="21" s="1"/>
  <c r="P290" i="21" s="1" a="1"/>
  <c r="P290" i="21" s="1"/>
  <c r="P308" i="21" a="1"/>
  <c r="P308" i="21" s="1"/>
  <c r="P309" i="21" s="1" a="1"/>
  <c r="P309" i="21" s="1"/>
  <c r="P295" i="21" a="1"/>
  <c r="P295" i="21" s="1"/>
  <c r="AC60" i="23" s="1" a="1"/>
  <c r="AC60" i="23" s="1"/>
  <c r="AJ58" i="23"/>
  <c r="K58" i="23" s="1"/>
  <c r="I58" i="23" a="1"/>
  <c r="I58" i="23" s="1"/>
  <c r="AK58" i="23"/>
  <c r="AL58" i="23"/>
  <c r="M58" i="23" s="1" a="1"/>
  <c r="M58" i="23" s="1"/>
  <c r="P312" i="21" l="1" a="1"/>
  <c r="P312" i="21" s="1"/>
  <c r="AH60" i="23"/>
  <c r="D60" i="23" a="1"/>
  <c r="D60" i="23" s="1"/>
  <c r="P291" i="21" a="1"/>
  <c r="P291" i="21" s="1"/>
  <c r="P293" i="21" s="1" a="1"/>
  <c r="P293" i="21" s="1"/>
  <c r="AM58" i="23"/>
  <c r="N58" i="23" s="1" a="1"/>
  <c r="N58" i="23" s="1"/>
  <c r="L58" i="23" a="1"/>
  <c r="L58" i="23" s="1"/>
  <c r="P313" i="21" l="1" a="1"/>
  <c r="P313" i="21" s="1"/>
  <c r="P314" i="21" s="1" a="1"/>
  <c r="P314" i="21" s="1"/>
  <c r="AK60" i="23"/>
  <c r="AJ60" i="23"/>
  <c r="K60" i="23" s="1"/>
  <c r="I60" i="23" a="1"/>
  <c r="I60" i="23" s="1"/>
  <c r="AL60" i="23"/>
  <c r="M60" i="23" s="1" a="1"/>
  <c r="M60" i="23" s="1"/>
  <c r="P315" i="21" l="1" a="1"/>
  <c r="P315" i="21" s="1"/>
  <c r="P323" i="21" s="1" a="1"/>
  <c r="P323" i="21" s="1"/>
  <c r="P325" i="21" s="1" a="1"/>
  <c r="P325" i="21" s="1"/>
  <c r="P327" i="21" s="1" a="1"/>
  <c r="P327" i="21" s="1"/>
  <c r="P334" i="21" s="1" a="1"/>
  <c r="P334" i="21" s="1"/>
  <c r="L60" i="23" a="1"/>
  <c r="L60" i="23" s="1"/>
  <c r="AM60" i="23"/>
  <c r="N60" i="23" s="1" a="1"/>
  <c r="N60" i="23" s="1"/>
  <c r="P316" i="21" a="1"/>
  <c r="P316" i="21" s="1"/>
  <c r="P317" i="21" s="1" a="1"/>
  <c r="P317" i="21" s="1"/>
  <c r="P336" i="21" l="1" a="1"/>
  <c r="P336" i="21" s="1"/>
  <c r="P341" i="21" s="1" a="1"/>
  <c r="P341" i="21" s="1"/>
  <c r="P342" i="21" s="1" a="1"/>
  <c r="P342" i="21" s="1"/>
  <c r="P345" i="21" s="1" a="1"/>
  <c r="P345" i="21" s="1"/>
  <c r="P348" i="21" s="1" a="1"/>
  <c r="P348" i="21" s="1"/>
  <c r="P351" i="21" s="1" a="1"/>
  <c r="P351" i="21" s="1"/>
  <c r="P352" i="21" s="1" a="1"/>
  <c r="P352" i="21" s="1"/>
  <c r="P353" i="21" s="1" a="1"/>
  <c r="P353" i="21" s="1"/>
  <c r="P354" i="21" s="1" a="1"/>
  <c r="P354" i="21" s="1"/>
  <c r="P355" i="21" s="1" a="1"/>
  <c r="P355" i="21" s="1"/>
  <c r="P356" i="21" s="1" a="1"/>
  <c r="P356" i="21" s="1"/>
  <c r="P357" i="21" s="1" a="1"/>
  <c r="P357" i="21" s="1"/>
  <c r="P359" i="21" s="1" a="1"/>
  <c r="P359" i="21" s="1"/>
  <c r="P360" i="21" s="1" a="1"/>
  <c r="P360" i="21" s="1"/>
  <c r="P361" i="21" s="1" a="1"/>
  <c r="P361" i="21" s="1"/>
  <c r="P362" i="21" s="1" a="1"/>
  <c r="P362" i="21" s="1"/>
  <c r="P363" i="21" s="1" a="1"/>
  <c r="P363" i="21" s="1"/>
  <c r="P364" i="21" s="1" a="1"/>
  <c r="P364" i="21" s="1"/>
  <c r="P365" i="21" s="1" a="1"/>
  <c r="P365" i="21" s="1"/>
  <c r="P366" i="21" s="1" a="1"/>
  <c r="P366" i="21" s="1"/>
  <c r="P367" i="21" s="1" a="1"/>
  <c r="P367" i="21" s="1"/>
  <c r="P368" i="21" s="1" a="1"/>
  <c r="P368" i="21" s="1"/>
  <c r="P370" i="21" s="1" a="1"/>
  <c r="P370" i="21" s="1"/>
  <c r="P373" i="21" s="1" a="1"/>
  <c r="P373" i="21" s="1"/>
  <c r="P375" i="21" s="1" a="1"/>
  <c r="P375" i="21" s="1"/>
  <c r="P381" i="21" s="1" a="1"/>
  <c r="P381" i="21" s="1"/>
  <c r="P382" i="21" s="1" a="1"/>
  <c r="P382" i="21" s="1"/>
  <c r="P384" i="21" s="1" a="1"/>
  <c r="P384" i="21" s="1"/>
  <c r="P385" i="21" s="1" a="1"/>
  <c r="P385" i="21" s="1"/>
  <c r="P386" i="21" s="1" a="1"/>
  <c r="P386" i="21" s="1"/>
  <c r="P321" i="21" a="1"/>
  <c r="P321" i="21" s="1"/>
  <c r="P387" i="21" a="1"/>
  <c r="P387" i="21" s="1"/>
  <c r="P389" i="21" l="1" a="1"/>
  <c r="P389" i="21" s="1"/>
  <c r="P390" i="21" s="1" a="1"/>
  <c r="P390" i="21" s="1"/>
  <c r="P391" i="21" s="1" a="1"/>
  <c r="P391" i="21" s="1"/>
  <c r="P392" i="21" s="1" a="1"/>
  <c r="P392" i="21" s="1"/>
  <c r="P393" i="21" s="1" a="1"/>
  <c r="P393" i="21" s="1"/>
  <c r="P394" i="21" s="1" a="1"/>
  <c r="P394" i="21" s="1"/>
  <c r="P396" i="21" s="1" a="1"/>
  <c r="P396" i="21" s="1"/>
  <c r="P398" i="21" l="1" a="1"/>
  <c r="P398" i="21" s="1"/>
  <c r="P399" i="21" s="1" a="1"/>
  <c r="P399" i="21" s="1"/>
  <c r="P395" i="21" a="1"/>
  <c r="P395" i="21" s="1"/>
  <c r="P400" i="21" l="1" a="1"/>
  <c r="P400" i="21" s="1"/>
  <c r="P401" i="21" l="1" a="1"/>
  <c r="P401" i="21" s="1"/>
  <c r="P402" i="21" l="1" a="1"/>
  <c r="P402" i="21" s="1"/>
  <c r="P405" i="21" l="1" a="1"/>
  <c r="P405" i="21" s="1"/>
  <c r="P407" i="21" s="1" a="1"/>
  <c r="P407" i="21" s="1"/>
  <c r="P410" i="21" l="1" a="1"/>
  <c r="P410" i="21" s="1"/>
  <c r="AC56" i="23" l="1" a="1"/>
  <c r="AC56" i="23" s="1"/>
  <c r="AH56" i="23" s="1"/>
  <c r="P414" i="21" a="1"/>
  <c r="P414" i="21" s="1"/>
  <c r="P415" i="21" l="1" a="1"/>
  <c r="P415" i="21" s="1"/>
  <c r="D56" i="23" a="1"/>
  <c r="D56" i="23" s="1"/>
  <c r="AJ56" i="23"/>
  <c r="K56" i="23" s="1"/>
  <c r="I56" i="23" a="1"/>
  <c r="I56" i="23" s="1"/>
  <c r="AK56" i="23"/>
  <c r="AL56" i="23"/>
  <c r="M56" i="23" s="1" a="1"/>
  <c r="M56" i="23" s="1"/>
  <c r="P417" i="21" l="1" a="1"/>
  <c r="P417" i="21" s="1"/>
  <c r="AM56" i="23"/>
  <c r="N56" i="23" s="1" a="1"/>
  <c r="N56" i="23" s="1"/>
  <c r="L56" i="23" a="1"/>
  <c r="L56" i="23" s="1"/>
  <c r="P418" i="21" l="1" a="1"/>
  <c r="P418" i="21" s="1"/>
  <c r="P420" i="21" l="1" a="1"/>
  <c r="P420" i="21" s="1"/>
  <c r="P423" i="21" l="1" a="1"/>
  <c r="P423" i="21" s="1"/>
  <c r="P424" i="21" l="1" a="1"/>
  <c r="P424" i="21" s="1"/>
  <c r="AC11" i="23" a="1"/>
  <c r="AC11" i="23" s="1"/>
  <c r="F45" i="22" a="1"/>
  <c r="F45" i="22" s="1"/>
  <c r="H45" i="22" s="1"/>
  <c r="J45" i="22" s="1"/>
  <c r="P426" i="21" l="1" a="1"/>
  <c r="P426" i="21" s="1"/>
  <c r="P427" i="21" s="1" a="1"/>
  <c r="P427" i="21" s="1"/>
  <c r="AH11" i="23"/>
  <c r="D11" i="23" a="1"/>
  <c r="D11" i="23" s="1"/>
  <c r="P428" i="21" l="1" a="1"/>
  <c r="P428" i="21" s="1"/>
  <c r="P430" i="21" s="1" a="1"/>
  <c r="P430" i="21" s="1"/>
  <c r="P431" i="21" s="1" a="1"/>
  <c r="P431" i="21" s="1"/>
  <c r="I11" i="23" a="1"/>
  <c r="I11" i="23" s="1"/>
  <c r="AJ11" i="23"/>
  <c r="K11" i="23" s="1"/>
  <c r="AK11" i="23"/>
  <c r="AL11" i="23"/>
  <c r="M11" i="23" s="1" a="1"/>
  <c r="M11" i="23" s="1"/>
  <c r="P432" i="21" l="1" a="1"/>
  <c r="P432" i="21" s="1"/>
  <c r="P434" i="21" s="1" a="1"/>
  <c r="P434" i="21" s="1"/>
  <c r="AC13" i="23" a="1"/>
  <c r="AC13" i="23" s="1"/>
  <c r="F47" i="22" a="1"/>
  <c r="F47" i="22" s="1"/>
  <c r="H47" i="22" s="1"/>
  <c r="J47" i="22" s="1"/>
  <c r="O61" i="22"/>
  <c r="AM11" i="23"/>
  <c r="N11" i="23" s="1" a="1"/>
  <c r="N11" i="23" s="1"/>
  <c r="L11" i="23" a="1"/>
  <c r="L11" i="23" s="1"/>
  <c r="O59" i="22"/>
  <c r="O56" i="22"/>
  <c r="P435" i="21" l="1" a="1"/>
  <c r="P435" i="21" s="1"/>
  <c r="P437" i="21" s="1" a="1"/>
  <c r="P437" i="21" s="1"/>
  <c r="AC9" i="23" a="1"/>
  <c r="AC9" i="23" s="1"/>
  <c r="AH13" i="23"/>
  <c r="D13" i="23" a="1"/>
  <c r="D13" i="23" s="1"/>
  <c r="O60" i="22"/>
  <c r="O62" i="22" s="1"/>
  <c r="F44" i="22" l="1" a="1"/>
  <c r="F44" i="22" s="1"/>
  <c r="H44" i="22" s="1"/>
  <c r="J44" i="22" s="1"/>
  <c r="P439" i="21" a="1"/>
  <c r="P439" i="21" s="1"/>
  <c r="AL13" i="23"/>
  <c r="M13" i="23" s="1" a="1"/>
  <c r="M13" i="23" s="1"/>
  <c r="I13" i="23" a="1"/>
  <c r="I13" i="23" s="1"/>
  <c r="O41" i="22" s="1"/>
  <c r="AK13" i="23"/>
  <c r="AJ13" i="23"/>
  <c r="K13" i="23" s="1"/>
  <c r="AH9" i="23"/>
  <c r="D9" i="23" a="1"/>
  <c r="D9" i="23" s="1"/>
  <c r="P441" i="21" l="1" a="1"/>
  <c r="P441" i="21" s="1"/>
  <c r="I9" i="23" a="1"/>
  <c r="I9" i="23" s="1"/>
  <c r="AL9" i="23"/>
  <c r="M9" i="23" s="1" a="1"/>
  <c r="M9" i="23" s="1"/>
  <c r="AJ9" i="23"/>
  <c r="K9" i="23" s="1"/>
  <c r="AK9" i="23"/>
  <c r="AM13" i="23"/>
  <c r="N13" i="23" s="1" a="1"/>
  <c r="N13" i="23" s="1"/>
  <c r="L13" i="23" a="1"/>
  <c r="L13" i="23" s="1"/>
  <c r="F85" i="22" l="1" a="1"/>
  <c r="F85" i="22" s="1"/>
  <c r="H85" i="22" s="1"/>
  <c r="J85" i="22" s="1"/>
  <c r="P442" i="21" a="1"/>
  <c r="P442" i="21" s="1"/>
  <c r="AM9" i="23"/>
  <c r="N9" i="23" s="1" a="1"/>
  <c r="N9" i="23" s="1"/>
  <c r="L9" i="23" a="1"/>
  <c r="L9" i="23" s="1"/>
  <c r="O46" i="22"/>
  <c r="F89" i="22" l="1" a="1"/>
  <c r="F89" i="22" s="1"/>
  <c r="H89" i="22" s="1"/>
  <c r="J89" i="22" s="1"/>
  <c r="P443" i="21" a="1"/>
  <c r="P443" i="21" s="1"/>
  <c r="AC21" i="23" l="1" a="1"/>
  <c r="AC21" i="23" s="1"/>
  <c r="F60" i="22" a="1"/>
  <c r="F60" i="22" s="1"/>
  <c r="H60" i="22" s="1"/>
  <c r="J60" i="22" s="1"/>
  <c r="D21" i="23" l="1" a="1"/>
  <c r="D21" i="23" s="1"/>
  <c r="AH21" i="23"/>
  <c r="AL21" i="23" l="1"/>
  <c r="M21" i="23" s="1" a="1"/>
  <c r="M21" i="23" s="1"/>
  <c r="D18" i="22" s="1"/>
  <c r="AJ21" i="23"/>
  <c r="K21" i="23" s="1"/>
  <c r="I21" i="23" a="1"/>
  <c r="I21" i="23" s="1"/>
  <c r="AK21" i="23"/>
  <c r="O43" i="22" l="1"/>
  <c r="D20" i="22"/>
  <c r="E5" i="22"/>
  <c r="D12" i="22" a="1"/>
  <c r="D12" i="22" s="1"/>
  <c r="B12" i="22" a="1"/>
  <c r="B12" i="22" s="1"/>
  <c r="C12" i="22"/>
  <c r="E12" i="22"/>
  <c r="L21" i="23" a="1"/>
  <c r="L21" i="23" s="1"/>
  <c r="AM21" i="23"/>
  <c r="N21" i="23" s="1" a="1"/>
  <c r="N21" i="23" s="1"/>
  <c r="D4" i="22" s="1"/>
  <c r="D37" i="22" s="1"/>
  <c r="D5" i="22" l="1"/>
  <c r="D17" i="22"/>
  <c r="D19"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E7CEAA-B90D-4BAF-B4CB-934CAEDE7A6F}" keepAlive="1" name="Query - markets?vs_currency=usd&amp;ids=bitcoin%2Cethereum%2Ctether%2Cbinancecoin%2Csola (2)" description="Connection to the 'markets?vs_currency=usd&amp;ids=bitcoin%2Cethereum%2Ctether%2Cbinancecoin%2Csola (2)' query in the workbook." type="5" refreshedVersion="8" background="1" saveData="1">
    <dbPr connection="Provider=Microsoft.Mashup.OleDb.1;Data Source=$Workbook$;Location=&quot;markets?vs_currency=usd&amp;ids=bitcoin%2Cethereum%2Ctether%2Cbinancecoin%2Csola (2)&quot;;Extended Properties=&quot;&quot;" command="SELECT * FROM [markets?vs_currency=usd&amp;ids=bitcoin%2Cethereum%2Ctether%2Cbinancecoin%2Csola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6">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bk>
      <extLst>
        <ext uri="{3e2802c4-a4d2-4d8b-9148-e3be6c30e623}">
          <xlrd:rvb i="9"/>
        </ext>
      </extLst>
    </bk>
    <bk>
      <extLst>
        <ext uri="{3e2802c4-a4d2-4d8b-9148-e3be6c30e623}">
          <xlrd:rvb i="11"/>
        </ext>
      </extLst>
    </bk>
    <bk>
      <extLst>
        <ext uri="{3e2802c4-a4d2-4d8b-9148-e3be6c30e623}">
          <xlrd:rvb i="13"/>
        </ext>
      </extLst>
    </bk>
    <bk>
      <extLst>
        <ext uri="{3e2802c4-a4d2-4d8b-9148-e3be6c30e623}">
          <xlrd:rvb i="15"/>
        </ext>
      </extLst>
    </bk>
    <bk>
      <extLst>
        <ext uri="{3e2802c4-a4d2-4d8b-9148-e3be6c30e623}">
          <xlrd:rvb i="17"/>
        </ext>
      </extLst>
    </bk>
    <bk>
      <extLst>
        <ext uri="{3e2802c4-a4d2-4d8b-9148-e3be6c30e623}">
          <xlrd:rvb i="19"/>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futureMetadata>
  <cellMetadata count="1">
    <bk>
      <rc t="1" v="0"/>
    </bk>
  </cellMetadata>
  <valueMetadata count="2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valueMetadata>
</metadata>
</file>

<file path=xl/sharedStrings.xml><?xml version="1.0" encoding="utf-8"?>
<sst xmlns="http://schemas.openxmlformats.org/spreadsheetml/2006/main" count="4442" uniqueCount="649">
  <si>
    <t>Storage</t>
  </si>
  <si>
    <t>Category</t>
  </si>
  <si>
    <t>Percentage</t>
  </si>
  <si>
    <t>Name</t>
  </si>
  <si>
    <t>Bitcoin</t>
  </si>
  <si>
    <t>Ledger</t>
  </si>
  <si>
    <t>Binance</t>
  </si>
  <si>
    <t>SOL</t>
  </si>
  <si>
    <t>CTSI</t>
  </si>
  <si>
    <t>HIGH</t>
  </si>
  <si>
    <t>BNB</t>
  </si>
  <si>
    <t>SAND</t>
  </si>
  <si>
    <t>FIL</t>
  </si>
  <si>
    <t>VET</t>
  </si>
  <si>
    <t>GALA</t>
  </si>
  <si>
    <t>DOT</t>
  </si>
  <si>
    <t>Layer 1</t>
  </si>
  <si>
    <t>Layer 2</t>
  </si>
  <si>
    <t>Defi/Crosschain</t>
  </si>
  <si>
    <t>Meme</t>
  </si>
  <si>
    <t>Gamefi</t>
  </si>
  <si>
    <t>Infra</t>
  </si>
  <si>
    <t>Bybit</t>
  </si>
  <si>
    <t>ETH</t>
  </si>
  <si>
    <t>Ethereum</t>
  </si>
  <si>
    <t>MNT</t>
  </si>
  <si>
    <t>Mantle</t>
  </si>
  <si>
    <t>AVAX</t>
  </si>
  <si>
    <t>Avalanche</t>
  </si>
  <si>
    <t>Optimism</t>
  </si>
  <si>
    <t>Magic</t>
  </si>
  <si>
    <t>Cardano</t>
  </si>
  <si>
    <t>Coinbase</t>
  </si>
  <si>
    <t>Amount</t>
  </si>
  <si>
    <t>Flint Wallet</t>
  </si>
  <si>
    <t>Osmosis</t>
  </si>
  <si>
    <t>Cosmos</t>
  </si>
  <si>
    <t>Solana</t>
  </si>
  <si>
    <t>Chainlink</t>
  </si>
  <si>
    <t>Polygon</t>
  </si>
  <si>
    <t>Dogecoin</t>
  </si>
  <si>
    <t>Keplr Wallet 1</t>
  </si>
  <si>
    <t>Keplr Wallet 2</t>
  </si>
  <si>
    <t>Stacks</t>
  </si>
  <si>
    <t>Bitcoin Layer 2</t>
  </si>
  <si>
    <t>Xverse Wallet</t>
  </si>
  <si>
    <t>Token</t>
  </si>
  <si>
    <t>BTC</t>
  </si>
  <si>
    <t>NEAR</t>
  </si>
  <si>
    <t>LINK</t>
  </si>
  <si>
    <t>MATIC</t>
  </si>
  <si>
    <t>DOGE</t>
  </si>
  <si>
    <t>ATOM</t>
  </si>
  <si>
    <t>OP</t>
  </si>
  <si>
    <t>MAGIC</t>
  </si>
  <si>
    <t>ADA</t>
  </si>
  <si>
    <t>OSMO</t>
  </si>
  <si>
    <t>STX</t>
  </si>
  <si>
    <t>BTC.b</t>
  </si>
  <si>
    <t>MetaMask</t>
  </si>
  <si>
    <t>BTCB</t>
  </si>
  <si>
    <t>AVAX-C</t>
  </si>
  <si>
    <t>BSC</t>
  </si>
  <si>
    <t>Base</t>
  </si>
  <si>
    <t>WAVAX</t>
  </si>
  <si>
    <t>ETH Mainnet</t>
  </si>
  <si>
    <t>Arbitrum</t>
  </si>
  <si>
    <t>Manta</t>
  </si>
  <si>
    <t>Thena</t>
  </si>
  <si>
    <t>THE</t>
  </si>
  <si>
    <t>opBNB</t>
  </si>
  <si>
    <t>Fantom</t>
  </si>
  <si>
    <t>FTM</t>
  </si>
  <si>
    <t>Blockchain network</t>
  </si>
  <si>
    <t>N/A</t>
  </si>
  <si>
    <t>Protocol Name</t>
  </si>
  <si>
    <t>Pool</t>
  </si>
  <si>
    <t xml:space="preserve">BTCB/ETH VOLATILE
</t>
  </si>
  <si>
    <t>APR</t>
  </si>
  <si>
    <t>LayerBank</t>
  </si>
  <si>
    <t>STONE</t>
  </si>
  <si>
    <t>3.38 STONE</t>
  </si>
  <si>
    <t>0.181 BTC/3.03 ETH</t>
  </si>
  <si>
    <t>Shoebill</t>
  </si>
  <si>
    <t>0.1 ETH</t>
  </si>
  <si>
    <t>Seamless</t>
  </si>
  <si>
    <t>1.95 ETH</t>
  </si>
  <si>
    <t>Penpie</t>
  </si>
  <si>
    <t>gDAI</t>
  </si>
  <si>
    <t>746.79 gDAI</t>
  </si>
  <si>
    <t>Radpie</t>
  </si>
  <si>
    <t>1.29 ETH</t>
  </si>
  <si>
    <t>GMX</t>
  </si>
  <si>
    <t>GLP</t>
  </si>
  <si>
    <t>Benqi</t>
  </si>
  <si>
    <t>liveTHE/THE STABLE</t>
  </si>
  <si>
    <t>859.9 liveTHE/842.3 THE</t>
  </si>
  <si>
    <t>De-Fi Protocal</t>
  </si>
  <si>
    <t>2779.13 GLP</t>
  </si>
  <si>
    <t>DOP</t>
  </si>
  <si>
    <t>Airdrop</t>
  </si>
  <si>
    <t>KiloEx</t>
  </si>
  <si>
    <t>id</t>
  </si>
  <si>
    <t>symbol</t>
  </si>
  <si>
    <t>name</t>
  </si>
  <si>
    <t>current_price</t>
  </si>
  <si>
    <t>price_change_percentage_24h</t>
  </si>
  <si>
    <t>last_updated</t>
  </si>
  <si>
    <t>bitcoin</t>
  </si>
  <si>
    <t>btc</t>
  </si>
  <si>
    <t>ethereum</t>
  </si>
  <si>
    <t>eth</t>
  </si>
  <si>
    <t>tether</t>
  </si>
  <si>
    <t>usdt</t>
  </si>
  <si>
    <t>Tether</t>
  </si>
  <si>
    <t>binancecoin</t>
  </si>
  <si>
    <t>bnb</t>
  </si>
  <si>
    <t>solana</t>
  </si>
  <si>
    <t>sol</t>
  </si>
  <si>
    <t>ripple</t>
  </si>
  <si>
    <t>usd-coin</t>
  </si>
  <si>
    <t>usdc</t>
  </si>
  <si>
    <t>USDC</t>
  </si>
  <si>
    <t>staked-ether</t>
  </si>
  <si>
    <t>cardano</t>
  </si>
  <si>
    <t>ada</t>
  </si>
  <si>
    <t>avalanche-2</t>
  </si>
  <si>
    <t>avax</t>
  </si>
  <si>
    <t>dogecoin</t>
  </si>
  <si>
    <t>doge</t>
  </si>
  <si>
    <t>tron</t>
  </si>
  <si>
    <t>polkadot</t>
  </si>
  <si>
    <t>dot</t>
  </si>
  <si>
    <t>Polkadot</t>
  </si>
  <si>
    <t>chainlink</t>
  </si>
  <si>
    <t>link</t>
  </si>
  <si>
    <t>the-open-network</t>
  </si>
  <si>
    <t>matic-network</t>
  </si>
  <si>
    <t>matic</t>
  </si>
  <si>
    <t>wrapped-bitcoin</t>
  </si>
  <si>
    <t>shiba-inu</t>
  </si>
  <si>
    <t>internet-computer</t>
  </si>
  <si>
    <t>icp</t>
  </si>
  <si>
    <t>Internet Computer</t>
  </si>
  <si>
    <t>dai</t>
  </si>
  <si>
    <t>litecoin</t>
  </si>
  <si>
    <t>uniswap</t>
  </si>
  <si>
    <t>bitcoin-cash</t>
  </si>
  <si>
    <t>cosmos</t>
  </si>
  <si>
    <t>atom</t>
  </si>
  <si>
    <t>Cosmos Hub</t>
  </si>
  <si>
    <t>leo-token</t>
  </si>
  <si>
    <t>ethereum-classic</t>
  </si>
  <si>
    <t>stellar</t>
  </si>
  <si>
    <t>near</t>
  </si>
  <si>
    <t>NEAR Protocol</t>
  </si>
  <si>
    <t>okb</t>
  </si>
  <si>
    <t>optimism</t>
  </si>
  <si>
    <t>op</t>
  </si>
  <si>
    <t>injective-protocol</t>
  </si>
  <si>
    <t>aptos</t>
  </si>
  <si>
    <t>filecoin</t>
  </si>
  <si>
    <t>fil</t>
  </si>
  <si>
    <t>Filecoin</t>
  </si>
  <si>
    <t>monero</t>
  </si>
  <si>
    <t>lido-dao</t>
  </si>
  <si>
    <t>celestia</t>
  </si>
  <si>
    <t>tia</t>
  </si>
  <si>
    <t>Celestia</t>
  </si>
  <si>
    <t>immutable-x</t>
  </si>
  <si>
    <t>hedera-hashgraph</t>
  </si>
  <si>
    <t>arbitrum</t>
  </si>
  <si>
    <t>arb</t>
  </si>
  <si>
    <t>kaspa</t>
  </si>
  <si>
    <t>blockstack</t>
  </si>
  <si>
    <t>stx</t>
  </si>
  <si>
    <t>mantle</t>
  </si>
  <si>
    <t>mnt</t>
  </si>
  <si>
    <t>crypto-com-chain</t>
  </si>
  <si>
    <t>cro</t>
  </si>
  <si>
    <t>Cronos</t>
  </si>
  <si>
    <t>first-digital-usd</t>
  </si>
  <si>
    <t>vechain</t>
  </si>
  <si>
    <t>vet</t>
  </si>
  <si>
    <t>VeChain</t>
  </si>
  <si>
    <t>sei-network</t>
  </si>
  <si>
    <t>true-usd</t>
  </si>
  <si>
    <t>maker</t>
  </si>
  <si>
    <t>quant-network</t>
  </si>
  <si>
    <t>rocket-pool-eth</t>
  </si>
  <si>
    <t>render-token</t>
  </si>
  <si>
    <t>rndr</t>
  </si>
  <si>
    <t>Render</t>
  </si>
  <si>
    <t>bitcoin-cash-sv</t>
  </si>
  <si>
    <t>the-graph</t>
  </si>
  <si>
    <t>bittensor</t>
  </si>
  <si>
    <t>algorand</t>
  </si>
  <si>
    <t>ordinals</t>
  </si>
  <si>
    <t>aave</t>
  </si>
  <si>
    <t>elrond-erd-2</t>
  </si>
  <si>
    <t>sui</t>
  </si>
  <si>
    <t>mina-protocol</t>
  </si>
  <si>
    <t>thorchain</t>
  </si>
  <si>
    <t>sats-ordinals</t>
  </si>
  <si>
    <t>flow</t>
  </si>
  <si>
    <t>dydx-chain</t>
  </si>
  <si>
    <t>dydx</t>
  </si>
  <si>
    <t>havven</t>
  </si>
  <si>
    <t>fantom</t>
  </si>
  <si>
    <t>ftm</t>
  </si>
  <si>
    <t>osmosis</t>
  </si>
  <si>
    <t>osmo</t>
  </si>
  <si>
    <t>axie-infinity</t>
  </si>
  <si>
    <t>tokenize-xchange</t>
  </si>
  <si>
    <t>the-sandbox</t>
  </si>
  <si>
    <t>sand</t>
  </si>
  <si>
    <t>The Sandbox</t>
  </si>
  <si>
    <t>theta-token</t>
  </si>
  <si>
    <t>helium</t>
  </si>
  <si>
    <t>beam-2</t>
  </si>
  <si>
    <t>bittorrent</t>
  </si>
  <si>
    <t>kucoin-shares</t>
  </si>
  <si>
    <t>tezos</t>
  </si>
  <si>
    <t>astar</t>
  </si>
  <si>
    <t>wemix-token</t>
  </si>
  <si>
    <t>whitebit</t>
  </si>
  <si>
    <t>blur</t>
  </si>
  <si>
    <t>chiliz</t>
  </si>
  <si>
    <t>cheelee</t>
  </si>
  <si>
    <t>bitget-token</t>
  </si>
  <si>
    <t>neo</t>
  </si>
  <si>
    <t>eos</t>
  </si>
  <si>
    <t>decentraland</t>
  </si>
  <si>
    <t>conflux-token</t>
  </si>
  <si>
    <t>kava</t>
  </si>
  <si>
    <t>gala</t>
  </si>
  <si>
    <t>frax-ether</t>
  </si>
  <si>
    <t>bonk</t>
  </si>
  <si>
    <t>woo-network</t>
  </si>
  <si>
    <t>klay-token</t>
  </si>
  <si>
    <t>oasis-network</t>
  </si>
  <si>
    <t>iota</t>
  </si>
  <si>
    <t>flare-networks</t>
  </si>
  <si>
    <t>usdd</t>
  </si>
  <si>
    <t>terra-luna</t>
  </si>
  <si>
    <t>pancakeswap-token</t>
  </si>
  <si>
    <t>frax-share</t>
  </si>
  <si>
    <t>ethereum-name-service</t>
  </si>
  <si>
    <t>fetch-ai</t>
  </si>
  <si>
    <t>arweave</t>
  </si>
  <si>
    <t>manta-network</t>
  </si>
  <si>
    <t>manta</t>
  </si>
  <si>
    <t>Manta Network</t>
  </si>
  <si>
    <t>pyth-network</t>
  </si>
  <si>
    <t>metis-token</t>
  </si>
  <si>
    <t>coinbase-wrapped-staked-eth</t>
  </si>
  <si>
    <t>axelar</t>
  </si>
  <si>
    <t>pepe</t>
  </si>
  <si>
    <t>gmx</t>
  </si>
  <si>
    <t>deso</t>
  </si>
  <si>
    <t>Decentralized Social</t>
  </si>
  <si>
    <t>terra-luna-2</t>
  </si>
  <si>
    <t>neutron-3</t>
  </si>
  <si>
    <t>ntrn</t>
  </si>
  <si>
    <t>Neutron</t>
  </si>
  <si>
    <t>superfarm</t>
  </si>
  <si>
    <t>super</t>
  </si>
  <si>
    <t>SuperVerse</t>
  </si>
  <si>
    <t>xai-blockchain</t>
  </si>
  <si>
    <t>xai</t>
  </si>
  <si>
    <t>Xai</t>
  </si>
  <si>
    <t>magic</t>
  </si>
  <si>
    <t>terrausd</t>
  </si>
  <si>
    <t>jito-governance-token</t>
  </si>
  <si>
    <t>yearn-finance</t>
  </si>
  <si>
    <t>memecoin-2</t>
  </si>
  <si>
    <t>convex-finance</t>
  </si>
  <si>
    <t>pendle</t>
  </si>
  <si>
    <t>harmony</t>
  </si>
  <si>
    <t>alexgo</t>
  </si>
  <si>
    <t>alex</t>
  </si>
  <si>
    <t>ALEX Lab</t>
  </si>
  <si>
    <t>Current Price</t>
  </si>
  <si>
    <t>Cartesi</t>
  </si>
  <si>
    <t>Highstreet</t>
  </si>
  <si>
    <t>Current Value</t>
  </si>
  <si>
    <t>Dymension</t>
  </si>
  <si>
    <t>CARV</t>
  </si>
  <si>
    <t>highstreet</t>
  </si>
  <si>
    <t>cartesi</t>
  </si>
  <si>
    <t>thena</t>
  </si>
  <si>
    <t>welsh-corgi-coin</t>
  </si>
  <si>
    <t>minswap</t>
  </si>
  <si>
    <t>snek</t>
  </si>
  <si>
    <t>Grand Total</t>
  </si>
  <si>
    <t>CRO</t>
  </si>
  <si>
    <t>Crypto.com</t>
  </si>
  <si>
    <t>Current Amount</t>
  </si>
  <si>
    <t>joe</t>
  </si>
  <si>
    <t>yield-guild-games</t>
  </si>
  <si>
    <t>radiant-capital</t>
  </si>
  <si>
    <t>market_cap_rank</t>
  </si>
  <si>
    <t>ctsi</t>
  </si>
  <si>
    <t>rdnt</t>
  </si>
  <si>
    <t>Radiant Capital</t>
  </si>
  <si>
    <t>Snek</t>
  </si>
  <si>
    <t>the</t>
  </si>
  <si>
    <t>high</t>
  </si>
  <si>
    <t>welsh</t>
  </si>
  <si>
    <t>WELSH CORGI COIN</t>
  </si>
  <si>
    <t>ALEX</t>
  </si>
  <si>
    <t>arkadiko-protocol</t>
  </si>
  <si>
    <t>Column Labels</t>
  </si>
  <si>
    <t>Last Update:</t>
  </si>
  <si>
    <t>withdrawed on 18Jan</t>
  </si>
  <si>
    <t>Sum of Percentage</t>
  </si>
  <si>
    <t>Crypto Name</t>
  </si>
  <si>
    <t>Render Token</t>
  </si>
  <si>
    <t>Current %</t>
  </si>
  <si>
    <t>Target %</t>
  </si>
  <si>
    <t>Platform</t>
  </si>
  <si>
    <t>Currency</t>
  </si>
  <si>
    <t>Date</t>
  </si>
  <si>
    <t>Asset Ticker</t>
  </si>
  <si>
    <t>Asset Name</t>
  </si>
  <si>
    <t>Asset Class</t>
  </si>
  <si>
    <t>Sector</t>
  </si>
  <si>
    <t>Action</t>
  </si>
  <si>
    <t>Quantity</t>
  </si>
  <si>
    <t>Price / Amount</t>
  </si>
  <si>
    <t>Fees</t>
  </si>
  <si>
    <t>Notes</t>
  </si>
  <si>
    <t>Total</t>
  </si>
  <si>
    <t>Rolling Costs Controls</t>
  </si>
  <si>
    <t>Total Cost</t>
  </si>
  <si>
    <t>Rolling Quantity</t>
  </si>
  <si>
    <t>Rolling Cost</t>
  </si>
  <si>
    <t>Currency Conversion</t>
  </si>
  <si>
    <t>Date Breakdown</t>
  </si>
  <si>
    <t>Day</t>
  </si>
  <si>
    <t>Month</t>
  </si>
  <si>
    <t>Year</t>
  </si>
  <si>
    <t>Transactions</t>
  </si>
  <si>
    <t>GBP</t>
  </si>
  <si>
    <t>Cash Deposit</t>
  </si>
  <si>
    <t>Cash</t>
  </si>
  <si>
    <t>Stable Coin</t>
  </si>
  <si>
    <t>Buy</t>
  </si>
  <si>
    <t>USD</t>
  </si>
  <si>
    <t>Crypto</t>
  </si>
  <si>
    <t>Interest</t>
  </si>
  <si>
    <t>NTRN</t>
  </si>
  <si>
    <t>CRO Defi Wallet</t>
  </si>
  <si>
    <t>BTC.B</t>
  </si>
  <si>
    <t>bitcoin-avalanche-bridged-btc-b</t>
  </si>
  <si>
    <t>wrapped-avax</t>
  </si>
  <si>
    <t>Wrapped AVAX</t>
  </si>
  <si>
    <t>Bridged Binance-Peg Ethereum (opBNB)</t>
  </si>
  <si>
    <t>ARB</t>
  </si>
  <si>
    <t>Airdrop/Rewards</t>
  </si>
  <si>
    <t>Stake</t>
  </si>
  <si>
    <t>WETH</t>
  </si>
  <si>
    <t>Wrapped Ethereum</t>
  </si>
  <si>
    <t>Gains Network gDAI</t>
  </si>
  <si>
    <t>USDT</t>
  </si>
  <si>
    <t>liveTHE</t>
  </si>
  <si>
    <t>Liquid Driver liveTHE</t>
  </si>
  <si>
    <t>Sell</t>
  </si>
  <si>
    <t>MANTA</t>
  </si>
  <si>
    <t>AI</t>
  </si>
  <si>
    <t>NFP</t>
  </si>
  <si>
    <t>Crypto Deposit</t>
  </si>
  <si>
    <t>ICP</t>
  </si>
  <si>
    <t>ALT</t>
  </si>
  <si>
    <t>AltLayer</t>
  </si>
  <si>
    <t>USDA</t>
  </si>
  <si>
    <t>XAI</t>
  </si>
  <si>
    <t>Ticker</t>
  </si>
  <si>
    <t>Avg. Purchase Price</t>
  </si>
  <si>
    <t>Daily % Change</t>
  </si>
  <si>
    <t>Daily Change</t>
  </si>
  <si>
    <t>Cost</t>
  </si>
  <si>
    <t>Unrealised ROI</t>
  </si>
  <si>
    <t>Unrealised P/L</t>
  </si>
  <si>
    <t>Realised P/L</t>
  </si>
  <si>
    <t>Total P/L</t>
  </si>
  <si>
    <t>Day return</t>
  </si>
  <si>
    <t>Diff</t>
  </si>
  <si>
    <t>Actual Weight</t>
  </si>
  <si>
    <t>Target Weight (100%)</t>
  </si>
  <si>
    <t>Asset Class Actual Weight</t>
  </si>
  <si>
    <t>Asset Class Target Weight</t>
  </si>
  <si>
    <t>Investment Portfolio In Original Currency</t>
  </si>
  <si>
    <t>DESO</t>
  </si>
  <si>
    <t>bitcoin-bep2</t>
  </si>
  <si>
    <t>weth</t>
  </si>
  <si>
    <t>liquid-driver-livethe</t>
  </si>
  <si>
    <t>sleepless-ai</t>
  </si>
  <si>
    <t>nfprompt-token</t>
  </si>
  <si>
    <t>Futu</t>
  </si>
  <si>
    <t>Block</t>
  </si>
  <si>
    <t>Stocks</t>
  </si>
  <si>
    <t>Marathon Digital</t>
  </si>
  <si>
    <t>MicroStrategy</t>
  </si>
  <si>
    <t>CleanSpark</t>
  </si>
  <si>
    <t>Riot Platforms</t>
  </si>
  <si>
    <t>SPDR Gold</t>
  </si>
  <si>
    <t>Bloom Energy</t>
  </si>
  <si>
    <t>Robinhood</t>
  </si>
  <si>
    <t>CrowdStrike</t>
  </si>
  <si>
    <t>Global X NASDAQ 100 Covered Call ETF</t>
  </si>
  <si>
    <t>ETF</t>
  </si>
  <si>
    <t>Ark Innovation ETF</t>
  </si>
  <si>
    <t>Silvergate Capital</t>
  </si>
  <si>
    <t>Dividend</t>
  </si>
  <si>
    <t>price_change_24h</t>
  </si>
  <si>
    <t>btc.b</t>
  </si>
  <si>
    <t>Bitcoin Avalanche Bridged (BTC.b)</t>
  </si>
  <si>
    <t>nfp</t>
  </si>
  <si>
    <t>NFPrompt</t>
  </si>
  <si>
    <t>ai</t>
  </si>
  <si>
    <t>Sleepless AI</t>
  </si>
  <si>
    <t>livethe</t>
  </si>
  <si>
    <t>btcb</t>
  </si>
  <si>
    <t>Bitcoin BEP2</t>
  </si>
  <si>
    <t>wavax</t>
  </si>
  <si>
    <t>altlayer</t>
  </si>
  <si>
    <t>alt</t>
  </si>
  <si>
    <t>My Assest</t>
  </si>
  <si>
    <t>Watch List</t>
  </si>
  <si>
    <t>Eigenlayer</t>
  </si>
  <si>
    <t>X</t>
  </si>
  <si>
    <t>Price</t>
  </si>
  <si>
    <t>Value</t>
  </si>
  <si>
    <t>Weight</t>
  </si>
  <si>
    <t>Portfolio Market Value</t>
  </si>
  <si>
    <t>Total Portfolio Return</t>
  </si>
  <si>
    <t>Current Portfolio Return</t>
  </si>
  <si>
    <t>Top Performer Today</t>
  </si>
  <si>
    <t>Worst Performer Today</t>
  </si>
  <si>
    <t>Top Performer Overall</t>
  </si>
  <si>
    <t>Worst Performer Overall</t>
  </si>
  <si>
    <t>Account Value</t>
  </si>
  <si>
    <t>Positions</t>
  </si>
  <si>
    <t>Totol P/L</t>
  </si>
  <si>
    <t>CAGR since 1st Trade</t>
  </si>
  <si>
    <t>Stats</t>
  </si>
  <si>
    <t>Select Start Date</t>
  </si>
  <si>
    <t>Select End Date</t>
  </si>
  <si>
    <t>Cash Deposits</t>
  </si>
  <si>
    <t>Cash Withdrawals</t>
  </si>
  <si>
    <t>Net Deposit</t>
  </si>
  <si>
    <t># of Cash Deposits</t>
  </si>
  <si>
    <t># of Cash Withdrawals</t>
  </si>
  <si>
    <t>Number of Trades</t>
  </si>
  <si>
    <t>Cash Diviends</t>
  </si>
  <si>
    <t>DRIP</t>
  </si>
  <si>
    <t>Total Dividend Income</t>
  </si>
  <si>
    <t>Approx. Dividend Yeild</t>
  </si>
  <si>
    <t>Return Hourly Salary</t>
  </si>
  <si>
    <t>(From Jan 2023)</t>
  </si>
  <si>
    <t>Currency:</t>
  </si>
  <si>
    <t>Trendy Chart</t>
  </si>
  <si>
    <t>Ticker Currency</t>
  </si>
  <si>
    <t>Market Cap</t>
  </si>
  <si>
    <t>Volume</t>
  </si>
  <si>
    <t>P/E Ratio</t>
  </si>
  <si>
    <t>Beta</t>
  </si>
  <si>
    <t>EPS</t>
  </si>
  <si>
    <t>52-Week High</t>
  </si>
  <si>
    <t>52-Week Low</t>
  </si>
  <si>
    <t>1-Year Return</t>
  </si>
  <si>
    <t>Signal</t>
  </si>
  <si>
    <t>market_cap</t>
  </si>
  <si>
    <t>total_volume</t>
  </si>
  <si>
    <t>SUPER</t>
  </si>
  <si>
    <t>Infrastructure</t>
  </si>
  <si>
    <t>Data availability</t>
  </si>
  <si>
    <t>Luanchpool</t>
  </si>
  <si>
    <t>Social Fi</t>
  </si>
  <si>
    <t>Platform Breakdown</t>
  </si>
  <si>
    <t>Deposit</t>
  </si>
  <si>
    <t>Withdrawal</t>
  </si>
  <si>
    <t>Cash Avaliable</t>
  </si>
  <si>
    <t>Dividends</t>
  </si>
  <si>
    <t>Totals:</t>
  </si>
  <si>
    <t>Assets Name</t>
  </si>
  <si>
    <t>Realiesd P/L</t>
  </si>
  <si>
    <t>Cryptocurrency per Sector</t>
  </si>
  <si>
    <t>Portfolio per Cryptocurrency (In USD ONLY)</t>
  </si>
  <si>
    <t>Transfer Send</t>
  </si>
  <si>
    <t>Transfer Deposit</t>
  </si>
  <si>
    <t>Daily Change %</t>
  </si>
  <si>
    <t>TIA</t>
  </si>
  <si>
    <t>RNDR</t>
  </si>
  <si>
    <t>RDNT</t>
  </si>
  <si>
    <t>SNEK</t>
  </si>
  <si>
    <t>WELSH</t>
  </si>
  <si>
    <t>LIVETHE</t>
  </si>
  <si>
    <t/>
  </si>
  <si>
    <t>Individual Screener</t>
  </si>
  <si>
    <t>Screener</t>
  </si>
  <si>
    <t>Asset</t>
  </si>
  <si>
    <t>Buy Price</t>
  </si>
  <si>
    <t>HKD</t>
  </si>
  <si>
    <t>LP Token</t>
  </si>
  <si>
    <t>Assests Name</t>
  </si>
  <si>
    <t>→</t>
  </si>
  <si>
    <t>Target Weight</t>
  </si>
  <si>
    <t>Sell Price</t>
  </si>
  <si>
    <t>COQ</t>
  </si>
  <si>
    <t>COQ Inu</t>
  </si>
  <si>
    <t>fomo</t>
  </si>
  <si>
    <t>One</t>
  </si>
  <si>
    <t>Angus Portfolio Tracker</t>
  </si>
  <si>
    <t>Airdrop/Rewards (Crypto)</t>
  </si>
  <si>
    <t>Pendle</t>
  </si>
  <si>
    <t>withdrawed on 07Feb</t>
  </si>
  <si>
    <t>DYM</t>
  </si>
  <si>
    <t>36.26 AVAX</t>
  </si>
  <si>
    <t>withdrawed 30AVAX on 12Feb</t>
  </si>
  <si>
    <t>Trader Joe</t>
  </si>
  <si>
    <t xml:space="preserve">BTC.B/AVAX
</t>
  </si>
  <si>
    <t>0.035btc.b/50avax</t>
  </si>
  <si>
    <t>42.19(2.88)</t>
  </si>
  <si>
    <t>PENDLE</t>
  </si>
  <si>
    <t>dymension</t>
  </si>
  <si>
    <t>coq-inu</t>
  </si>
  <si>
    <t>pixels</t>
  </si>
  <si>
    <t>dym</t>
  </si>
  <si>
    <t>coq</t>
  </si>
  <si>
    <t>Coq Inu</t>
  </si>
  <si>
    <t>pixel</t>
  </si>
  <si>
    <t>Pixels</t>
  </si>
  <si>
    <t>Stock</t>
  </si>
  <si>
    <t>Today</t>
  </si>
  <si>
    <t>Grayscale Bitcoin Trust</t>
  </si>
  <si>
    <t>PIXEL</t>
  </si>
  <si>
    <t>Struct</t>
  </si>
  <si>
    <t xml:space="preserve">BTC.B/wBTC
</t>
  </si>
  <si>
    <t>0.12BTC.B</t>
  </si>
  <si>
    <t>12Apr</t>
  </si>
  <si>
    <t>28Mar</t>
  </si>
  <si>
    <t>Radiant</t>
  </si>
  <si>
    <t>dlp</t>
  </si>
  <si>
    <t>262.44dlp</t>
  </si>
  <si>
    <t>n/a</t>
  </si>
  <si>
    <t>22Mar</t>
  </si>
  <si>
    <t>Unlock Date</t>
  </si>
  <si>
    <t>08May</t>
  </si>
  <si>
    <t>Puffer</t>
  </si>
  <si>
    <t>People</t>
  </si>
  <si>
    <t>Merlin's Seal</t>
  </si>
  <si>
    <t>Mode</t>
  </si>
  <si>
    <t>Blast</t>
  </si>
  <si>
    <t>Moonwell</t>
  </si>
  <si>
    <t>0.1ETH</t>
  </si>
  <si>
    <t>start at 29Feb</t>
  </si>
  <si>
    <t>Hava</t>
  </si>
  <si>
    <t>Phantom</t>
  </si>
  <si>
    <t>Remarks</t>
  </si>
  <si>
    <t>Kamino</t>
  </si>
  <si>
    <t>Kinza</t>
  </si>
  <si>
    <t>1183 USDT</t>
  </si>
  <si>
    <t>start at 06Mar</t>
  </si>
  <si>
    <t>Stader Lab</t>
  </si>
  <si>
    <t>Alex Lab</t>
  </si>
  <si>
    <t>Stacking DAO</t>
  </si>
  <si>
    <t>281.558 MaticX</t>
  </si>
  <si>
    <t>4.88 SOL</t>
  </si>
  <si>
    <t>1000 USDT</t>
  </si>
  <si>
    <t>start at 04Mar</t>
  </si>
  <si>
    <t>Arkadiko</t>
  </si>
  <si>
    <t>STX/USDA</t>
  </si>
  <si>
    <t>STX/stSTX</t>
  </si>
  <si>
    <t>STX/ALEX</t>
  </si>
  <si>
    <t>puff</t>
  </si>
  <si>
    <t>kinza</t>
  </si>
  <si>
    <t>migrated to liquid Driver</t>
  </si>
  <si>
    <t>Liquid Driver</t>
  </si>
  <si>
    <t>2566.9 liveTHE</t>
  </si>
  <si>
    <t>B2 Buzz</t>
  </si>
  <si>
    <t>Minswap</t>
  </si>
  <si>
    <t>ADA/SNEK</t>
  </si>
  <si>
    <t>bouncebit</t>
  </si>
  <si>
    <t>Rango Bridge</t>
  </si>
  <si>
    <t>start at 05Mar, withdrawed on 14Mar</t>
  </si>
  <si>
    <t>1005 USDC</t>
  </si>
  <si>
    <t>start at 14Mar</t>
  </si>
  <si>
    <t>uSD</t>
  </si>
  <si>
    <t>Linea</t>
  </si>
  <si>
    <t>NIM</t>
  </si>
  <si>
    <t>2024-03-22T18:31:01.861Z</t>
  </si>
  <si>
    <t>Radiant dlp unlock</t>
  </si>
  <si>
    <t>claimed on 26Mar</t>
  </si>
  <si>
    <t>2024-03-26T01:47:52.628Z</t>
  </si>
  <si>
    <t>2024-03-26T01:47:49.601Z</t>
  </si>
  <si>
    <t>2024-03-26T01:45:41.746Z</t>
  </si>
  <si>
    <t>2024-03-26T01:48:02.604Z</t>
  </si>
  <si>
    <t>2024-03-26T01:48:03.363Z</t>
  </si>
  <si>
    <t>2024-03-26T01:47:44.024Z</t>
  </si>
  <si>
    <t>2024-03-26T01:47:42.747Z</t>
  </si>
  <si>
    <t>2024-03-26T01:47:41.026Z</t>
  </si>
  <si>
    <t>2024-03-26T01:47:59.529Z</t>
  </si>
  <si>
    <t>2024-03-26T01:48:05.809Z</t>
  </si>
  <si>
    <t>2024-03-26T01:48:00.186Z</t>
  </si>
  <si>
    <t>2024-03-26T01:47:51.853Z</t>
  </si>
  <si>
    <t>2024-03-26T01:47:47.585Z</t>
  </si>
  <si>
    <t>2024-03-26T01:48:05.447Z</t>
  </si>
  <si>
    <t>2024-03-26T01:47:46.237Z</t>
  </si>
  <si>
    <t>2024-03-26T01:47:44.945Z</t>
  </si>
  <si>
    <t>2024-03-26T01:47:50.078Z</t>
  </si>
  <si>
    <t>2024-03-26T01:47:43.520Z</t>
  </si>
  <si>
    <t>2024-03-26T01:47:46.343Z</t>
  </si>
  <si>
    <t>2024-03-26T01:48:01.259Z</t>
  </si>
  <si>
    <t>2024-03-26T01:47:41.827Z</t>
  </si>
  <si>
    <t>2024-03-26T01:48:02.959Z</t>
  </si>
  <si>
    <t>2024-03-26T01:48:04.246Z</t>
  </si>
  <si>
    <t>2024-03-26T01:47:36.228Z</t>
  </si>
  <si>
    <t>2024-03-26T01:48:04.337Z</t>
  </si>
  <si>
    <t>2024-03-26T01:47:46.544Z</t>
  </si>
  <si>
    <t>2024-03-26T01:47:57.796Z</t>
  </si>
  <si>
    <t>2024-03-26T01:48:04.985Z</t>
  </si>
  <si>
    <t>2024-03-26T01:47:47.255Z</t>
  </si>
  <si>
    <t>2024-03-26T01:47:45.387Z</t>
  </si>
  <si>
    <t>2024-03-26T01:47:58.638Z</t>
  </si>
  <si>
    <t>2024-03-26T01:47:53.729Z</t>
  </si>
  <si>
    <t>2024-03-26T01:47:56.789Z</t>
  </si>
  <si>
    <t>2024-03-26T01:47:49.173Z</t>
  </si>
  <si>
    <t>2024-03-26T01:47:51.631Z</t>
  </si>
  <si>
    <t>2024-03-26T01:47:38.726Z</t>
  </si>
  <si>
    <t>2024-03-26T01:47:58.782Z</t>
  </si>
  <si>
    <t>2024-03-26T01:48:03.160Z</t>
  </si>
  <si>
    <t>2024-03-26T01:47:55.776Z</t>
  </si>
  <si>
    <t>2024-03-26T01:47:39.425Z</t>
  </si>
  <si>
    <t>2024-03-26T01:47:50.786Z</t>
  </si>
  <si>
    <t>2024-03-26T01:48:01.581Z</t>
  </si>
  <si>
    <t>2024-03-26T01:47:57.605Z</t>
  </si>
  <si>
    <t>2024-03-26T01:47:45.699Z</t>
  </si>
  <si>
    <t>2024-03-26T01:47:47.972Z</t>
  </si>
  <si>
    <t>2024-03-26T01:48:03.604Z</t>
  </si>
  <si>
    <t>2024-03-26T01:46:56.405Z</t>
  </si>
  <si>
    <t>2024-03-26T01:47:58.036Z</t>
  </si>
  <si>
    <t>2024-03-26T01:47:38.897Z</t>
  </si>
  <si>
    <t>2024-03-26T01:44:34.306Z</t>
  </si>
  <si>
    <t>2024-03-26T01:47:45.840Z</t>
  </si>
  <si>
    <t>2024-03-26T01:47:49.775Z</t>
  </si>
  <si>
    <t>Claiming 2/4</t>
  </si>
  <si>
    <t>claimed on 15Apr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</si>
</sst>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409]* #,##0.00_);_([$$-409]* \(#,##0.00\);_([$$-409]* &quot;-&quot;??_);_(@_)"/>
    <numFmt numFmtId="165" formatCode="0.0%"/>
    <numFmt numFmtId="166" formatCode="yyyy\-mm\-dd;@"/>
    <numFmt numFmtId="167" formatCode="dd/mm/yyyy;@"/>
    <numFmt numFmtId="168" formatCode="#&quot; Day Trend&quot;"/>
    <numFmt numFmtId="169" formatCode="0.000000000000000000000"/>
    <numFmt numFmtId="170" formatCode="0.0000"/>
    <numFmt numFmtId="171" formatCode="0.00,,,&quot;B&quot;"/>
    <numFmt numFmtId="172" formatCode="0.00,,&quot;M&quot;"/>
    <numFmt numFmtId="173" formatCode="[$-F800]dddd\,\ mmmm\ dd\,\ yyyy"/>
    <numFmt numFmtId="174" formatCode="#&quot; Month Trend&quot;"/>
    <numFmt numFmtId="175" formatCode="_([$$-409]* #,##0.00000000_);_([$$-409]* \(#,##0.00000000\);_([$$-409]* &quot;-&quot;??_);_(@_)"/>
    <numFmt numFmtId="176" formatCode="d/mm/yyyy;@"/>
  </numFmts>
  <fonts count="26">
    <font>
      <sz val="11"/>
      <color theme="1"/>
      <name val="Aptos Narrow"/>
      <family val="2"/>
      <charset val="136"/>
      <scheme val="minor"/>
    </font>
    <font>
      <sz val="11"/>
      <color theme="1"/>
      <name val="Aptos Narrow"/>
      <family val="2"/>
      <charset val="136"/>
      <scheme val="minor"/>
    </font>
    <font>
      <sz val="11"/>
      <color theme="1"/>
      <name val="Calibri"/>
      <family val="2"/>
    </font>
    <font>
      <b/>
      <sz val="11"/>
      <color theme="1"/>
      <name val="Calibri"/>
      <family val="2"/>
    </font>
    <font>
      <sz val="8"/>
      <name val="Aptos Narrow"/>
      <family val="2"/>
      <charset val="136"/>
      <scheme val="minor"/>
    </font>
    <font>
      <b/>
      <sz val="18"/>
      <color theme="0"/>
      <name val="Calibri"/>
      <family val="2"/>
    </font>
    <font>
      <sz val="11"/>
      <name val="Calibri"/>
      <family val="2"/>
      <charset val="136"/>
    </font>
    <font>
      <sz val="11"/>
      <name val="Calibri"/>
      <family val="2"/>
    </font>
    <font>
      <b/>
      <sz val="12"/>
      <color theme="1"/>
      <name val="Calibri"/>
      <family val="2"/>
    </font>
    <font>
      <sz val="11"/>
      <color rgb="FF0F0F0F"/>
      <name val="Calibri"/>
      <family val="2"/>
    </font>
    <font>
      <sz val="11"/>
      <color rgb="FF222222"/>
      <name val="Calibri"/>
      <family val="2"/>
    </font>
    <font>
      <sz val="11"/>
      <color rgb="FF006100"/>
      <name val="Aptos Narrow"/>
      <family val="2"/>
      <charset val="136"/>
      <scheme val="minor"/>
    </font>
    <font>
      <sz val="11"/>
      <color rgb="FF9C0006"/>
      <name val="Aptos Narrow"/>
      <family val="2"/>
      <charset val="136"/>
      <scheme val="minor"/>
    </font>
    <font>
      <sz val="12"/>
      <color theme="1"/>
      <name val="Calibri"/>
      <family val="2"/>
    </font>
    <font>
      <b/>
      <sz val="20"/>
      <color theme="0"/>
      <name val="Calibri"/>
      <family val="2"/>
    </font>
    <font>
      <sz val="24"/>
      <color theme="0"/>
      <name val="Calibri"/>
      <family val="2"/>
    </font>
    <font>
      <b/>
      <sz val="11"/>
      <color rgb="FF000000"/>
      <name val="Calibri"/>
      <family val="2"/>
    </font>
    <font>
      <b/>
      <sz val="14"/>
      <color theme="1"/>
      <name val="Calibri"/>
      <family val="2"/>
    </font>
    <font>
      <b/>
      <sz val="18"/>
      <color theme="1"/>
      <name val="Calibri"/>
      <family val="2"/>
    </font>
    <font>
      <sz val="11"/>
      <color rgb="FF000000"/>
      <name val="Calibri"/>
      <family val="2"/>
    </font>
    <font>
      <b/>
      <sz val="12"/>
      <color rgb="FF000000"/>
      <name val="Calibri"/>
      <family val="2"/>
    </font>
    <font>
      <b/>
      <sz val="26"/>
      <color theme="1"/>
      <name val="Calibri"/>
      <family val="2"/>
    </font>
    <font>
      <b/>
      <sz val="13"/>
      <color theme="1"/>
      <name val="Calibri"/>
      <family val="2"/>
    </font>
    <font>
      <b/>
      <sz val="13"/>
      <color rgb="FF006100"/>
      <name val="Calibri"/>
      <family val="2"/>
    </font>
    <font>
      <b/>
      <sz val="13"/>
      <color rgb="FF9C0006"/>
      <name val="Calibri"/>
      <family val="2"/>
    </font>
    <font>
      <sz val="11"/>
      <color rgb="FFFF0000"/>
      <name val="Calibri"/>
      <family val="2"/>
    </font>
  </fonts>
  <fills count="11">
    <fill>
      <patternFill patternType="none"/>
    </fill>
    <fill>
      <patternFill patternType="gray125"/>
    </fill>
    <fill>
      <patternFill patternType="solid">
        <fgColor rgb="FF002060"/>
        <bgColor indexed="64"/>
      </patternFill>
    </fill>
    <fill>
      <patternFill patternType="solid">
        <fgColor theme="9" tint="0.79998168889431442"/>
        <bgColor theme="9" tint="0.79998168889431442"/>
      </patternFill>
    </fill>
    <fill>
      <patternFill patternType="solid">
        <fgColor theme="3" tint="0.89999084444715716"/>
        <bgColor indexed="64"/>
      </patternFill>
    </fill>
    <fill>
      <patternFill patternType="solid">
        <fgColor rgb="FFC6EFCE"/>
      </patternFill>
    </fill>
    <fill>
      <patternFill patternType="solid">
        <fgColor rgb="FFFFC7CE"/>
      </patternFill>
    </fill>
    <fill>
      <patternFill patternType="solid">
        <fgColor theme="3" tint="0.749992370372631"/>
        <bgColor indexed="64"/>
      </patternFill>
    </fill>
    <fill>
      <patternFill patternType="solid">
        <fgColor rgb="FFA6C9EC"/>
        <bgColor indexed="64"/>
      </patternFill>
    </fill>
    <fill>
      <patternFill patternType="solid">
        <fgColor rgb="FFFFFF00"/>
        <bgColor indexed="64"/>
      </patternFill>
    </fill>
    <fill>
      <patternFill patternType="solid">
        <fgColor rgb="FFFFC000"/>
        <bgColor indexed="64"/>
      </patternFill>
    </fill>
  </fills>
  <borders count="2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194">
    <xf numFmtId="0" fontId="0" fillId="0" borderId="0" xfId="0"/>
    <xf numFmtId="0" fontId="2" fillId="0" borderId="0" xfId="0" applyFont="1"/>
    <xf numFmtId="164" fontId="2" fillId="0" borderId="0" xfId="0" applyNumberFormat="1" applyFont="1"/>
    <xf numFmtId="0" fontId="3" fillId="0" borderId="0" xfId="0" applyFont="1"/>
    <xf numFmtId="165" fontId="2" fillId="0" borderId="0" xfId="1" applyNumberFormat="1" applyFont="1"/>
    <xf numFmtId="165" fontId="2" fillId="0" borderId="0" xfId="0" applyNumberFormat="1" applyFont="1"/>
    <xf numFmtId="0" fontId="2" fillId="0" borderId="0" xfId="0" applyFont="1" applyAlignment="1">
      <alignment horizontal="left"/>
    </xf>
    <xf numFmtId="10" fontId="2" fillId="0" borderId="0" xfId="1" applyNumberFormat="1" applyFont="1"/>
    <xf numFmtId="166" fontId="2" fillId="0" borderId="0" xfId="0" applyNumberFormat="1" applyFont="1"/>
    <xf numFmtId="167" fontId="2" fillId="0" borderId="0" xfId="0" applyNumberFormat="1" applyFont="1"/>
    <xf numFmtId="0" fontId="2" fillId="0" borderId="0" xfId="0" applyFont="1" applyAlignment="1">
      <alignment wrapText="1"/>
    </xf>
    <xf numFmtId="0" fontId="2" fillId="0" borderId="7" xfId="0" applyFont="1" applyBorder="1"/>
    <xf numFmtId="0" fontId="2" fillId="0" borderId="8" xfId="0" applyFont="1" applyBorder="1"/>
    <xf numFmtId="0" fontId="3" fillId="0" borderId="10" xfId="0" applyFont="1" applyBorder="1" applyAlignment="1">
      <alignment horizontal="center" vertical="center" wrapText="1"/>
    </xf>
    <xf numFmtId="0" fontId="2" fillId="0" borderId="4" xfId="0" applyFont="1" applyBorder="1"/>
    <xf numFmtId="0" fontId="2" fillId="0" borderId="5" xfId="0" applyFont="1" applyBorder="1"/>
    <xf numFmtId="167" fontId="2" fillId="0" borderId="5" xfId="0" applyNumberFormat="1" applyFont="1" applyBorder="1"/>
    <xf numFmtId="0" fontId="2" fillId="0" borderId="12" xfId="0" applyFont="1" applyBorder="1"/>
    <xf numFmtId="0" fontId="2" fillId="0" borderId="13" xfId="0" applyFont="1" applyBorder="1"/>
    <xf numFmtId="0" fontId="2" fillId="0" borderId="6" xfId="0" applyFont="1" applyBorder="1"/>
    <xf numFmtId="167" fontId="2" fillId="0" borderId="7" xfId="0" applyNumberFormat="1" applyFont="1" applyBorder="1"/>
    <xf numFmtId="166" fontId="2" fillId="0" borderId="7" xfId="0" applyNumberFormat="1" applyFont="1" applyBorder="1"/>
    <xf numFmtId="0" fontId="6" fillId="0" borderId="0" xfId="0" applyFont="1"/>
    <xf numFmtId="2" fontId="7" fillId="0" borderId="1" xfId="0" applyNumberFormat="1" applyFont="1" applyBorder="1" applyAlignment="1">
      <alignment vertical="center"/>
    </xf>
    <xf numFmtId="2" fontId="7" fillId="0" borderId="2" xfId="0" applyNumberFormat="1" applyFont="1" applyBorder="1" applyAlignment="1">
      <alignment vertical="center"/>
    </xf>
    <xf numFmtId="2" fontId="6" fillId="0" borderId="2" xfId="0" applyNumberFormat="1" applyFont="1" applyBorder="1"/>
    <xf numFmtId="2" fontId="6" fillId="0" borderId="3" xfId="0" applyNumberFormat="1" applyFont="1" applyBorder="1"/>
    <xf numFmtId="2" fontId="2" fillId="0" borderId="0" xfId="0" applyNumberFormat="1" applyFont="1"/>
    <xf numFmtId="2" fontId="2" fillId="0" borderId="7" xfId="0" applyNumberFormat="1" applyFont="1" applyBorder="1"/>
    <xf numFmtId="2" fontId="2" fillId="0" borderId="5" xfId="0" applyNumberFormat="1" applyFont="1" applyBorder="1"/>
    <xf numFmtId="0" fontId="2" fillId="3"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169" fontId="2" fillId="0" borderId="0" xfId="0" applyNumberFormat="1" applyFont="1"/>
    <xf numFmtId="170" fontId="2" fillId="0" borderId="0" xfId="0" applyNumberFormat="1" applyFont="1"/>
    <xf numFmtId="0" fontId="3" fillId="0" borderId="0" xfId="0" applyFont="1" applyAlignment="1">
      <alignment horizontal="center" vertical="center" wrapText="1"/>
    </xf>
    <xf numFmtId="164" fontId="2" fillId="0" borderId="12" xfId="0" applyNumberFormat="1" applyFont="1" applyBorder="1"/>
    <xf numFmtId="0" fontId="10" fillId="4" borderId="0" xfId="0" applyFont="1" applyFill="1"/>
    <xf numFmtId="169" fontId="3" fillId="0" borderId="0" xfId="0" applyNumberFormat="1" applyFont="1"/>
    <xf numFmtId="10" fontId="3" fillId="0" borderId="0" xfId="1" applyNumberFormat="1" applyFont="1" applyFill="1" applyBorder="1"/>
    <xf numFmtId="9" fontId="2" fillId="0" borderId="0" xfId="1" applyFont="1" applyBorder="1"/>
    <xf numFmtId="10" fontId="2" fillId="0" borderId="0" xfId="1" applyNumberFormat="1" applyFont="1" applyBorder="1"/>
    <xf numFmtId="0" fontId="3" fillId="0" borderId="7" xfId="0" applyFont="1" applyBorder="1"/>
    <xf numFmtId="169" fontId="3" fillId="0" borderId="7" xfId="0" applyNumberFormat="1" applyFont="1" applyBorder="1"/>
    <xf numFmtId="0" fontId="3" fillId="7" borderId="6" xfId="0" applyFont="1" applyFill="1" applyBorder="1" applyAlignment="1">
      <alignment horizontal="center" vertical="center" wrapText="1"/>
    </xf>
    <xf numFmtId="0" fontId="3" fillId="7" borderId="7" xfId="0" applyFont="1" applyFill="1" applyBorder="1" applyAlignment="1">
      <alignment horizontal="center" vertical="center" wrapText="1"/>
    </xf>
    <xf numFmtId="168" fontId="3" fillId="7" borderId="7" xfId="0" applyNumberFormat="1" applyFont="1" applyFill="1" applyBorder="1" applyAlignment="1">
      <alignment horizontal="center" vertical="center" wrapText="1"/>
    </xf>
    <xf numFmtId="0" fontId="3" fillId="8" borderId="7" xfId="0" applyFont="1" applyFill="1" applyBorder="1" applyAlignment="1">
      <alignment horizontal="center" vertical="center" wrapText="1"/>
    </xf>
    <xf numFmtId="169" fontId="3" fillId="7" borderId="7" xfId="0" applyNumberFormat="1" applyFont="1" applyFill="1" applyBorder="1" applyAlignment="1">
      <alignment horizontal="center" vertical="center" wrapText="1"/>
    </xf>
    <xf numFmtId="0" fontId="3" fillId="7" borderId="8" xfId="0" applyFont="1" applyFill="1" applyBorder="1" applyAlignment="1">
      <alignment horizontal="center" vertical="center" wrapText="1"/>
    </xf>
    <xf numFmtId="10" fontId="2" fillId="0" borderId="19" xfId="1" applyNumberFormat="1" applyFont="1" applyBorder="1"/>
    <xf numFmtId="0" fontId="2" fillId="0" borderId="21" xfId="0" applyFont="1" applyBorder="1"/>
    <xf numFmtId="0" fontId="13" fillId="0" borderId="0" xfId="0" applyFont="1"/>
    <xf numFmtId="0" fontId="2" fillId="0" borderId="19" xfId="0" applyFont="1" applyBorder="1"/>
    <xf numFmtId="10" fontId="3" fillId="0" borderId="19" xfId="1" applyNumberFormat="1" applyFont="1" applyBorder="1"/>
    <xf numFmtId="10" fontId="3" fillId="0" borderId="22" xfId="1" applyNumberFormat="1" applyFont="1" applyBorder="1"/>
    <xf numFmtId="164" fontId="3" fillId="0" borderId="17" xfId="0" applyNumberFormat="1" applyFont="1" applyBorder="1"/>
    <xf numFmtId="164" fontId="3" fillId="0" borderId="19" xfId="0" applyNumberFormat="1" applyFont="1" applyBorder="1"/>
    <xf numFmtId="14" fontId="3" fillId="0" borderId="19" xfId="0" applyNumberFormat="1" applyFont="1" applyBorder="1"/>
    <xf numFmtId="0" fontId="3" fillId="0" borderId="19" xfId="0" applyFont="1" applyBorder="1"/>
    <xf numFmtId="164" fontId="3" fillId="0" borderId="22" xfId="0" applyNumberFormat="1" applyFont="1" applyBorder="1"/>
    <xf numFmtId="164" fontId="16" fillId="0" borderId="19" xfId="0" applyNumberFormat="1" applyFont="1" applyBorder="1"/>
    <xf numFmtId="0" fontId="17" fillId="0" borderId="0" xfId="0" applyFont="1" applyAlignment="1">
      <alignment horizontal="center"/>
    </xf>
    <xf numFmtId="0" fontId="18" fillId="0" borderId="0" xfId="0" applyFont="1" applyAlignment="1">
      <alignment horizontal="center"/>
    </xf>
    <xf numFmtId="0" fontId="3" fillId="0" borderId="0" xfId="0" applyFont="1" applyAlignment="1">
      <alignment horizontal="center" vertical="center"/>
    </xf>
    <xf numFmtId="0" fontId="3" fillId="0" borderId="19" xfId="0" applyFont="1" applyBorder="1" applyAlignment="1">
      <alignment horizontal="right"/>
    </xf>
    <xf numFmtId="0" fontId="2" fillId="0" borderId="16" xfId="0" applyFont="1" applyBorder="1"/>
    <xf numFmtId="0" fontId="2" fillId="0" borderId="17" xfId="0" applyFont="1" applyBorder="1"/>
    <xf numFmtId="172" fontId="2" fillId="0" borderId="19" xfId="0" applyNumberFormat="1" applyFont="1" applyBorder="1"/>
    <xf numFmtId="4" fontId="2" fillId="0" borderId="19" xfId="0" applyNumberFormat="1" applyFont="1" applyBorder="1"/>
    <xf numFmtId="0" fontId="2" fillId="0" borderId="22" xfId="0" applyFont="1" applyBorder="1"/>
    <xf numFmtId="164" fontId="2" fillId="0" borderId="19" xfId="0" applyNumberFormat="1" applyFont="1" applyBorder="1"/>
    <xf numFmtId="164" fontId="2" fillId="0" borderId="21" xfId="0" applyNumberFormat="1" applyFont="1" applyBorder="1"/>
    <xf numFmtId="0" fontId="2" fillId="0" borderId="18" xfId="0" applyFont="1" applyBorder="1"/>
    <xf numFmtId="0" fontId="2" fillId="0" borderId="20" xfId="0" applyFont="1" applyBorder="1"/>
    <xf numFmtId="0" fontId="2" fillId="0" borderId="21" xfId="0" applyFont="1" applyBorder="1" applyAlignment="1">
      <alignment horizontal="center"/>
    </xf>
    <xf numFmtId="10" fontId="2" fillId="0" borderId="0" xfId="1" applyNumberFormat="1" applyFont="1" applyFill="1" applyBorder="1"/>
    <xf numFmtId="0" fontId="2" fillId="0" borderId="0" xfId="0" applyFont="1" applyAlignment="1">
      <alignment horizontal="center"/>
    </xf>
    <xf numFmtId="10" fontId="2" fillId="0" borderId="21" xfId="1" applyNumberFormat="1" applyFont="1" applyBorder="1"/>
    <xf numFmtId="0" fontId="3" fillId="0" borderId="15" xfId="0" applyFont="1" applyBorder="1"/>
    <xf numFmtId="0" fontId="3" fillId="0" borderId="16" xfId="0" applyFont="1" applyBorder="1"/>
    <xf numFmtId="0" fontId="3" fillId="0" borderId="17" xfId="0" applyFont="1" applyBorder="1"/>
    <xf numFmtId="172" fontId="2" fillId="0" borderId="0" xfId="0" applyNumberFormat="1" applyFont="1"/>
    <xf numFmtId="4" fontId="2" fillId="0" borderId="0" xfId="0" applyNumberFormat="1" applyFont="1"/>
    <xf numFmtId="171" fontId="2" fillId="0" borderId="0" xfId="0" applyNumberFormat="1" applyFont="1"/>
    <xf numFmtId="0" fontId="2" fillId="0" borderId="0" xfId="0" applyFont="1" applyAlignment="1">
      <alignment horizontal="center" vertical="center"/>
    </xf>
    <xf numFmtId="0" fontId="17" fillId="0" borderId="0" xfId="0" applyFont="1" applyAlignment="1">
      <alignment horizontal="center" vertical="center"/>
    </xf>
    <xf numFmtId="0" fontId="2" fillId="0" borderId="22" xfId="0" applyFont="1" applyBorder="1" applyAlignment="1">
      <alignment horizontal="center"/>
    </xf>
    <xf numFmtId="0" fontId="2" fillId="0" borderId="19" xfId="0" applyFont="1" applyBorder="1" applyAlignment="1">
      <alignment horizontal="left"/>
    </xf>
    <xf numFmtId="164" fontId="2" fillId="0" borderId="0" xfId="0" applyNumberFormat="1" applyFont="1" applyAlignment="1">
      <alignment horizontal="left"/>
    </xf>
    <xf numFmtId="10" fontId="2" fillId="0" borderId="0" xfId="1" applyNumberFormat="1" applyFont="1" applyBorder="1" applyAlignment="1">
      <alignment horizontal="center"/>
    </xf>
    <xf numFmtId="14" fontId="2" fillId="0" borderId="0" xfId="0" applyNumberFormat="1" applyFont="1" applyAlignment="1">
      <alignment horizontal="center"/>
    </xf>
    <xf numFmtId="0" fontId="8" fillId="0" borderId="15" xfId="0" applyFont="1" applyBorder="1"/>
    <xf numFmtId="0" fontId="2" fillId="0" borderId="18" xfId="0" applyFont="1" applyBorder="1" applyAlignment="1">
      <alignment horizontal="left"/>
    </xf>
    <xf numFmtId="0" fontId="2" fillId="0" borderId="20" xfId="0" applyFont="1" applyBorder="1" applyAlignment="1">
      <alignment horizontal="left"/>
    </xf>
    <xf numFmtId="174" fontId="3" fillId="7" borderId="7" xfId="0" applyNumberFormat="1" applyFont="1" applyFill="1" applyBorder="1" applyAlignment="1">
      <alignment horizontal="center" vertical="center" wrapText="1"/>
    </xf>
    <xf numFmtId="0" fontId="2" fillId="0" borderId="0" xfId="0" applyFont="1" applyAlignment="1">
      <alignment vertical="center"/>
    </xf>
    <xf numFmtId="9" fontId="2" fillId="0" borderId="0" xfId="1" applyFont="1" applyFill="1" applyBorder="1"/>
    <xf numFmtId="165" fontId="2" fillId="0" borderId="19" xfId="1" applyNumberFormat="1" applyFont="1" applyBorder="1"/>
    <xf numFmtId="165" fontId="2" fillId="0" borderId="22" xfId="1" applyNumberFormat="1" applyFont="1" applyBorder="1"/>
    <xf numFmtId="167" fontId="2" fillId="0" borderId="0" xfId="0" applyNumberFormat="1" applyFont="1" applyAlignment="1">
      <alignment horizontal="center"/>
    </xf>
    <xf numFmtId="14" fontId="2" fillId="0" borderId="0" xfId="0" applyNumberFormat="1" applyFont="1"/>
    <xf numFmtId="0" fontId="3" fillId="0" borderId="0" xfId="0" applyFont="1" applyAlignment="1">
      <alignment vertical="center"/>
    </xf>
    <xf numFmtId="0" fontId="3" fillId="0" borderId="18" xfId="0" applyFont="1" applyBorder="1"/>
    <xf numFmtId="0" fontId="23" fillId="5" borderId="18" xfId="2" applyFont="1" applyBorder="1" applyAlignment="1">
      <alignment horizontal="center" vertical="center"/>
    </xf>
    <xf numFmtId="10" fontId="23" fillId="5" borderId="0" xfId="2" applyNumberFormat="1" applyFont="1" applyBorder="1" applyAlignment="1">
      <alignment horizontal="center" vertical="center"/>
    </xf>
    <xf numFmtId="10" fontId="24" fillId="6" borderId="19" xfId="3" applyNumberFormat="1" applyFont="1" applyBorder="1" applyAlignment="1">
      <alignment horizontal="center" vertical="center"/>
    </xf>
    <xf numFmtId="10" fontId="23" fillId="5" borderId="21" xfId="2" applyNumberFormat="1" applyFont="1" applyBorder="1" applyAlignment="1">
      <alignment horizontal="center" vertical="center"/>
    </xf>
    <xf numFmtId="0" fontId="24" fillId="6" borderId="20" xfId="3" applyFont="1" applyBorder="1" applyAlignment="1">
      <alignment horizontal="center" vertical="center"/>
    </xf>
    <xf numFmtId="10" fontId="24" fillId="6" borderId="22" xfId="3" applyNumberFormat="1" applyFont="1" applyBorder="1" applyAlignment="1">
      <alignment horizontal="center" vertical="center"/>
    </xf>
    <xf numFmtId="0" fontId="24" fillId="6" borderId="18" xfId="3" applyFont="1" applyBorder="1" applyAlignment="1">
      <alignment horizontal="center" vertical="center"/>
    </xf>
    <xf numFmtId="164" fontId="22" fillId="0" borderId="0" xfId="0" applyNumberFormat="1" applyFont="1"/>
    <xf numFmtId="10" fontId="22" fillId="0" borderId="19" xfId="1" applyNumberFormat="1" applyFont="1" applyBorder="1"/>
    <xf numFmtId="164" fontId="22" fillId="0" borderId="21" xfId="0" applyNumberFormat="1" applyFont="1" applyBorder="1"/>
    <xf numFmtId="10" fontId="22" fillId="0" borderId="22" xfId="1" applyNumberFormat="1" applyFont="1" applyBorder="1"/>
    <xf numFmtId="0" fontId="23" fillId="5" borderId="20" xfId="2" applyFont="1" applyBorder="1" applyAlignment="1">
      <alignment horizontal="center" vertical="center"/>
    </xf>
    <xf numFmtId="176" fontId="2" fillId="0" borderId="0" xfId="0" applyNumberFormat="1" applyFont="1"/>
    <xf numFmtId="0" fontId="9" fillId="0" borderId="0" xfId="0" applyFont="1"/>
    <xf numFmtId="2" fontId="7" fillId="0" borderId="0" xfId="0" applyNumberFormat="1" applyFont="1"/>
    <xf numFmtId="164" fontId="9" fillId="0" borderId="0" xfId="0" applyNumberFormat="1" applyFont="1"/>
    <xf numFmtId="164" fontId="3" fillId="0" borderId="0" xfId="0" applyNumberFormat="1" applyFont="1"/>
    <xf numFmtId="10" fontId="3" fillId="0" borderId="0" xfId="1" applyNumberFormat="1" applyFont="1" applyBorder="1"/>
    <xf numFmtId="175" fontId="2" fillId="0" borderId="0" xfId="0" applyNumberFormat="1" applyFont="1"/>
    <xf numFmtId="0" fontId="2" fillId="10" borderId="0" xfId="0" applyFont="1" applyFill="1"/>
    <xf numFmtId="0" fontId="2" fillId="9" borderId="0" xfId="0" applyFont="1" applyFill="1"/>
    <xf numFmtId="0" fontId="19" fillId="0" borderId="0" xfId="0" applyFont="1"/>
    <xf numFmtId="0" fontId="3" fillId="0" borderId="20" xfId="0" applyFont="1" applyBorder="1"/>
    <xf numFmtId="164" fontId="3" fillId="0" borderId="21" xfId="0" applyNumberFormat="1" applyFont="1" applyBorder="1"/>
    <xf numFmtId="1" fontId="3" fillId="0" borderId="21" xfId="0" applyNumberFormat="1" applyFont="1" applyBorder="1"/>
    <xf numFmtId="0" fontId="3" fillId="4" borderId="18" xfId="0" applyFont="1" applyFill="1" applyBorder="1"/>
    <xf numFmtId="0" fontId="3" fillId="4" borderId="0" xfId="0" applyFont="1" applyFill="1"/>
    <xf numFmtId="0" fontId="3" fillId="4" borderId="19" xfId="0" applyFont="1" applyFill="1" applyBorder="1"/>
    <xf numFmtId="1" fontId="7" fillId="0" borderId="0" xfId="0" applyNumberFormat="1" applyFont="1"/>
    <xf numFmtId="0" fontId="25" fillId="0" borderId="0" xfId="0" applyFont="1"/>
    <xf numFmtId="0" fontId="2" fillId="0" borderId="0" xfId="0" pivotButton="1" applyFont="1"/>
    <xf numFmtId="10" fontId="2" fillId="0" borderId="0" xfId="0" applyNumberFormat="1" applyFont="1"/>
    <xf numFmtId="173" fontId="3" fillId="0" borderId="0" xfId="0" applyNumberFormat="1" applyFont="1" applyAlignment="1">
      <alignment horizontal="center"/>
    </xf>
    <xf numFmtId="0" fontId="3" fillId="0" borderId="0" xfId="0" applyFont="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0" borderId="10" xfId="0" applyFont="1" applyBorder="1" applyAlignment="1">
      <alignment horizontal="center" wrapText="1"/>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applyAlignment="1">
      <alignment horizontal="center"/>
    </xf>
    <xf numFmtId="0" fontId="15" fillId="2" borderId="4" xfId="0" applyFont="1" applyFill="1" applyBorder="1" applyAlignment="1">
      <alignment horizontal="center" vertical="center"/>
    </xf>
    <xf numFmtId="0" fontId="15" fillId="2" borderId="5"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14" xfId="0" applyFont="1" applyFill="1" applyBorder="1" applyAlignment="1">
      <alignment horizontal="center" vertical="center"/>
    </xf>
    <xf numFmtId="0" fontId="21" fillId="0" borderId="0" xfId="0" applyFont="1" applyAlignment="1">
      <alignment horizontal="center"/>
    </xf>
    <xf numFmtId="164" fontId="2" fillId="0" borderId="0" xfId="0" applyNumberFormat="1" applyFont="1"/>
    <xf numFmtId="164" fontId="2" fillId="0" borderId="19" xfId="0" applyNumberFormat="1" applyFont="1" applyBorder="1"/>
    <xf numFmtId="0" fontId="2" fillId="0" borderId="19" xfId="0" applyFont="1" applyBorder="1" applyAlignment="1">
      <alignment horizontal="center"/>
    </xf>
    <xf numFmtId="0" fontId="22" fillId="0" borderId="15" xfId="0" applyFont="1" applyBorder="1" applyAlignment="1">
      <alignment horizontal="left" vertical="center"/>
    </xf>
    <xf numFmtId="0" fontId="22" fillId="0" borderId="16" xfId="0" applyFont="1" applyBorder="1" applyAlignment="1">
      <alignment horizontal="left" vertical="center"/>
    </xf>
    <xf numFmtId="0" fontId="22" fillId="0" borderId="18"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0" fontId="22" fillId="0" borderId="21" xfId="0" applyFont="1" applyBorder="1" applyAlignment="1">
      <alignment horizontal="left"/>
    </xf>
    <xf numFmtId="164" fontId="22" fillId="0" borderId="16" xfId="0" applyNumberFormat="1" applyFont="1" applyBorder="1" applyAlignment="1">
      <alignment horizontal="center" vertical="center"/>
    </xf>
    <xf numFmtId="164" fontId="22" fillId="0" borderId="17" xfId="0" applyNumberFormat="1" applyFont="1" applyBorder="1" applyAlignment="1">
      <alignment horizontal="center" vertical="center"/>
    </xf>
    <xf numFmtId="164" fontId="22" fillId="0" borderId="0" xfId="0" applyNumberFormat="1" applyFont="1" applyAlignment="1">
      <alignment horizontal="center"/>
    </xf>
    <xf numFmtId="164" fontId="22" fillId="0" borderId="19" xfId="0" applyNumberFormat="1"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22" fillId="0" borderId="15" xfId="0" applyFont="1" applyBorder="1" applyAlignment="1">
      <alignment horizontal="center"/>
    </xf>
    <xf numFmtId="0" fontId="22" fillId="0" borderId="16" xfId="0" applyFont="1" applyBorder="1" applyAlignment="1">
      <alignment horizontal="center"/>
    </xf>
    <xf numFmtId="0" fontId="22" fillId="0" borderId="18" xfId="0" applyFont="1" applyBorder="1" applyAlignment="1">
      <alignment horizontal="center"/>
    </xf>
    <xf numFmtId="0" fontId="22" fillId="0" borderId="0" xfId="0" applyFont="1" applyAlignment="1">
      <alignment horizontal="center"/>
    </xf>
    <xf numFmtId="0" fontId="22" fillId="0" borderId="17" xfId="0" applyFont="1" applyBorder="1" applyAlignment="1">
      <alignment horizontal="center"/>
    </xf>
    <xf numFmtId="0" fontId="3" fillId="0" borderId="18"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164" fontId="2" fillId="0" borderId="21" xfId="0" applyNumberFormat="1" applyFont="1" applyBorder="1" applyAlignment="1">
      <alignment horizontal="left"/>
    </xf>
    <xf numFmtId="164" fontId="2" fillId="0" borderId="22" xfId="0" applyNumberFormat="1" applyFont="1" applyBorder="1" applyAlignment="1">
      <alignment horizontal="left"/>
    </xf>
    <xf numFmtId="0" fontId="20" fillId="0" borderId="15" xfId="0" applyFont="1" applyBorder="1" applyAlignment="1">
      <alignment horizontal="center"/>
    </xf>
    <xf numFmtId="0" fontId="20" fillId="0" borderId="16" xfId="0" applyFont="1" applyBorder="1" applyAlignment="1">
      <alignment horizontal="center"/>
    </xf>
    <xf numFmtId="0" fontId="20" fillId="0" borderId="17"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8" fillId="0" borderId="17" xfId="0" applyFont="1" applyBorder="1" applyAlignment="1">
      <alignment horizontal="center"/>
    </xf>
    <xf numFmtId="164" fontId="2" fillId="0" borderId="0" xfId="0" applyNumberFormat="1" applyFont="1" applyAlignment="1">
      <alignment horizontal="left"/>
    </xf>
    <xf numFmtId="164" fontId="2" fillId="0" borderId="19" xfId="0" applyNumberFormat="1" applyFont="1" applyBorder="1" applyAlignment="1">
      <alignment horizontal="left"/>
    </xf>
    <xf numFmtId="10" fontId="2" fillId="0" borderId="0" xfId="1" applyNumberFormat="1" applyFont="1" applyBorder="1" applyAlignment="1">
      <alignment horizontal="center"/>
    </xf>
    <xf numFmtId="10" fontId="2" fillId="0" borderId="19" xfId="1" applyNumberFormat="1" applyFont="1" applyBorder="1" applyAlignment="1">
      <alignment horizontal="center"/>
    </xf>
    <xf numFmtId="0" fontId="2" fillId="0" borderId="18" xfId="0" applyFont="1" applyBorder="1" applyAlignment="1">
      <alignment horizontal="center"/>
    </xf>
    <xf numFmtId="0" fontId="22" fillId="0" borderId="19"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cellXfs>
  <cellStyles count="4">
    <cellStyle name="Bad" xfId="3" builtinId="27"/>
    <cellStyle name="Good" xfId="2" builtinId="26"/>
    <cellStyle name="Normal" xfId="0" builtinId="0"/>
    <cellStyle name="Percent" xfId="1" builtinId="5"/>
  </cellStyles>
  <dxfs count="26">
    <dxf>
      <fill>
        <patternFill>
          <bgColor theme="3" tint="0.89996032593768116"/>
        </patternFill>
      </fill>
    </dxf>
    <dxf>
      <fill>
        <patternFill>
          <bgColor theme="3" tint="0.89996032593768116"/>
        </patternFill>
      </fill>
    </dxf>
    <dxf>
      <fill>
        <patternFill>
          <bgColor theme="3" tint="0.89996032593768116"/>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numFmt numFmtId="14" formatCode="0.0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 Class Ratio</a:t>
            </a:r>
          </a:p>
        </c:rich>
      </c:tx>
      <c:layout>
        <c:manualLayout>
          <c:xMode val="edge"/>
          <c:yMode val="edge"/>
          <c:x val="0.2912149650358453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Portfolio_v2!$AT$71</c:f>
              <c:strCache>
                <c:ptCount val="1"/>
                <c:pt idx="0">
                  <c:v>Asset Class Actual Weight</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0E1-482B-9A27-D538BFFFDC1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FE8-4A77-AD84-3D4E2203822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FE8-4A77-AD84-3D4E2203822D}"/>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E1-482B-9A27-D538BFFFDC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Portfolio_v2!$AS$72:$AS$74</c:f>
              <c:strCache>
                <c:ptCount val="3"/>
                <c:pt idx="0">
                  <c:v>Crypto</c:v>
                </c:pt>
                <c:pt idx="1">
                  <c:v>ETF</c:v>
                </c:pt>
                <c:pt idx="2">
                  <c:v>Stocks</c:v>
                </c:pt>
              </c:strCache>
            </c:strRef>
          </c:cat>
          <c:val>
            <c:numRef>
              <c:f>Portfolio_v2!$AT$72:$AT$74</c:f>
              <c:numCache>
                <c:formatCode>0.00%</c:formatCode>
                <c:ptCount val="3"/>
                <c:pt idx="0">
                  <c:v>0.81515627319794193</c:v>
                </c:pt>
                <c:pt idx="1">
                  <c:v>9.6920480161563141E-3</c:v>
                </c:pt>
                <c:pt idx="2">
                  <c:v>0.17515167878590182</c:v>
                </c:pt>
              </c:numCache>
            </c:numRef>
          </c:val>
          <c:extLst>
            <c:ext xmlns:c16="http://schemas.microsoft.com/office/drawing/2014/chart" uri="{C3380CC4-5D6E-409C-BE32-E72D297353CC}">
              <c16:uniqueId val="{00000000-00E1-482B-9A27-D538BFFFDC1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595208835889729"/>
          <c:y val="0.3969087197433655"/>
          <c:w val="0.17354512766829003"/>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Historical Portfolio Value(USD)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'Historical Price'!$B$301</c:f>
              <c:strCache>
                <c:ptCount val="1"/>
                <c:pt idx="0">
                  <c:v>Crypto</c:v>
                </c:pt>
              </c:strCache>
            </c:strRef>
          </c:tx>
          <c:spPr>
            <a:ln w="28575" cap="rnd">
              <a:solidFill>
                <a:schemeClr val="accent1"/>
              </a:solidFill>
              <a:round/>
            </a:ln>
            <a:effectLst/>
          </c:spPr>
          <c:marker>
            <c:symbol val="none"/>
          </c:marker>
          <c:cat>
            <c:strRef>
              <c:f>'Historical Price'!$C$300:$R$300</c:f>
              <c:strCache>
                <c:ptCount val="16"/>
                <c:pt idx="0">
                  <c:v>01/01/2023</c:v>
                </c:pt>
                <c:pt idx="1">
                  <c:v>01/02/2023</c:v>
                </c:pt>
                <c:pt idx="2">
                  <c:v>01/03/2023</c:v>
                </c:pt>
                <c:pt idx="3">
                  <c:v>01/04/2023</c:v>
                </c:pt>
                <c:pt idx="4">
                  <c:v>01/05/2023</c:v>
                </c:pt>
                <c:pt idx="5">
                  <c:v>01/06/2023</c:v>
                </c:pt>
                <c:pt idx="6">
                  <c:v>01/07/2023</c:v>
                </c:pt>
                <c:pt idx="7">
                  <c:v>01/08/2023</c:v>
                </c:pt>
                <c:pt idx="8">
                  <c:v>01/09/2023</c:v>
                </c:pt>
                <c:pt idx="9">
                  <c:v>01/10/2023</c:v>
                </c:pt>
                <c:pt idx="10">
                  <c:v>01/11/2023</c:v>
                </c:pt>
                <c:pt idx="11">
                  <c:v>01/12/2023</c:v>
                </c:pt>
                <c:pt idx="12">
                  <c:v>01/01/2024</c:v>
                </c:pt>
                <c:pt idx="13">
                  <c:v>01/02/2024</c:v>
                </c:pt>
                <c:pt idx="14">
                  <c:v>01/03/2024</c:v>
                </c:pt>
                <c:pt idx="15">
                  <c:v>Today</c:v>
                </c:pt>
              </c:strCache>
            </c:strRef>
          </c:cat>
          <c:val>
            <c:numRef>
              <c:f>'Historical Price'!$C$301:$R$301</c:f>
              <c:numCache>
                <c:formatCode>General</c:formatCode>
                <c:ptCount val="16"/>
                <c:pt idx="0">
                  <c:v>33305.947041736814</c:v>
                </c:pt>
                <c:pt idx="1">
                  <c:v>46088.453805087418</c:v>
                </c:pt>
                <c:pt idx="2">
                  <c:v>46099.863232476237</c:v>
                </c:pt>
                <c:pt idx="3">
                  <c:v>52750.442560666204</c:v>
                </c:pt>
                <c:pt idx="4">
                  <c:v>54286.541673336047</c:v>
                </c:pt>
                <c:pt idx="5">
                  <c:v>51776.013726931116</c:v>
                </c:pt>
                <c:pt idx="6">
                  <c:v>54515.652403046115</c:v>
                </c:pt>
                <c:pt idx="7">
                  <c:v>52756.817662738256</c:v>
                </c:pt>
                <c:pt idx="8">
                  <c:v>46340.289260335157</c:v>
                </c:pt>
                <c:pt idx="9">
                  <c:v>47435.579894534239</c:v>
                </c:pt>
                <c:pt idx="10">
                  <c:v>59956.16098345544</c:v>
                </c:pt>
                <c:pt idx="11">
                  <c:v>67594.608892091099</c:v>
                </c:pt>
                <c:pt idx="12">
                  <c:v>81088.543876522992</c:v>
                </c:pt>
                <c:pt idx="13">
                  <c:v>81593.015467246427</c:v>
                </c:pt>
                <c:pt idx="14">
                  <c:v>118178.85706511136</c:v>
                </c:pt>
                <c:pt idx="15">
                  <c:v>130467.8942151315</c:v>
                </c:pt>
              </c:numCache>
            </c:numRef>
          </c:val>
          <c:smooth val="0"/>
          <c:extLst>
            <c:ext xmlns:c16="http://schemas.microsoft.com/office/drawing/2014/chart" uri="{C3380CC4-5D6E-409C-BE32-E72D297353CC}">
              <c16:uniqueId val="{00000000-41CC-4F14-8A3A-B04AF040B071}"/>
            </c:ext>
          </c:extLst>
        </c:ser>
        <c:ser>
          <c:idx val="1"/>
          <c:order val="1"/>
          <c:tx>
            <c:strRef>
              <c:f>'Historical Price'!$B$302</c:f>
              <c:strCache>
                <c:ptCount val="1"/>
                <c:pt idx="0">
                  <c:v>Stock</c:v>
                </c:pt>
              </c:strCache>
            </c:strRef>
          </c:tx>
          <c:spPr>
            <a:ln w="28575" cap="rnd">
              <a:solidFill>
                <a:schemeClr val="accent2"/>
              </a:solidFill>
              <a:round/>
            </a:ln>
            <a:effectLst/>
          </c:spPr>
          <c:marker>
            <c:symbol val="none"/>
          </c:marker>
          <c:cat>
            <c:strRef>
              <c:f>'Historical Price'!$C$300:$R$300</c:f>
              <c:strCache>
                <c:ptCount val="16"/>
                <c:pt idx="0">
                  <c:v>01/01/2023</c:v>
                </c:pt>
                <c:pt idx="1">
                  <c:v>01/02/2023</c:v>
                </c:pt>
                <c:pt idx="2">
                  <c:v>01/03/2023</c:v>
                </c:pt>
                <c:pt idx="3">
                  <c:v>01/04/2023</c:v>
                </c:pt>
                <c:pt idx="4">
                  <c:v>01/05/2023</c:v>
                </c:pt>
                <c:pt idx="5">
                  <c:v>01/06/2023</c:v>
                </c:pt>
                <c:pt idx="6">
                  <c:v>01/07/2023</c:v>
                </c:pt>
                <c:pt idx="7">
                  <c:v>01/08/2023</c:v>
                </c:pt>
                <c:pt idx="8">
                  <c:v>01/09/2023</c:v>
                </c:pt>
                <c:pt idx="9">
                  <c:v>01/10/2023</c:v>
                </c:pt>
                <c:pt idx="10">
                  <c:v>01/11/2023</c:v>
                </c:pt>
                <c:pt idx="11">
                  <c:v>01/12/2023</c:v>
                </c:pt>
                <c:pt idx="12">
                  <c:v>01/01/2024</c:v>
                </c:pt>
                <c:pt idx="13">
                  <c:v>01/02/2024</c:v>
                </c:pt>
                <c:pt idx="14">
                  <c:v>01/03/2024</c:v>
                </c:pt>
                <c:pt idx="15">
                  <c:v>Today</c:v>
                </c:pt>
              </c:strCache>
            </c:strRef>
          </c:cat>
          <c:val>
            <c:numRef>
              <c:f>'Historical Price'!$C$302:$R$302</c:f>
              <c:numCache>
                <c:formatCode>General</c:formatCode>
                <c:ptCount val="16"/>
                <c:pt idx="0">
                  <c:v>17.899999999999999</c:v>
                </c:pt>
                <c:pt idx="1">
                  <c:v>35.85</c:v>
                </c:pt>
                <c:pt idx="2">
                  <c:v>1015.4</c:v>
                </c:pt>
                <c:pt idx="3">
                  <c:v>2422.2399999999998</c:v>
                </c:pt>
                <c:pt idx="4">
                  <c:v>2828.6800000000003</c:v>
                </c:pt>
                <c:pt idx="5">
                  <c:v>4412.88</c:v>
                </c:pt>
                <c:pt idx="6">
                  <c:v>6415.67</c:v>
                </c:pt>
                <c:pt idx="7">
                  <c:v>9202.82</c:v>
                </c:pt>
                <c:pt idx="8">
                  <c:v>8726.2000000000007</c:v>
                </c:pt>
                <c:pt idx="9">
                  <c:v>8727.65</c:v>
                </c:pt>
                <c:pt idx="10">
                  <c:v>9295.6299999999992</c:v>
                </c:pt>
                <c:pt idx="11">
                  <c:v>14147.91</c:v>
                </c:pt>
                <c:pt idx="12">
                  <c:v>16748.310000000001</c:v>
                </c:pt>
                <c:pt idx="13">
                  <c:v>17758.449999999997</c:v>
                </c:pt>
                <c:pt idx="14">
                  <c:v>34850.549999999996</c:v>
                </c:pt>
                <c:pt idx="15">
                  <c:v>28406.480000000003</c:v>
                </c:pt>
              </c:numCache>
            </c:numRef>
          </c:val>
          <c:smooth val="0"/>
          <c:extLst>
            <c:ext xmlns:c16="http://schemas.microsoft.com/office/drawing/2014/chart" uri="{C3380CC4-5D6E-409C-BE32-E72D297353CC}">
              <c16:uniqueId val="{00000001-41CC-4F14-8A3A-B04AF040B071}"/>
            </c:ext>
          </c:extLst>
        </c:ser>
        <c:ser>
          <c:idx val="2"/>
          <c:order val="2"/>
          <c:tx>
            <c:strRef>
              <c:f>'Historical Price'!$B$303</c:f>
              <c:strCache>
                <c:ptCount val="1"/>
                <c:pt idx="0">
                  <c:v>ETF</c:v>
                </c:pt>
              </c:strCache>
            </c:strRef>
          </c:tx>
          <c:spPr>
            <a:ln w="28575" cap="rnd">
              <a:solidFill>
                <a:schemeClr val="accent3"/>
              </a:solidFill>
              <a:round/>
            </a:ln>
            <a:effectLst/>
          </c:spPr>
          <c:marker>
            <c:symbol val="none"/>
          </c:marker>
          <c:cat>
            <c:strRef>
              <c:f>'Historical Price'!$C$300:$R$300</c:f>
              <c:strCache>
                <c:ptCount val="16"/>
                <c:pt idx="0">
                  <c:v>01/01/2023</c:v>
                </c:pt>
                <c:pt idx="1">
                  <c:v>01/02/2023</c:v>
                </c:pt>
                <c:pt idx="2">
                  <c:v>01/03/2023</c:v>
                </c:pt>
                <c:pt idx="3">
                  <c:v>01/04/2023</c:v>
                </c:pt>
                <c:pt idx="4">
                  <c:v>01/05/2023</c:v>
                </c:pt>
                <c:pt idx="5">
                  <c:v>01/06/2023</c:v>
                </c:pt>
                <c:pt idx="6">
                  <c:v>01/07/2023</c:v>
                </c:pt>
                <c:pt idx="7">
                  <c:v>01/08/2023</c:v>
                </c:pt>
                <c:pt idx="8">
                  <c:v>01/09/2023</c:v>
                </c:pt>
                <c:pt idx="9">
                  <c:v>01/10/2023</c:v>
                </c:pt>
                <c:pt idx="10">
                  <c:v>01/11/2023</c:v>
                </c:pt>
                <c:pt idx="11">
                  <c:v>01/12/2023</c:v>
                </c:pt>
                <c:pt idx="12">
                  <c:v>01/01/2024</c:v>
                </c:pt>
                <c:pt idx="13">
                  <c:v>01/02/2024</c:v>
                </c:pt>
                <c:pt idx="14">
                  <c:v>01/03/2024</c:v>
                </c:pt>
                <c:pt idx="15">
                  <c:v>Today</c:v>
                </c:pt>
              </c:strCache>
            </c:strRef>
          </c:cat>
          <c:val>
            <c:numRef>
              <c:f>'Historical Price'!$C$303:$R$303</c:f>
              <c:numCache>
                <c:formatCode>General</c:formatCode>
                <c:ptCount val="16"/>
                <c:pt idx="0">
                  <c:v>0</c:v>
                </c:pt>
                <c:pt idx="1">
                  <c:v>211.8</c:v>
                </c:pt>
                <c:pt idx="2">
                  <c:v>525.86</c:v>
                </c:pt>
                <c:pt idx="3">
                  <c:v>135.5</c:v>
                </c:pt>
                <c:pt idx="4">
                  <c:v>118.56</c:v>
                </c:pt>
                <c:pt idx="5">
                  <c:v>146.72</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41CC-4F14-8A3A-B04AF040B071}"/>
            </c:ext>
          </c:extLst>
        </c:ser>
        <c:dLbls>
          <c:showLegendKey val="0"/>
          <c:showVal val="0"/>
          <c:showCatName val="0"/>
          <c:showSerName val="0"/>
          <c:showPercent val="0"/>
          <c:showBubbleSize val="0"/>
        </c:dLbls>
        <c:smooth val="0"/>
        <c:axId val="747938320"/>
        <c:axId val="1125231360"/>
      </c:lineChart>
      <c:catAx>
        <c:axId val="7479383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231360"/>
        <c:crosses val="autoZero"/>
        <c:auto val="1"/>
        <c:lblAlgn val="ctr"/>
        <c:lblOffset val="100"/>
        <c:noMultiLvlLbl val="1"/>
      </c:catAx>
      <c:valAx>
        <c:axId val="112523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938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Historical Portfolio Value (USD)</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319974224778791E-2"/>
          <c:y val="9.7483698113619371E-2"/>
          <c:w val="0.89913112357961245"/>
          <c:h val="0.69543832020997376"/>
        </c:manualLayout>
      </c:layout>
      <c:lineChart>
        <c:grouping val="stacked"/>
        <c:varyColors val="0"/>
        <c:ser>
          <c:idx val="0"/>
          <c:order val="0"/>
          <c:tx>
            <c:strRef>
              <c:f>'Historical Price'!$B$301</c:f>
              <c:strCache>
                <c:ptCount val="1"/>
                <c:pt idx="0">
                  <c:v>Crypto</c:v>
                </c:pt>
              </c:strCache>
            </c:strRef>
          </c:tx>
          <c:spPr>
            <a:ln w="28575" cap="rnd">
              <a:solidFill>
                <a:schemeClr val="accent1"/>
              </a:solidFill>
              <a:round/>
            </a:ln>
            <a:effectLst/>
          </c:spPr>
          <c:marker>
            <c:symbol val="none"/>
          </c:marker>
          <c:cat>
            <c:numRef>
              <c:f>'Historical Price'!$C$300:$Q$300</c:f>
              <c:numCache>
                <c:formatCode>dd/mm/yyyy;@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'Historical Price'!$C$301:$Q$301</c:f>
              <c:numCache>
                <c:formatCode>General</c:formatCode>
                <c:ptCount val="15"/>
                <c:pt idx="0">
                  <c:v>33305.947041736814</c:v>
                </c:pt>
                <c:pt idx="1">
                  <c:v>46088.453805087418</c:v>
                </c:pt>
                <c:pt idx="2">
                  <c:v>46099.863232476237</c:v>
                </c:pt>
                <c:pt idx="3">
                  <c:v>52750.442560666204</c:v>
                </c:pt>
                <c:pt idx="4">
                  <c:v>54286.541673336047</c:v>
                </c:pt>
                <c:pt idx="5">
                  <c:v>51776.013726931116</c:v>
                </c:pt>
                <c:pt idx="6">
                  <c:v>54515.652403046115</c:v>
                </c:pt>
                <c:pt idx="7">
                  <c:v>52756.817662738256</c:v>
                </c:pt>
                <c:pt idx="8">
                  <c:v>46340.289260335157</c:v>
                </c:pt>
                <c:pt idx="9">
                  <c:v>47435.579894534239</c:v>
                </c:pt>
                <c:pt idx="10">
                  <c:v>59956.16098345544</c:v>
                </c:pt>
                <c:pt idx="11">
                  <c:v>67594.608892091099</c:v>
                </c:pt>
                <c:pt idx="12">
                  <c:v>81088.543876522992</c:v>
                </c:pt>
                <c:pt idx="13">
                  <c:v>81593.015467246427</c:v>
                </c:pt>
                <c:pt idx="14">
                  <c:v>118178.85706511136</c:v>
                </c:pt>
              </c:numCache>
            </c:numRef>
          </c:val>
          <c:smooth val="0"/>
          <c:extLst>
            <c:ext xmlns:c16="http://schemas.microsoft.com/office/drawing/2014/chart" uri="{C3380CC4-5D6E-409C-BE32-E72D297353CC}">
              <c16:uniqueId val="{00000000-4C6A-48EB-A0ED-938AE0081936}"/>
            </c:ext>
          </c:extLst>
        </c:ser>
        <c:ser>
          <c:idx val="1"/>
          <c:order val="1"/>
          <c:tx>
            <c:strRef>
              <c:f>'Historical Price'!$B$302</c:f>
              <c:strCache>
                <c:ptCount val="1"/>
                <c:pt idx="0">
                  <c:v>Stock</c:v>
                </c:pt>
              </c:strCache>
            </c:strRef>
          </c:tx>
          <c:spPr>
            <a:ln w="28575" cap="rnd">
              <a:solidFill>
                <a:schemeClr val="accent2"/>
              </a:solidFill>
              <a:round/>
            </a:ln>
            <a:effectLst/>
          </c:spPr>
          <c:marker>
            <c:symbol val="none"/>
          </c:marker>
          <c:cat>
            <c:numRef>
              <c:f>'Historical Price'!$C$300:$Q$300</c:f>
              <c:numCache>
                <c:formatCode>dd/mm/yyyy;@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'Historical Price'!$C$302:$Q$302</c:f>
              <c:numCache>
                <c:formatCode>General</c:formatCode>
                <c:ptCount val="15"/>
                <c:pt idx="0">
                  <c:v>17.899999999999999</c:v>
                </c:pt>
                <c:pt idx="1">
                  <c:v>35.85</c:v>
                </c:pt>
                <c:pt idx="2">
                  <c:v>1015.4</c:v>
                </c:pt>
                <c:pt idx="3">
                  <c:v>2422.2399999999998</c:v>
                </c:pt>
                <c:pt idx="4">
                  <c:v>2828.6800000000003</c:v>
                </c:pt>
                <c:pt idx="5">
                  <c:v>4412.88</c:v>
                </c:pt>
                <c:pt idx="6">
                  <c:v>6415.67</c:v>
                </c:pt>
                <c:pt idx="7">
                  <c:v>9202.82</c:v>
                </c:pt>
                <c:pt idx="8">
                  <c:v>8726.2000000000007</c:v>
                </c:pt>
                <c:pt idx="9">
                  <c:v>8727.65</c:v>
                </c:pt>
                <c:pt idx="10">
                  <c:v>9295.6299999999992</c:v>
                </c:pt>
                <c:pt idx="11">
                  <c:v>14147.91</c:v>
                </c:pt>
                <c:pt idx="12">
                  <c:v>16748.310000000001</c:v>
                </c:pt>
                <c:pt idx="13">
                  <c:v>17758.449999999997</c:v>
                </c:pt>
                <c:pt idx="14">
                  <c:v>34850.549999999996</c:v>
                </c:pt>
              </c:numCache>
            </c:numRef>
          </c:val>
          <c:smooth val="0"/>
          <c:extLst>
            <c:ext xmlns:c16="http://schemas.microsoft.com/office/drawing/2014/chart" uri="{C3380CC4-5D6E-409C-BE32-E72D297353CC}">
              <c16:uniqueId val="{00000001-4C6A-48EB-A0ED-938AE0081936}"/>
            </c:ext>
          </c:extLst>
        </c:ser>
        <c:ser>
          <c:idx val="2"/>
          <c:order val="2"/>
          <c:tx>
            <c:strRef>
              <c:f>'Historical Price'!$B$303</c:f>
              <c:strCache>
                <c:ptCount val="1"/>
                <c:pt idx="0">
                  <c:v>ETF</c:v>
                </c:pt>
              </c:strCache>
            </c:strRef>
          </c:tx>
          <c:spPr>
            <a:ln w="28575" cap="rnd">
              <a:solidFill>
                <a:schemeClr val="accent3"/>
              </a:solidFill>
              <a:round/>
            </a:ln>
            <a:effectLst/>
          </c:spPr>
          <c:marker>
            <c:symbol val="none"/>
          </c:marker>
          <c:cat>
            <c:numRef>
              <c:f>'Historical Price'!$C$300:$Q$300</c:f>
              <c:numCache>
                <c:formatCode>dd/mm/yyyy;@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'Historical Price'!$C$303:$Q$303</c:f>
              <c:numCache>
                <c:formatCode>General</c:formatCode>
                <c:ptCount val="15"/>
                <c:pt idx="0">
                  <c:v>0</c:v>
                </c:pt>
                <c:pt idx="1">
                  <c:v>211.8</c:v>
                </c:pt>
                <c:pt idx="2">
                  <c:v>525.86</c:v>
                </c:pt>
                <c:pt idx="3">
                  <c:v>135.5</c:v>
                </c:pt>
                <c:pt idx="4">
                  <c:v>118.56</c:v>
                </c:pt>
                <c:pt idx="5">
                  <c:v>146.72</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4C6A-48EB-A0ED-938AE0081936}"/>
            </c:ext>
          </c:extLst>
        </c:ser>
        <c:dLbls>
          <c:showLegendKey val="0"/>
          <c:showVal val="0"/>
          <c:showCatName val="0"/>
          <c:showSerName val="0"/>
          <c:showPercent val="0"/>
          <c:showBubbleSize val="0"/>
        </c:dLbls>
        <c:smooth val="0"/>
        <c:axId val="747938320"/>
        <c:axId val="1125231360"/>
      </c:lineChart>
      <c:dateAx>
        <c:axId val="747938320"/>
        <c:scaling>
          <c:orientation val="minMax"/>
        </c:scaling>
        <c:delete val="0"/>
        <c:axPos val="b"/>
        <c:numFmt formatCode="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25231360"/>
        <c:crosses val="autoZero"/>
        <c:auto val="1"/>
        <c:lblOffset val="100"/>
        <c:baseTimeUnit val="months"/>
      </c:dateAx>
      <c:valAx>
        <c:axId val="112523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47938320"/>
        <c:crosses val="autoZero"/>
        <c:crossBetween val="between"/>
      </c:valAx>
      <c:spPr>
        <a:noFill/>
        <a:ln>
          <a:noFill/>
        </a:ln>
        <a:effectLst/>
      </c:spPr>
    </c:plotArea>
    <c:legend>
      <c:legendPos val="b"/>
      <c:layout>
        <c:manualLayout>
          <c:xMode val="edge"/>
          <c:yMode val="edge"/>
          <c:x val="0.86494337309632696"/>
          <c:y val="0.55313612825423852"/>
          <c:w val="0.12759828374746571"/>
          <c:h val="0.21614069551077428"/>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Asset Class Ratio</a:t>
            </a:r>
          </a:p>
        </c:rich>
      </c:tx>
      <c:layout>
        <c:manualLayout>
          <c:xMode val="edge"/>
          <c:yMode val="edge"/>
          <c:x val="0.25752049614485623"/>
          <c:y val="3.03704594177636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888081062886082E-2"/>
          <c:y val="0.19150608082386647"/>
          <c:w val="0.69153581785527973"/>
          <c:h val="0.76807958165534651"/>
        </c:manualLayout>
      </c:layout>
      <c:pieChart>
        <c:varyColors val="1"/>
        <c:ser>
          <c:idx val="0"/>
          <c:order val="0"/>
          <c:tx>
            <c:strRef>
              <c:f>Portfolio_v2!$AT$71</c:f>
              <c:strCache>
                <c:ptCount val="1"/>
                <c:pt idx="0">
                  <c:v>Asset Class Actual Weight</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6FA-4AD3-A0B9-29810D84D7E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6FA-4AD3-A0B9-29810D84D7E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6FA-4AD3-A0B9-29810D84D7E0}"/>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FA-4AD3-A0B9-29810D84D7E0}"/>
                </c:ext>
              </c:extLst>
            </c:dLbl>
            <c:dLbl>
              <c:idx val="2"/>
              <c:layout>
                <c:manualLayout>
                  <c:x val="0.16026488184522591"/>
                  <c:y val="0.15900434036341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6FA-4AD3-A0B9-29810D84D7E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Portfolio_v2!$AS$72:$AS$74</c:f>
              <c:strCache>
                <c:ptCount val="3"/>
                <c:pt idx="0">
                  <c:v>Crypto</c:v>
                </c:pt>
                <c:pt idx="1">
                  <c:v>ETF</c:v>
                </c:pt>
                <c:pt idx="2">
                  <c:v>Stocks</c:v>
                </c:pt>
              </c:strCache>
            </c:strRef>
          </c:cat>
          <c:val>
            <c:numRef>
              <c:f>Portfolio_v2!$AT$72:$AT$74</c:f>
              <c:numCache>
                <c:formatCode>0.00%</c:formatCode>
                <c:ptCount val="3"/>
                <c:pt idx="0">
                  <c:v>0.81515627319794193</c:v>
                </c:pt>
                <c:pt idx="1">
                  <c:v>9.6920480161563141E-3</c:v>
                </c:pt>
                <c:pt idx="2">
                  <c:v>0.17515167878590182</c:v>
                </c:pt>
              </c:numCache>
            </c:numRef>
          </c:val>
          <c:extLst>
            <c:ext xmlns:c16="http://schemas.microsoft.com/office/drawing/2014/chart" uri="{C3380CC4-5D6E-409C-BE32-E72D297353CC}">
              <c16:uniqueId val="{00000006-D6FA-4AD3-A0B9-29810D84D7E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818075418536004"/>
          <c:y val="0.40708701488649796"/>
          <c:w val="0.20904229565613938"/>
          <c:h val="0.3214393620644747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Crypto Asset Sector Ratio</cx:v>
        </cx:txData>
      </cx:tx>
      <cx:txPr>
        <a:bodyPr rot="0" spcFirstLastPara="1" vertOverflow="ellipsis" vert="horz" wrap="square" lIns="38100" tIns="19050" rIns="38100" bIns="19050" anchor="ctr" anchorCtr="1" compatLnSpc="0"/>
        <a:lstStyle/>
        <a:p>
          <a:pPr algn="ctr" rtl="0">
            <a:defRPr sz="1400" b="1" i="0" u="none" strike="noStrike" kern="1200" spc="0" baseline="0">
              <a:solidFill>
                <a:sysClr val="windowText" lastClr="000000">
                  <a:lumMod val="65000"/>
                  <a:lumOff val="35000"/>
                </a:sysClr>
              </a:solidFill>
              <a:latin typeface="+mn-lt"/>
              <a:ea typeface="+mn-ea"/>
              <a:cs typeface="+mn-cs"/>
            </a:defRPr>
          </a:pPr>
          <a:r>
            <a:rPr kumimoji="0" lang="en-US" sz="1400" b="1" i="0" u="none" strike="noStrike" kern="1200" cap="none" spc="0" normalizeH="0" baseline="0" noProof="0">
              <a:ln>
                <a:noFill/>
              </a:ln>
              <a:solidFill>
                <a:sysClr val="windowText" lastClr="000000">
                  <a:lumMod val="65000"/>
                  <a:lumOff val="35000"/>
                </a:sysClr>
              </a:solidFill>
              <a:effectLst/>
              <a:uLnTx/>
              <a:uFillTx/>
              <a:latin typeface="Aptos Narrow" panose="02110004020202020204"/>
            </a:rPr>
            <a:t>Crypto Asset Sector Ratio</a:t>
          </a:r>
        </a:p>
      </cx:txPr>
    </cx:title>
    <cx:plotArea>
      <cx:plotAreaRegion>
        <cx:series layoutId="clusteredColumn" uniqueId="{F8CF21DC-2EDB-4C12-A283-A6E8B3FE52A4}">
          <cx:tx>
            <cx:txData>
              <cx:f>_xlchart.v1.1</cx:f>
              <cx:v>Actual Weight</cx:v>
            </cx:txData>
          </cx:tx>
          <cx:dataId val="0"/>
          <cx:layoutPr>
            <cx:aggregation/>
          </cx:layoutPr>
          <cx:axisId val="1"/>
        </cx:series>
        <cx:series layoutId="paretoLine" ownerIdx="0" uniqueId="{6F2E32EE-C5F5-44C0-A14F-A7D8FD88A6D4}">
          <cx:axisId val="2"/>
        </cx:series>
      </cx:plotAreaRegion>
      <cx:axis id="0">
        <cx:catScaling/>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0</xdr:colOff>
      <xdr:row>70</xdr:row>
      <xdr:rowOff>0</xdr:rowOff>
    </xdr:from>
    <xdr:to>
      <xdr:col>43</xdr:col>
      <xdr:colOff>0</xdr:colOff>
      <xdr:row>82</xdr:row>
      <xdr:rowOff>0</xdr:rowOff>
    </xdr:to>
    <xdr:graphicFrame macro="">
      <xdr:nvGraphicFramePr>
        <xdr:cNvPr id="3" name="Chart 2">
          <a:extLst>
            <a:ext uri="{FF2B5EF4-FFF2-40B4-BE49-F238E27FC236}">
              <a16:creationId xmlns:a16="http://schemas.microsoft.com/office/drawing/2014/main" id="{63523753-8BC4-35B3-432A-26858026C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304</xdr:row>
      <xdr:rowOff>0</xdr:rowOff>
    </xdr:from>
    <xdr:to>
      <xdr:col>16</xdr:col>
      <xdr:colOff>0</xdr:colOff>
      <xdr:row>319</xdr:row>
      <xdr:rowOff>0</xdr:rowOff>
    </xdr:to>
    <xdr:graphicFrame macro="">
      <xdr:nvGraphicFramePr>
        <xdr:cNvPr id="4" name="Chart 3">
          <a:extLst>
            <a:ext uri="{FF2B5EF4-FFF2-40B4-BE49-F238E27FC236}">
              <a16:creationId xmlns:a16="http://schemas.microsoft.com/office/drawing/2014/main" id="{762E4C55-7091-745D-4329-CF6B7DCDC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13</xdr:row>
      <xdr:rowOff>0</xdr:rowOff>
    </xdr:from>
    <xdr:to>
      <xdr:col>11</xdr:col>
      <xdr:colOff>1009649</xdr:colOff>
      <xdr:row>37</xdr:row>
      <xdr:rowOff>0</xdr:rowOff>
    </xdr:to>
    <xdr:graphicFrame macro="">
      <xdr:nvGraphicFramePr>
        <xdr:cNvPr id="2" name="Chart 1">
          <a:extLst>
            <a:ext uri="{FF2B5EF4-FFF2-40B4-BE49-F238E27FC236}">
              <a16:creationId xmlns:a16="http://schemas.microsoft.com/office/drawing/2014/main" id="{F21A0BC8-052E-4480-AC35-257C85040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66677</xdr:colOff>
      <xdr:row>1</xdr:row>
      <xdr:rowOff>0</xdr:rowOff>
    </xdr:from>
    <xdr:to>
      <xdr:col>7</xdr:col>
      <xdr:colOff>685800</xdr:colOff>
      <xdr:row>12</xdr:row>
      <xdr:rowOff>133350</xdr:rowOff>
    </xdr:to>
    <xdr:graphicFrame macro="">
      <xdr:nvGraphicFramePr>
        <xdr:cNvPr id="3" name="Chart 2">
          <a:extLst>
            <a:ext uri="{FF2B5EF4-FFF2-40B4-BE49-F238E27FC236}">
              <a16:creationId xmlns:a16="http://schemas.microsoft.com/office/drawing/2014/main" id="{B32E5736-7229-4CA0-BA54-9CBC6769E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733426</xdr:colOff>
      <xdr:row>1</xdr:row>
      <xdr:rowOff>1</xdr:rowOff>
    </xdr:from>
    <xdr:to>
      <xdr:col>12</xdr:col>
      <xdr:colOff>0</xdr:colOff>
      <xdr:row>12</xdr:row>
      <xdr:rowOff>133350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B43560E-05CD-E03E-E218-7812451028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048501" y="428626"/>
              <a:ext cx="4314824" cy="24955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77.075090740742" createdVersion="8" refreshedVersion="8" minRefreshableVersion="3" recordCount="51" xr:uid="{206E323B-3443-401E-AE17-4F6BA34DB777}">
  <cacheSource type="worksheet">
    <worksheetSource ref="A1:I52" sheet="Portfolio_v1"/>
  </cacheSource>
  <cacheFields count="9">
    <cacheField name="Name" numFmtId="0">
      <sharedItems count="27">
        <s v="Bitcoin"/>
        <s v="BNB"/>
        <s v="NEAR Protocol"/>
        <s v="Solana"/>
        <s v="Chainlink"/>
        <s v="Polygon"/>
        <s v="Dogecoin"/>
        <s v="Cosmos Hub"/>
        <s v="Cartesi"/>
        <s v="Highstreet"/>
        <s v="The Sandbox"/>
        <s v="Filecoin"/>
        <s v="VeChain"/>
        <s v="GALA"/>
        <s v="Polkadot"/>
        <s v="Ethereum"/>
        <s v="Mantle"/>
        <s v="Avalanche"/>
        <s v="Optimism"/>
        <s v="Magic"/>
        <s v="Cardano"/>
        <s v="Cronos"/>
        <s v="Osmosis"/>
        <s v="Stacks"/>
        <s v="ALEX Lab"/>
        <s v="Thena"/>
        <s v="Fantom"/>
      </sharedItems>
    </cacheField>
    <cacheField name="Token" numFmtId="0">
      <sharedItems/>
    </cacheField>
    <cacheField name="Category" numFmtId="0">
      <sharedItems/>
    </cacheField>
    <cacheField name="Storage" numFmtId="0">
      <sharedItems count="11">
        <s v="Ledger"/>
        <s v="Binance"/>
        <s v="Bybit"/>
        <s v="Coinbase"/>
        <s v="Crypto.com"/>
        <s v="Flint Wallet"/>
        <s v="Keplr Wallet 1"/>
        <s v="Keplr Wallet 2"/>
        <s v="Xverse Wallet"/>
        <s v="MetaMask"/>
        <s v="De-Fi Protocal"/>
      </sharedItems>
    </cacheField>
    <cacheField name="Blockchain network" numFmtId="0">
      <sharedItems/>
    </cacheField>
    <cacheField name="Current Price" numFmtId="164">
      <sharedItems containsSemiMixedTypes="0" containsString="0" containsNumber="1" minValue="4.3411379999999999E-2" maxValue="67220"/>
    </cacheField>
    <cacheField name="Current Amount" numFmtId="0">
      <sharedItems containsSemiMixedTypes="0" containsString="0" containsNumber="1" minValue="9.75E-3" maxValue="11598.82"/>
    </cacheField>
    <cacheField name="Current Value" numFmtId="164">
      <sharedItems containsSemiMixedTypes="0" containsString="0" containsNumber="1" minValue="40.854800000000004" maxValue="33811.537499999999"/>
    </cacheField>
    <cacheField name="Percentage" numFmtId="165">
      <sharedItems containsSemiMixedTypes="0" containsString="0" containsNumber="1" minValue="2.79155299133656E-4" maxValue="0.231029643150408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s v="BTC"/>
    <s v="Bitcoin"/>
    <x v="0"/>
    <s v="N/A"/>
    <n v="67220"/>
    <n v="0.38879999999999998"/>
    <n v="26135.135999999999"/>
    <n v="0.17857783437879468"/>
  </r>
  <r>
    <x v="0"/>
    <s v="BTC"/>
    <s v="Bitcoin"/>
    <x v="1"/>
    <s v="N/A"/>
    <n v="67220"/>
    <n v="0.25"/>
    <n v="16805"/>
    <n v="0.11482628239377231"/>
  </r>
  <r>
    <x v="1"/>
    <s v="BNB"/>
    <s v="Layer 1"/>
    <x v="1"/>
    <s v="N/A"/>
    <n v="583.64"/>
    <n v="10.039999999999999"/>
    <n v="5859.7455999999993"/>
    <n v="4.0038845761455798E-2"/>
  </r>
  <r>
    <x v="2"/>
    <s v="NEAR"/>
    <s v="Layer 1"/>
    <x v="1"/>
    <s v="N/A"/>
    <n v="7.45"/>
    <n v="224.98500000000001"/>
    <n v="1676.1382500000002"/>
    <n v="1.1452824994079343E-2"/>
  </r>
  <r>
    <x v="3"/>
    <s v="SOL"/>
    <s v="Layer 1"/>
    <x v="1"/>
    <s v="N/A"/>
    <n v="190.16"/>
    <n v="5.1159999999999997"/>
    <n v="972.8585599999999"/>
    <n v="6.647410398081444E-3"/>
  </r>
  <r>
    <x v="4"/>
    <s v="LINK"/>
    <s v="Defi/Crosschain"/>
    <x v="1"/>
    <s v="N/A"/>
    <n v="18.93"/>
    <n v="30.3"/>
    <n v="573.57899999999995"/>
    <n v="3.9191873983420123E-3"/>
  </r>
  <r>
    <x v="5"/>
    <s v="MATIC"/>
    <s v="Layer 2"/>
    <x v="1"/>
    <s v="N/A"/>
    <n v="1.03"/>
    <n v="200"/>
    <n v="206"/>
    <n v="1.4075700192274379E-3"/>
  </r>
  <r>
    <x v="6"/>
    <s v="DOGE"/>
    <s v="Meme"/>
    <x v="1"/>
    <s v="N/A"/>
    <n v="0.17263600000000001"/>
    <n v="2000"/>
    <n v="345.27200000000005"/>
    <n v="2.3591966780519224E-3"/>
  </r>
  <r>
    <x v="7"/>
    <s v="ATOM"/>
    <s v="Layer 1"/>
    <x v="1"/>
    <s v="N/A"/>
    <n v="11.83"/>
    <n v="11.98"/>
    <n v="141.7234"/>
    <n v="9.6837674205329074E-4"/>
  </r>
  <r>
    <x v="8"/>
    <s v="CTSI"/>
    <s v="Infra"/>
    <x v="1"/>
    <s v="N/A"/>
    <n v="0.31497199999999997"/>
    <n v="543.5"/>
    <n v="171.18728199999998"/>
    <n v="1.1696994457098681E-3"/>
  </r>
  <r>
    <x v="9"/>
    <s v="HIGH"/>
    <s v="Gamefi"/>
    <x v="1"/>
    <s v="N/A"/>
    <n v="2"/>
    <n v="49.96"/>
    <n v="99.92"/>
    <n v="6.8273978796701751E-4"/>
  </r>
  <r>
    <x v="10"/>
    <s v="SAND"/>
    <s v="Gamefi"/>
    <x v="1"/>
    <s v="N/A"/>
    <n v="0.679616"/>
    <n v="156"/>
    <n v="106.020096"/>
    <n v="7.2442091536512043E-4"/>
  </r>
  <r>
    <x v="11"/>
    <s v="FIL"/>
    <s v="Infra"/>
    <x v="1"/>
    <s v="N/A"/>
    <n v="9.11"/>
    <n v="13"/>
    <n v="118.42999999999999"/>
    <n v="8.0921610377235667E-4"/>
  </r>
  <r>
    <x v="12"/>
    <s v="VET"/>
    <s v="Infra"/>
    <x v="1"/>
    <s v="N/A"/>
    <n v="4.3411379999999999E-2"/>
    <n v="1690"/>
    <n v="73.365232199999994"/>
    <n v="5.0129466649698759E-4"/>
  </r>
  <r>
    <x v="13"/>
    <s v="GALA"/>
    <s v="Gamefi"/>
    <x v="1"/>
    <s v="N/A"/>
    <n v="6.9290000000000004E-2"/>
    <n v="1811"/>
    <n v="125.48419000000001"/>
    <n v="8.5741642587883258E-4"/>
  </r>
  <r>
    <x v="14"/>
    <s v="DOT"/>
    <s v="Layer 1"/>
    <x v="1"/>
    <s v="N/A"/>
    <n v="9.5299999999999994"/>
    <n v="5"/>
    <n v="47.65"/>
    <n v="3.2558597774848264E-4"/>
  </r>
  <r>
    <x v="0"/>
    <s v="BTC"/>
    <s v="Bitcoin"/>
    <x v="2"/>
    <s v="N/A"/>
    <n v="67220"/>
    <n v="4.888E-2"/>
    <n v="3285.7136"/>
    <n v="2.2450834733630361E-2"/>
  </r>
  <r>
    <x v="15"/>
    <s v="ETH"/>
    <s v="Ethereum"/>
    <x v="2"/>
    <s v="N/A"/>
    <n v="3467.85"/>
    <n v="0.75680000000000003"/>
    <n v="2624.4688799999999"/>
    <n v="1.7932639378074818E-2"/>
  </r>
  <r>
    <x v="16"/>
    <s v="MNT"/>
    <s v="Layer 1"/>
    <x v="2"/>
    <s v="N/A"/>
    <n v="0.84030300000000002"/>
    <n v="889"/>
    <n v="747.02936699999998"/>
    <n v="5.1043501964643245E-3"/>
  </r>
  <r>
    <x v="17"/>
    <s v="AVAX"/>
    <s v="Layer 1"/>
    <x v="2"/>
    <s v="N/A"/>
    <n v="57.51"/>
    <n v="16.87"/>
    <n v="970.19370000000004"/>
    <n v="6.6292017716666953E-3"/>
  </r>
  <r>
    <x v="2"/>
    <s v="NEAR"/>
    <s v="Layer 1"/>
    <x v="2"/>
    <s v="N/A"/>
    <n v="7.45"/>
    <n v="163.92500000000001"/>
    <n v="1221.24125"/>
    <n v="8.3445755812807786E-3"/>
  </r>
  <r>
    <x v="18"/>
    <s v="OP"/>
    <s v="Layer 2"/>
    <x v="2"/>
    <s v="N/A"/>
    <n v="3.81"/>
    <n v="55.93"/>
    <n v="213.0933"/>
    <n v="1.4560375746516419E-3"/>
  </r>
  <r>
    <x v="19"/>
    <s v="MAGIC"/>
    <s v="Gamefi"/>
    <x v="2"/>
    <s v="N/A"/>
    <n v="1.1599999999999999"/>
    <n v="125.89"/>
    <n v="146.0324"/>
    <n v="9.9781955376615971E-4"/>
  </r>
  <r>
    <x v="0"/>
    <s v="BTC"/>
    <s v="Bitcoin"/>
    <x v="3"/>
    <s v="N/A"/>
    <n v="67220"/>
    <n v="0.03"/>
    <n v="2016.6"/>
    <n v="1.3779153887252676E-2"/>
  </r>
  <r>
    <x v="15"/>
    <s v="ETH"/>
    <s v="Ethereum"/>
    <x v="3"/>
    <s v="N/A"/>
    <n v="3467.85"/>
    <n v="0.26500000000000001"/>
    <n v="918.98025000000007"/>
    <n v="6.2792672240880388E-3"/>
  </r>
  <r>
    <x v="20"/>
    <s v="ADA"/>
    <s v="Layer 1"/>
    <x v="3"/>
    <s v="N/A"/>
    <n v="0.649613"/>
    <n v="927.7"/>
    <n v="602.64598009999997"/>
    <n v="4.117798125226676E-3"/>
  </r>
  <r>
    <x v="21"/>
    <s v="CRO"/>
    <s v="Layer 1"/>
    <x v="4"/>
    <s v="N/A"/>
    <n v="0.14346400000000001"/>
    <n v="11598.82"/>
    <n v="1664.01311248"/>
    <n v="1.1369975576350401E-2"/>
  </r>
  <r>
    <x v="15"/>
    <s v="ETH"/>
    <s v="Ethereum"/>
    <x v="4"/>
    <s v="N/A"/>
    <n v="3467.85"/>
    <n v="0.02"/>
    <n v="69.356999999999999"/>
    <n v="4.7390696030853117E-4"/>
  </r>
  <r>
    <x v="20"/>
    <s v="ADA"/>
    <s v="Layer 1"/>
    <x v="5"/>
    <s v="Cardano"/>
    <n v="0.649613"/>
    <n v="2644"/>
    <n v="1717.5767719999999"/>
    <n v="1.1735968786352625E-2"/>
  </r>
  <r>
    <x v="7"/>
    <s v="ATOM"/>
    <s v="Layer 1"/>
    <x v="6"/>
    <s v="Cosmos"/>
    <n v="11.83"/>
    <n v="53.5"/>
    <n v="632.90499999999997"/>
    <n v="4.3245538981511733E-3"/>
  </r>
  <r>
    <x v="22"/>
    <s v="OSMO"/>
    <s v="Defi/Crosschain"/>
    <x v="6"/>
    <s v="Osmosis"/>
    <n v="1.33"/>
    <n v="100.8"/>
    <n v="134.06399999999999"/>
    <n v="9.1604110222187976E-4"/>
  </r>
  <r>
    <x v="7"/>
    <s v="ATOM"/>
    <s v="Layer 1"/>
    <x v="7"/>
    <s v="Cosmos"/>
    <n v="11.83"/>
    <n v="37.9"/>
    <n v="448.35699999999997"/>
    <n v="3.0635624811201768E-3"/>
  </r>
  <r>
    <x v="22"/>
    <s v="OSMO"/>
    <s v="Defi/Crosschain"/>
    <x v="7"/>
    <s v="Osmosis"/>
    <n v="1.33"/>
    <n v="466.7"/>
    <n v="620.71100000000001"/>
    <n v="4.2412339524499137E-3"/>
  </r>
  <r>
    <x v="23"/>
    <s v="STX"/>
    <s v="Bitcoin Layer 2"/>
    <x v="8"/>
    <s v="Stacks"/>
    <n v="3.51"/>
    <n v="727.5"/>
    <n v="2553.5249999999996"/>
    <n v="1.7447889482270596E-2"/>
  </r>
  <r>
    <x v="24"/>
    <s v="ALEX"/>
    <s v="Bitcoin Layer 2"/>
    <x v="8"/>
    <s v="Stacks"/>
    <n v="0.42011100000000001"/>
    <n v="437.29"/>
    <n v="183.71033919000001"/>
    <n v="1.2552677944948907E-3"/>
  </r>
  <r>
    <x v="0"/>
    <s v="BTC.b"/>
    <s v="Bitcoin"/>
    <x v="9"/>
    <s v="AVAX-C"/>
    <n v="67220"/>
    <n v="0.2883"/>
    <n v="19379.526000000002"/>
    <n v="0.13241766885649825"/>
  </r>
  <r>
    <x v="0"/>
    <s v="BTCB"/>
    <s v="Bitcoin"/>
    <x v="9"/>
    <s v="BSC"/>
    <n v="67220"/>
    <n v="9.75E-3"/>
    <n v="655.39499999999998"/>
    <n v="4.4782250133571198E-3"/>
  </r>
  <r>
    <x v="15"/>
    <s v="ETH"/>
    <s v="Ethereum"/>
    <x v="9"/>
    <s v="Base"/>
    <n v="3467.85"/>
    <n v="0.1515"/>
    <n v="525.37927500000001"/>
    <n v="3.5898452243371235E-3"/>
  </r>
  <r>
    <x v="17"/>
    <s v="WAVAX"/>
    <s v="Layer 1"/>
    <x v="9"/>
    <s v="AVAX-C"/>
    <n v="57.51"/>
    <n v="8"/>
    <n v="460.08"/>
    <n v="3.1436641477968915E-3"/>
  </r>
  <r>
    <x v="15"/>
    <s v="ETH"/>
    <s v="Ethereum"/>
    <x v="9"/>
    <s v="ETH Mainnet"/>
    <n v="3467.85"/>
    <n v="9.8000000000000004E-2"/>
    <n v="339.84930000000003"/>
    <n v="2.3221441055118028E-3"/>
  </r>
  <r>
    <x v="15"/>
    <s v="ETH"/>
    <s v="Ethereum"/>
    <x v="9"/>
    <s v="BSC"/>
    <n v="3467.85"/>
    <n v="6.2E-2"/>
    <n v="215.0067"/>
    <n v="1.4691115769564465E-3"/>
  </r>
  <r>
    <x v="17"/>
    <s v="AVAX"/>
    <s v="Layer 1"/>
    <x v="9"/>
    <s v="AVAX-C"/>
    <n v="57.51"/>
    <n v="3.75"/>
    <n v="215.66249999999999"/>
    <n v="1.4735925692797929E-3"/>
  </r>
  <r>
    <x v="15"/>
    <s v="ETH"/>
    <s v="Ethereum"/>
    <x v="9"/>
    <s v="Arbitrum"/>
    <n v="3467.85"/>
    <n v="4.3299999999999998E-2"/>
    <n v="150.157905"/>
    <n v="1.02600856906797E-3"/>
  </r>
  <r>
    <x v="15"/>
    <s v="ETH"/>
    <s v="Ethereum"/>
    <x v="9"/>
    <s v="Manta"/>
    <n v="3467.85"/>
    <n v="2.12E-2"/>
    <n v="73.518419999999992"/>
    <n v="5.0234137792704297E-4"/>
  </r>
  <r>
    <x v="25"/>
    <s v="THE"/>
    <s v="Defi/Crosschain"/>
    <x v="9"/>
    <s v="opBNB"/>
    <n v="0.499859"/>
    <n v="237.5"/>
    <n v="118.71651249999999"/>
    <n v="8.1117380476815229E-4"/>
  </r>
  <r>
    <x v="26"/>
    <s v="FTM"/>
    <s v="Layer 1"/>
    <x v="9"/>
    <s v="FTM"/>
    <n v="1.0860000000000001"/>
    <n v="94.22"/>
    <n v="102.32292000000001"/>
    <n v="6.9915861394081362E-4"/>
  </r>
  <r>
    <x v="25"/>
    <s v="THE"/>
    <s v="Defi/Crosschain"/>
    <x v="9"/>
    <s v="BSC"/>
    <n v="0.499859"/>
    <n v="133.97999999999999"/>
    <n v="66.971108819999998"/>
    <n v="4.5760448994878756E-4"/>
  </r>
  <r>
    <x v="1"/>
    <s v="BNB"/>
    <s v="Layer 1"/>
    <x v="9"/>
    <s v="BSC"/>
    <n v="583.64"/>
    <n v="7.0000000000000007E-2"/>
    <n v="40.854800000000004"/>
    <n v="2.79155299133656E-4"/>
  </r>
  <r>
    <x v="0"/>
    <s v="BTC"/>
    <s v="Bitcoin"/>
    <x v="10"/>
    <s v="N/A"/>
    <n v="67220"/>
    <n v="0.18099999999999999"/>
    <n v="12166.82"/>
    <n v="8.3134228453091152E-2"/>
  </r>
  <r>
    <x v="15"/>
    <s v="ETH"/>
    <s v="Ethereum"/>
    <x v="10"/>
    <s v="N/A"/>
    <n v="3467.85"/>
    <n v="9.75"/>
    <n v="33811.537499999999"/>
    <n v="0.23102964315040894"/>
  </r>
  <r>
    <x v="17"/>
    <s v="AVAX"/>
    <s v="Layer 1"/>
    <x v="10"/>
    <s v="N/A"/>
    <n v="57.51"/>
    <n v="66.11"/>
    <n v="3801.9860999999996"/>
    <n v="2.59784546013565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F1C5C0-6D84-44DE-8A0F-39F436CDFAB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rypto Name">
  <location ref="A3:M32" firstHeaderRow="1" firstDataRow="2" firstDataCol="1"/>
  <pivotFields count="9">
    <pivotField axis="axisRow" showAll="0">
      <items count="28">
        <item x="24"/>
        <item x="17"/>
        <item x="0"/>
        <item x="1"/>
        <item x="20"/>
        <item x="8"/>
        <item x="4"/>
        <item x="7"/>
        <item x="21"/>
        <item x="6"/>
        <item x="15"/>
        <item x="26"/>
        <item x="11"/>
        <item x="13"/>
        <item x="9"/>
        <item x="19"/>
        <item x="16"/>
        <item x="2"/>
        <item x="18"/>
        <item x="22"/>
        <item x="14"/>
        <item x="5"/>
        <item x="3"/>
        <item x="23"/>
        <item x="10"/>
        <item x="25"/>
        <item x="12"/>
        <item t="default"/>
      </items>
    </pivotField>
    <pivotField showAll="0"/>
    <pivotField showAll="0"/>
    <pivotField axis="axisCol" showAll="0">
      <items count="12">
        <item x="1"/>
        <item x="2"/>
        <item x="3"/>
        <item x="4"/>
        <item x="10"/>
        <item x="5"/>
        <item x="6"/>
        <item x="7"/>
        <item x="0"/>
        <item x="9"/>
        <item x="8"/>
        <item t="default"/>
      </items>
    </pivotField>
    <pivotField showAll="0"/>
    <pivotField numFmtId="164" showAll="0"/>
    <pivotField showAll="0"/>
    <pivotField numFmtId="164" showAll="0"/>
    <pivotField dataField="1" numFmtId="165" showAll="0"/>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3"/>
  </colFields>
  <colItems count="12">
    <i>
      <x/>
    </i>
    <i>
      <x v="1"/>
    </i>
    <i>
      <x v="2"/>
    </i>
    <i>
      <x v="3"/>
    </i>
    <i>
      <x v="4"/>
    </i>
    <i>
      <x v="5"/>
    </i>
    <i>
      <x v="6"/>
    </i>
    <i>
      <x v="7"/>
    </i>
    <i>
      <x v="8"/>
    </i>
    <i>
      <x v="9"/>
    </i>
    <i>
      <x v="10"/>
    </i>
    <i t="grand">
      <x/>
    </i>
  </colItems>
  <dataFields count="1">
    <dataField name="Sum of Percentage" fld="8" baseField="0" baseItem="0" numFmtId="10"/>
  </dataFields>
  <formats count="11">
    <format dxfId="13">
      <pivotArea outline="0" collapsedLevelsAreSubtotals="1" fieldPosition="0"/>
    </format>
    <format dxfId="12">
      <pivotArea type="all" dataOnly="0" outline="0" fieldPosition="0"/>
    </format>
    <format dxfId="11">
      <pivotArea outline="0" collapsedLevelsAreSubtotals="1" fieldPosition="0"/>
    </format>
    <format dxfId="10">
      <pivotArea type="origin" dataOnly="0" labelOnly="1" outline="0" fieldPosition="0"/>
    </format>
    <format dxfId="9">
      <pivotArea field="3" type="button" dataOnly="0" labelOnly="1" outline="0" axis="axisCol" fieldPosition="0"/>
    </format>
    <format dxfId="8">
      <pivotArea type="topRight" dataOnly="0" labelOnly="1" outline="0" fieldPosition="0"/>
    </format>
    <format dxfId="7">
      <pivotArea field="0" type="button" dataOnly="0" labelOnly="1" outline="0" axis="axisRow" fieldPosition="0"/>
    </format>
    <format dxfId="6">
      <pivotArea dataOnly="0" labelOnly="1" fieldPosition="0">
        <references count="1">
          <reference field="0" count="0"/>
        </references>
      </pivotArea>
    </format>
    <format dxfId="5">
      <pivotArea dataOnly="0" labelOnly="1" grandRow="1" outline="0" fieldPosition="0"/>
    </format>
    <format dxfId="4">
      <pivotArea dataOnly="0" labelOnly="1" fieldPosition="0">
        <references count="1">
          <reference field="3" count="0"/>
        </references>
      </pivotArea>
    </format>
    <format dxfId="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49BBC386-8C3D-4E2E-9E48-302522675308}" autoFormatId="16" applyNumberFormats="0" applyBorderFormats="0" applyFontFormats="0" applyPatternFormats="0" applyAlignmentFormats="0" applyWidthHeightFormats="0">
  <queryTableRefresh nextId="16">
    <queryTableFields count="10">
      <queryTableField id="1" name="market_cap_rank" tableColumnId="1"/>
      <queryTableField id="2" name="id" tableColumnId="2"/>
      <queryTableField id="3" name="symbol" tableColumnId="3"/>
      <queryTableField id="4" name="name" tableColumnId="4"/>
      <queryTableField id="5" name="current_price" tableColumnId="5"/>
      <queryTableField id="6" name="price_change_24h" tableColumnId="6"/>
      <queryTableField id="7" name="price_change_percentage_24h" tableColumnId="7"/>
      <queryTableField id="10" name="market_cap" tableColumnId="10"/>
      <queryTableField id="11" name="total_volume" tableColumnId="11"/>
      <queryTableField id="8" name="last_updated" tableColumnId="8"/>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6">
  <rv s="0">
    <v>en-US</v>
    <v>avyu4c</v>
    <v>268435456</v>
    <v>1</v>
    <v>Powered by Refinitiv</v>
    <v>0</v>
    <v>USD/GBP</v>
    <v>2</v>
    <v>3</v>
    <v>Finance</v>
    <v>4</v>
    <v>0.83069999999999999</v>
    <v>0.76060000000000005</v>
    <v>0</v>
    <v>0</v>
    <v>GBP</v>
    <v>USD</v>
    <v>0.78269999999999995</v>
    <v>Currency Pair</v>
    <v>45449.448113425926</v>
    <v>0.78069999999999995</v>
    <v>US Dollar/UK Pound Sterling FX Cross Rate</v>
    <v>0.78190000000000004</v>
    <v>0.78190000000000004</v>
    <v>0.78190000000000004</v>
    <v>USDGBP</v>
    <v>USD/GBP</v>
  </rv>
  <rv s="1">
    <v>0</v>
  </rv>
  <rv s="0">
    <v>en-US</v>
    <v>avynz2</v>
    <v>268435456</v>
    <v>1</v>
    <v>Powered by Refinitiv</v>
    <v>0</v>
    <v>USD/HKD</v>
    <v>2</v>
    <v>5</v>
    <v>Finance</v>
    <v>4</v>
    <v>7.8478000000000003</v>
    <v>7.7855999999999996</v>
    <v>-2E-3</v>
    <v>-2.5599999999999999E-4</v>
    <v>HKD</v>
    <v>USD</v>
    <v>7.8117000000000001</v>
    <v>Currency Pair</v>
    <v>45449.44809027778</v>
    <v>7.8082000000000003</v>
    <v>US Dollar/Hong Kong Dollar FX Spot Rate</v>
    <v>7.8113999999999999</v>
    <v>7.8116000000000003</v>
    <v>7.8095999999999997</v>
    <v>USDHKD</v>
    <v>USD/HKD</v>
  </rv>
  <rv s="1">
    <v>2</v>
  </rv>
  <rv s="0">
    <v>en-US</v>
    <v>avyn9c</v>
    <v>268435456</v>
    <v>1</v>
    <v>Powered by Refinitiv</v>
    <v>0</v>
    <v>USD/EUR</v>
    <v>2</v>
    <v>6</v>
    <v>Finance</v>
    <v>4</v>
    <v>0.95699999999999996</v>
    <v>0.88670000000000004</v>
    <v>-6.9999999999999999E-4</v>
    <v>-7.6099999999999996E-4</v>
    <v>EUR</v>
    <v>USD</v>
    <v>0.92</v>
    <v>Currency Pair</v>
    <v>45449.448113425926</v>
    <v>0.91790000000000005</v>
    <v>US Dollar/Euro FX Cross Rate</v>
    <v>0.92</v>
    <v>0.91990000000000005</v>
    <v>0.91920000000000002</v>
    <v>USDEUR</v>
    <v>USD/EUR</v>
  </rv>
  <rv s="1">
    <v>4</v>
  </rv>
  <rv s="0">
    <v>en-US</v>
    <v>avyjhw</v>
    <v>268435456</v>
    <v>1</v>
    <v>Powered by Refinitiv</v>
    <v>0</v>
    <v>GBP/USD</v>
    <v>2</v>
    <v>7</v>
    <v>Finance</v>
    <v>4</v>
    <v>1.3144</v>
    <v>1.2035</v>
    <v>-2.9999999999999997E-4</v>
    <v>-2.3460000000000001E-4</v>
    <v>USD</v>
    <v>GBP</v>
    <v>1.2808999999999999</v>
    <v>Currency Pair</v>
    <v>45449.448101851849</v>
    <v>1.2776000000000001</v>
    <v>UK Pound Sterling/US Dollar FX Spot Rate</v>
    <v>1.2785</v>
    <v>1.2785</v>
    <v>1.2782</v>
    <v>GBPUSD</v>
    <v>GBP/USD</v>
  </rv>
  <rv s="1">
    <v>6</v>
  </rv>
  <rv s="0">
    <v>en-US</v>
    <v>avyddm</v>
    <v>268435456</v>
    <v>1</v>
    <v>Powered by Refinitiv</v>
    <v>0</v>
    <v>GBP/HKD</v>
    <v>2</v>
    <v>5</v>
    <v>Finance</v>
    <v>4</v>
    <v>10.2812</v>
    <v>9.4250000000000007</v>
    <v>-4.8999999999999998E-3</v>
    <v>-4.906E-4</v>
    <v>HKD</v>
    <v>GBP</v>
    <v>10.001799999999999</v>
    <v>Currency Pair</v>
    <v>45449.448113425926</v>
    <v>9.9769000000000005</v>
    <v>UK Pound Sterling/Hong Kong Dollar FX Cross Rate</v>
    <v>9.9870999999999999</v>
    <v>9.9870999999999999</v>
    <v>9.9822000000000006</v>
    <v>GBPHKD</v>
    <v>GBP/HKD</v>
  </rv>
  <rv s="1">
    <v>8</v>
  </rv>
  <rv s="0">
    <v>en-US</v>
    <v>avycmw</v>
    <v>268435456</v>
    <v>1</v>
    <v>Powered by Refinitiv</v>
    <v>0</v>
    <v>GBP/EUR</v>
    <v>2</v>
    <v>6</v>
    <v>Finance</v>
    <v>4</v>
    <v>1.1787000000000001</v>
    <v>1.1403000000000001</v>
    <v>-1.1999999999999999E-3</v>
    <v>-1.0199999999999999E-3</v>
    <v>EUR</v>
    <v>GBP</v>
    <v>1.1766000000000001</v>
    <v>Currency Pair</v>
    <v>45449.448113425926</v>
    <v>1.1748000000000001</v>
    <v>UK Pound Sterling/Euro FX Cross Rate</v>
    <v>1.1761999999999999</v>
    <v>1.1760999999999999</v>
    <v>1.1749000000000001</v>
    <v>GBPEUR</v>
    <v>GBP/EUR</v>
  </rv>
  <rv s="1">
    <v>10</v>
  </rv>
  <rv s="0">
    <v>en-US</v>
    <v>avbskr</v>
    <v>268435456</v>
    <v>1</v>
    <v>Powered by Refinitiv</v>
    <v>0</v>
    <v>HKD/USD</v>
    <v>2</v>
    <v>7</v>
    <v>Finance</v>
    <v>4</v>
    <v>0.12839999999999999</v>
    <v>0.12740000000000001</v>
    <v>3.4999999999999997E-5</v>
    <v>2.7339999999999998E-4</v>
    <v>USD</v>
    <v>HKD</v>
    <v>0.12809999999999999</v>
    <v>Currency Pair</v>
    <v>45449.44809027778</v>
    <v>0.128</v>
    <v>Hong Kong Dollar/US Dollar FX Cross Rate</v>
    <v>0.128</v>
    <v>0.128</v>
    <v>0.128</v>
    <v>HKDUSD</v>
    <v>HKD/USD</v>
  </rv>
  <rv s="1">
    <v>12</v>
  </rv>
  <rv s="0">
    <v>en-US</v>
    <v>avbshw</v>
    <v>268435456</v>
    <v>1</v>
    <v>Powered by Refinitiv</v>
    <v>0</v>
    <v>HKD/GBP</v>
    <v>2</v>
    <v>3</v>
    <v>Finance</v>
    <v>4</v>
    <v>0.1061</v>
    <v>9.7229999999999997E-2</v>
    <v>2.6999999999999999E-5</v>
    <v>2.698E-4</v>
    <v>GBP</v>
    <v>HKD</v>
    <v>0.1002</v>
    <v>Currency Pair</v>
    <v>45449.448113425926</v>
    <v>9.9979999999999999E-2</v>
    <v>Hong Kong Dollar/UK Pound Sterling FX Cross Rate</v>
    <v>0.10009999999999999</v>
    <v>0.10009999999999999</v>
    <v>0.10009999999999999</v>
    <v>HKDGBP</v>
    <v>HKD/GBP</v>
  </rv>
  <rv s="1">
    <v>14</v>
  </rv>
  <rv s="0">
    <v>en-US</v>
    <v>avblpr</v>
    <v>268435456</v>
    <v>1</v>
    <v>Powered by Refinitiv</v>
    <v>0</v>
    <v>HKD/EUR</v>
    <v>2</v>
    <v>6</v>
    <v>Finance</v>
    <v>4</v>
    <v>0.1222</v>
    <v>0.1135</v>
    <v>-5.5000000000000002E-5</v>
    <v>-4.6710000000000002E-4</v>
    <v>EUR</v>
    <v>HKD</v>
    <v>0.1178</v>
    <v>Currency Pair</v>
    <v>45449.448113425926</v>
    <v>0.11749999999999999</v>
    <v>Hong Kong Dollar/Euro FX Cross Rate</v>
    <v>0.1178</v>
    <v>0.1178</v>
    <v>0.1177</v>
    <v>HKDEUR</v>
    <v>HKD/EUR</v>
  </rv>
  <rv s="1">
    <v>16</v>
  </rv>
  <rv s="0">
    <v>en-US</v>
    <v>av932w</v>
    <v>268435456</v>
    <v>1</v>
    <v>Powered by Refinitiv</v>
    <v>0</v>
    <v>EUR/USD</v>
    <v>2</v>
    <v>7</v>
    <v>Finance</v>
    <v>4</v>
    <v>1.1274999999999999</v>
    <v>1.0447</v>
    <v>8.9999999999999998E-4</v>
    <v>8.2809999999999991E-4</v>
    <v>USD</v>
    <v>EUR</v>
    <v>1.0894999999999999</v>
    <v>Currency Pair</v>
    <v>45449.448113425926</v>
    <v>1.0869</v>
    <v>Euro/US Dollar FX Spot Rate</v>
    <v>1.0867</v>
    <v>1.0868</v>
    <v>1.0876999999999999</v>
    <v>EURUSD</v>
    <v>EUR/USD</v>
  </rv>
  <rv s="1">
    <v>18</v>
  </rv>
  <rv s="0">
    <v>en-US</v>
    <v>av92z2</v>
    <v>268435456</v>
    <v>1</v>
    <v>Powered by Refinitiv</v>
    <v>0</v>
    <v>EUR/GBP</v>
    <v>2</v>
    <v>3</v>
    <v>Finance</v>
    <v>4</v>
    <v>0.87649999999999995</v>
    <v>0.84799999999999998</v>
    <v>8.0000000000000004E-4</v>
    <v>9.4149999999999995E-4</v>
    <v>GBP</v>
    <v>EUR</v>
    <v>0.85119999999999996</v>
    <v>Currency Pair</v>
    <v>45449.448113425926</v>
    <v>0.84989999999999999</v>
    <v>Euro/UK Pound Sterling FX Cross Rate</v>
    <v>0.8498</v>
    <v>0.84970000000000001</v>
    <v>0.85050000000000003</v>
    <v>EURGBP</v>
    <v>EUR/GBP</v>
  </rv>
  <rv s="1">
    <v>20</v>
  </rv>
  <rv s="0">
    <v>en-US</v>
    <v>av8vur</v>
    <v>268435456</v>
    <v>1</v>
    <v>Powered by Refinitiv</v>
    <v>0</v>
    <v>EUR/HKD</v>
    <v>2</v>
    <v>5</v>
    <v>Finance</v>
    <v>4</v>
    <v>8.8106000000000009</v>
    <v>8.1820000000000004</v>
    <v>5.5999999999999999E-3</v>
    <v>6.5970000000000004E-4</v>
    <v>HKD</v>
    <v>EUR</v>
    <v>8.5083000000000002</v>
    <v>Currency Pair</v>
    <v>45449.448113425926</v>
    <v>8.4898000000000007</v>
    <v>Euro/Hong Kong Dollar FX Cross Rate</v>
    <v>8.4895999999999994</v>
    <v>8.4888999999999992</v>
    <v>8.4945000000000004</v>
    <v>EURHKD</v>
    <v>EUR/HKD</v>
  </rv>
  <rv s="1">
    <v>22</v>
  </rv>
  <rv s="2">
    <v>https://www.bing.com/financeapi/forcetrigger?t=a2hqlh&amp;q=OTCM%3aGBTC&amp;form=skydnc</v>
    <v>Learn more on Bing</v>
  </rv>
  <rv s="3">
    <v>en-US</v>
    <v>a2hqlh</v>
    <v>268435456</v>
    <v>1</v>
    <v>Powered by Refinitiv</v>
    <v>8</v>
    <v>GRAYSCALE BITCOIN TRUST (BTC) (ARCX:GBTC)</v>
    <v>9</v>
    <v>10</v>
    <v>Finance</v>
    <v>11</v>
    <v>65.61</v>
    <v>10.875</v>
    <v>0.73</v>
    <v>1.1658E-2</v>
    <v>USD</v>
    <v>Grayscale Bitcoin Trust (the Trust) is an investment vehicle. The Trust’s purpose is to hold Bitcoins, which are digital assets that are created and transmitted through the operations of the peer-to-peer Bitcoin network, a decentralized network of computers that operates on cryptographic protocols. Its investment objective is for the value of the shares (based on Bitcoin per Share) to reflect the value of Bitcoin held by the Trust, determined by reference to the Index Price, less the Trust’s expenses and other liabilities. The Trust’s activities include issuing Baskets in exchange for Bitcoins transferred to the Trust; transferring or selling Bitcoins, Incidental Rights and IR Virtual Currency; transferring Bitcoins in exchange for Baskets surrendered for redemption; causing the Sponsor to sell Bitcoins, Incidental Rights and IR Virtual Currency on the termination of the Trust; and making distributions of Incidental Rights and/or IR Virtual Currency or cash from the sale thereof.</v>
    <v>NYSE Arca</v>
    <v>ARCX</v>
    <v>ARCX</v>
    <v>290 Harbor Drive, 4Th Floor, STAMFORD, CT, 06902 US</v>
    <v>63.9</v>
    <v>Stock</v>
    <v>45449.000000034372</v>
    <v>24</v>
    <v>62.54</v>
    <v>GRAYSCALE BITCOIN TRUST (BTC)</v>
    <v>GRAYSCALE BITCOIN TRUST (BTC)</v>
    <v>63.23</v>
    <v>2.7610000000000001</v>
    <v>62.62</v>
    <v>63.35</v>
    <v>GBTC</v>
    <v>GRAYSCALE BITCOIN TRUST (BTC) (ARCX:GBTC)</v>
    <v>708</v>
    <v>6023704</v>
  </rv>
  <rv s="1">
    <v>25</v>
  </rv>
  <rv s="2">
    <v>https://www.bing.com/financeapi/forcetrigger?t=bq8rqh&amp;q=XNAS%3aCRWD&amp;form=skydnc</v>
    <v>Learn more on Bing</v>
  </rv>
  <rv s="4">
    <v>en-US</v>
    <v>bq8rqh</v>
    <v>268435456</v>
    <v>1</v>
    <v>Powered by Refinitiv</v>
    <v>12</v>
    <v>CROWDSTRIKE HOLDINGS, INC. (XNAS:CRWD)</v>
    <v>9</v>
    <v>13</v>
    <v>Finance</v>
    <v>14</v>
    <v>365</v>
    <v>139.37</v>
    <v>1.077</v>
    <v>36.6</v>
    <v>0.119772</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7925</v>
    <v>Nasdaq Stock Market</v>
    <v>XNAS</v>
    <v>XNAS</v>
    <v>206 E. 9TH STREET, SUITE 1400, AUSTIN, TX, 78701 US</v>
    <v>342.59</v>
    <v>Software &amp; IT Services</v>
    <v>Stock</v>
    <v>45448.999830948436</v>
    <v>27</v>
    <v>316.39</v>
    <v>83210648040</v>
    <v>CROWDSTRIKE HOLDINGS, INC.</v>
    <v>CROWDSTRIKE HOLDINGS, INC.</v>
    <v>334.61</v>
    <v>643.07460000000003</v>
    <v>305.58</v>
    <v>342.18</v>
    <v>243178000</v>
    <v>CRWD</v>
    <v>CROWDSTRIKE HOLDINGS, INC. (XNAS:CRWD)</v>
    <v>4199</v>
    <v>3123320</v>
    <v>2011</v>
  </rv>
  <rv s="1">
    <v>28</v>
  </rv>
  <rv s="2">
    <v>https://www.bing.com/financeapi/forcetrigger?t=a21p52&amp;q=XNAS%3aQYLD&amp;form=skydnc</v>
    <v>Learn more on Bing</v>
  </rv>
  <rv s="5">
    <v>en-US</v>
    <v>a21p52</v>
    <v>268435456</v>
    <v>1</v>
    <v>Powered by Refinitiv</v>
    <v>15</v>
    <v>Glbl X NASDAQ 100 CC (XNAS:QYLD)</v>
    <v>16</v>
    <v>17</v>
    <v>Finance</v>
    <v>18</v>
    <v>18.16</v>
    <v>16.25</v>
    <v>0.53590000000000004</v>
    <v>0.1</v>
    <v>5.6879999999999995E-3</v>
    <v>USD</v>
    <v>Nasdaq Stock Market</v>
    <v>XNAS</v>
    <v>6.0999999999999995E-3</v>
    <v>17.690000000000001</v>
    <v>ETF</v>
    <v>45448.99989513828</v>
    <v>30</v>
    <v>17.5959</v>
    <v>8136029100</v>
    <v>Glbl X NASDAQ 100 CC</v>
    <v>17.600000000000001</v>
    <v>17.579999999999998</v>
    <v>17.68</v>
    <v>QYLD</v>
    <v>Glbl X NASDAQ 100 CC (XNAS:QYLD)</v>
    <v>5920</v>
    <v>3974028</v>
  </rv>
  <rv s="1">
    <v>31</v>
  </rv>
  <rv s="2">
    <v>https://www.bing.com/financeapi/forcetrigger?t=bpli2w&amp;q=XNYS%3aSI&amp;form=skydnc</v>
    <v>Learn more on Bing</v>
  </rv>
  <rv s="6">
    <v>en-US</v>
    <v>bpli2w</v>
    <v>268435456</v>
    <v>1</v>
    <v>Powered by Refinitiv</v>
    <v>19</v>
    <v>SILVERGATE CAPITAL CORPORATION (OTCM:SICP)</v>
    <v>9</v>
    <v>20</v>
    <v>Finance</v>
    <v>21</v>
    <v>1.23</v>
    <v>0.06</v>
    <v>1.6712</v>
    <v>0</v>
    <v>0</v>
    <v>USD</v>
    <v>Silvergate Capital Corporation is a holding company for Silvergate Bank (the Bank). The Bank is a provider of financial infrastructure solutions and services for the digital currency industry. The Company's platform, known as the Silvergate Exchange Network, provides payments, lending and funding solutions for an expanding class of digital currency companies and investors. The Bank provides financial services that include commercial banking, commercial and residential real estate lending, mortgage warehouse lending, and commercial business lending. The Bank also provides a full range of deposit products and services. The Bank's Silvergate Exchange Network (SEN), which is a virtually instantaneous payment network for participants in the digital currency industry that serves as a platform for the development of additional products and services. The Company designed the SEN network of digital currency exchanges and digital currency investors that enables the movement of the United States.</v>
    <v>279</v>
    <v>OTC Markets</v>
    <v>OTCM</v>
    <v>OTCM</v>
    <v>4275 EXECUTIVE SQUARE STE 800, LA JOLLA, CA, 92037 US</v>
    <v>0.52</v>
    <v>Banking Services</v>
    <v>Stock</v>
    <v>45449.006944444445</v>
    <v>33</v>
    <v>0.52</v>
    <v>16462472</v>
    <v>SILVERGATE CAPITAL CORPORATION</v>
    <v>SILVERGATE CAPITAL CORPORATION</v>
    <v>0.52</v>
    <v>0.52</v>
    <v>0.52</v>
    <v>31658600</v>
    <v>SICP</v>
    <v>SILVERGATE CAPITAL CORPORATION (OTCM:SICP)</v>
    <v>16436</v>
    <v>3478566</v>
    <v>2000</v>
  </rv>
  <rv s="1">
    <v>34</v>
  </rv>
  <rv s="2">
    <v>https://www.bing.com/financeapi/forcetrigger?t=bzu86h&amp;q=XNAS%3aCOIN&amp;form=skydnc</v>
    <v>Learn more on Bing</v>
  </rv>
  <rv s="4">
    <v>en-US</v>
    <v>bzu86h</v>
    <v>268435456</v>
    <v>1</v>
    <v>Powered by Refinitiv</v>
    <v>12</v>
    <v>COINBASE GLOBAL, INC. (XNAS:COIN)</v>
    <v>9</v>
    <v>13</v>
    <v>Finance</v>
    <v>14</v>
    <v>283.48</v>
    <v>46.43</v>
    <v>2.8849999999999998</v>
    <v>7.2</v>
    <v>2.9484E-2</v>
    <v>USD</v>
    <v>Coinbase Global, Inc. is a holding company of Coinbase, Inc. and other subsidiaries. The Company provides platform, which enables its users to engage in a variety of activities, including discovering, trading, staking, storing, spending, earning and using their crypto assets. The Company offers a suite of products and services that are designed to meet the distinct needs of its three customer groups: consumers, which includes individual retail user customers seeking to discover or trade crypto assets and engage in on chain activities; institutions, which are businesses that include market makers, asset managers, hedge funds, banks, wealth platforms, registered investment advisors, payment platforms, and public and private corporations; developers, which comprise of developers, creators, merchants, crypto asset issuers, organizations and financial institutions, and other groups building decentralized protocols, applications, products, or other services on chain.</v>
    <v>3416</v>
    <v>Nasdaq Stock Market</v>
    <v>XNAS</v>
    <v>XNAS</v>
    <v>C/O Corporation Service Company, 251 Little Falls Drive, WILMINGTON, DE, 19808 US</v>
    <v>251.89</v>
    <v>Financial Technology (Fintech) &amp; Infrastructure</v>
    <v>Stock</v>
    <v>45448.999955462503</v>
    <v>36</v>
    <v>240.7</v>
    <v>61736021460</v>
    <v>COINBASE GLOBAL, INC.</v>
    <v>COINBASE GLOBAL, INC.</v>
    <v>246.86</v>
    <v>51.989199999999997</v>
    <v>244.2</v>
    <v>251.4</v>
    <v>245568900</v>
    <v>COIN</v>
    <v>COINBASE GLOBAL, INC. (XNAS:COIN)</v>
    <v>29654</v>
    <v>9160679</v>
    <v>2014</v>
  </rv>
  <rv s="1">
    <v>37</v>
  </rv>
  <rv s="2">
    <v>https://www.bing.com/financeapi/forcetrigger?t=a23i8m&amp;q=XNYS%3aSQ&amp;form=skydnc</v>
    <v>Learn more on Bing</v>
  </rv>
  <rv s="4">
    <v>en-US</v>
    <v>a23i8m</v>
    <v>268435456</v>
    <v>1</v>
    <v>Powered by Refinitiv</v>
    <v>12</v>
    <v>BLOCK, INC. (XNYS:SQ)</v>
    <v>9</v>
    <v>13</v>
    <v>Finance</v>
    <v>14</v>
    <v>87.52</v>
    <v>38.85</v>
    <v>2.5318000000000001</v>
    <v>0.55000000000000004</v>
    <v>8.5599999999999999E-3</v>
    <v>USD</v>
    <v>Block, Inc. is focused on creating ecosystems for distinct customer audiences. The Company operates through two segments: Square and Cash App. Square segment includes managed payment services, software solutions, hardware, and financial services offered to sellers, excluding those that involve Cash App. Square is a cohesive commerce ecosystem that helps sellers start, run, and grow their businesses, including enabling sellers to accept card payments, provide reporting and analytics, and facilitating next-day settlement. Cash App segment includes the financial tools available to individuals within the mobile Cash App, including peer-to-peer payments, bitcoin and stock investments. Cash App also includes Cash App Card, which is linked to customer stored balances that customers can use to pay for purchases or withdraw funds from an ATM. Cash App also includes the BNPL platform. Its bitcoin ecosystem includes TBD, which is an open developer platform.</v>
    <v>12985</v>
    <v>New York Stock Exchange</v>
    <v>XNYS</v>
    <v>XNYS</v>
    <v>1955 Broadway, Suite 600, OAKLAND, CA, 94612 US</v>
    <v>65.62</v>
    <v>Professional &amp; Commercial Services</v>
    <v>Stock</v>
    <v>45448.999868147657</v>
    <v>39</v>
    <v>63.89</v>
    <v>39984256800</v>
    <v>BLOCK, INC.</v>
    <v>BLOCK, INC.</v>
    <v>65.22</v>
    <v>84.070700000000002</v>
    <v>64.25</v>
    <v>64.8</v>
    <v>617041000</v>
    <v>SQ</v>
    <v>BLOCK, INC. (XNYS:SQ)</v>
    <v>10412</v>
    <v>9231938</v>
    <v>2009</v>
  </rv>
  <rv s="1">
    <v>40</v>
  </rv>
  <rv s="2">
    <v>https://www.bing.com/financeapi/forcetrigger?t=a1nq6h&amp;q=ARCX%3aARKK&amp;form=skydnc</v>
    <v>Learn more on Bing</v>
  </rv>
  <rv s="5">
    <v>en-US</v>
    <v>a1nq6h</v>
    <v>268435456</v>
    <v>1</v>
    <v>Powered by Refinitiv</v>
    <v>15</v>
    <v>ARK Innovation (ARCX:ARKK)</v>
    <v>16</v>
    <v>17</v>
    <v>Finance</v>
    <v>18</v>
    <v>54.52</v>
    <v>33.76</v>
    <v>1.7148000000000001</v>
    <v>0.92</v>
    <v>2.1282000000000002E-2</v>
    <v>USD</v>
    <v>NYSE Arca</v>
    <v>ARCX</v>
    <v>7.4999999999999997E-3</v>
    <v>44.16</v>
    <v>ETF</v>
    <v>45449.000000774999</v>
    <v>42</v>
    <v>43.024999999999999</v>
    <v>6169968228.0500002</v>
    <v>ARK Innovation</v>
    <v>43.55</v>
    <v>43.23</v>
    <v>44.15</v>
    <v>ARKK</v>
    <v>ARK Innovation (ARCX:ARKK)</v>
    <v>133</v>
    <v>10674745</v>
  </rv>
  <rv s="1">
    <v>43</v>
  </rv>
  <rv s="2">
    <v>https://www.bing.com/financeapi/forcetrigger?t=a1xadm&amp;q=XNAS%3aMARA&amp;form=skydnc</v>
    <v>Learn more on Bing</v>
  </rv>
  <rv s="4">
    <v>en-US</v>
    <v>a1xadm</v>
    <v>268435456</v>
    <v>1</v>
    <v>Powered by Refinitiv</v>
    <v>12</v>
    <v>MARATHON DIGITAL HOLDINGS, INC. (XNAS:MARA)</v>
    <v>9</v>
    <v>13</v>
    <v>Finance</v>
    <v>14</v>
    <v>34.090000000000003</v>
    <v>7.16</v>
    <v>5.6067999999999998</v>
    <v>0.55000000000000004</v>
    <v>2.6803E-2</v>
    <v>USD</v>
    <v>Marathon Digital Holdings, Inc. is a digital asset technology company, which is focused on supporting and securing the Bitcoin ecosystem. The Company is engaged in owning and operating bitcoin mining facilities or data centers, selling proprietary software or technology to third parties operating in the Bitcoin ecosystem, offering advisory and consulting services to support bitcoin mining ventures in domestic and international jurisdictions, and generating electricity from renewable energy resources or methane gas capture to power bitcoin mining projects. Its business is also active in Bitcoin-related projects related to the technological development of immersion, hardware, firmware, mining pools and side chains that use the blockchain cryptography. It operates approximately 210,000 mining rigs globally, with an installed and energized hash rate of approximately 25.2 and 24.7 exahashes per second, respectively. The Company has mined 12,852 bitcoins.</v>
    <v>60</v>
    <v>Nasdaq Stock Market</v>
    <v>XNAS</v>
    <v>XNAS</v>
    <v>1180 N. Town Center Drive, Suite 100, LAS VEGAS, NV, 89144 US</v>
    <v>21.15</v>
    <v>Financial Technology (Fintech) &amp; Infrastructure</v>
    <v>Stock</v>
    <v>45448.999991863282</v>
    <v>45</v>
    <v>19.41</v>
    <v>5958330518</v>
    <v>MARATHON DIGITAL HOLDINGS, INC.</v>
    <v>MARATHON DIGITAL HOLDINGS, INC.</v>
    <v>20.93</v>
    <v>9.0642999999999994</v>
    <v>20.52</v>
    <v>21.07</v>
    <v>282787400</v>
    <v>MARA</v>
    <v>MARATHON DIGITAL HOLDINGS, INC. (XNAS:MARA)</v>
    <v>59280</v>
    <v>47823491</v>
    <v>2010</v>
  </rv>
  <rv s="1">
    <v>46</v>
  </rv>
  <rv s="2">
    <v>https://www.bing.com/financeapi/forcetrigger?t=a1y1qh&amp;q=XNAS%3aMSTR&amp;form=skydnc</v>
    <v>Learn more on Bing</v>
  </rv>
  <rv s="4">
    <v>en-US</v>
    <v>a1y1qh</v>
    <v>268435456</v>
    <v>1</v>
    <v>Powered by Refinitiv</v>
    <v>12</v>
    <v>MICROSTRATEGY INCORPORATED (XNAS:MSTR)</v>
    <v>9</v>
    <v>13</v>
    <v>Finance</v>
    <v>14</v>
    <v>1999.99</v>
    <v>266</v>
    <v>3.1478000000000002</v>
    <v>55.92</v>
    <v>3.4123000000000001E-2</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1851</v>
    <v>Nasdaq Stock Market</v>
    <v>XNAS</v>
    <v>XNAS</v>
    <v>1850 Towers Crescent Plz, TYSONS CORNER, VA, 22182 US</v>
    <v>1717.84</v>
    <v>Software &amp; IT Services</v>
    <v>Stock</v>
    <v>45448.999914606247</v>
    <v>48</v>
    <v>1636.2401</v>
    <v>30059445246</v>
    <v>MICROSTRATEGY INCORPORATED</v>
    <v>MICROSTRATEGY INCORPORATED</v>
    <v>1675</v>
    <v>0</v>
    <v>1638.77</v>
    <v>1694.69</v>
    <v>17737430</v>
    <v>MSTR</v>
    <v>MICROSTRATEGY INCORPORATED (XNAS:MSTR)</v>
    <v>3055</v>
    <v>1376838</v>
    <v>1989</v>
  </rv>
  <rv s="1">
    <v>49</v>
  </rv>
  <rv s="2">
    <v>https://www.bing.com/financeapi/forcetrigger?t=a1twnm&amp;q=ARCX%3aGLD&amp;form=skydnc</v>
    <v>Learn more on Bing</v>
  </rv>
  <rv s="5">
    <v>en-US</v>
    <v>a1twnm</v>
    <v>268435456</v>
    <v>1</v>
    <v>Powered by Refinitiv</v>
    <v>15</v>
    <v>SPDR Gold (ARCX:GLD)</v>
    <v>16</v>
    <v>17</v>
    <v>Finance</v>
    <v>18</v>
    <v>225.66</v>
    <v>168.3</v>
    <v>0.8347</v>
    <v>2.5499999999999998</v>
    <v>1.1846000000000001E-2</v>
    <v>USD</v>
    <v>NYSE Arca</v>
    <v>ARCX</v>
    <v>4.0000000000000001E-3</v>
    <v>218.0795</v>
    <v>ETF</v>
    <v>45449.000000763284</v>
    <v>51</v>
    <v>215.93</v>
    <v>61705254801.480003</v>
    <v>SPDR Gold</v>
    <v>216.69</v>
    <v>215.27</v>
    <v>217.82</v>
    <v>GLD</v>
    <v>SPDR Gold (ARCX:GLD)</v>
    <v>11493</v>
    <v>6135615</v>
  </rv>
  <rv s="1">
    <v>52</v>
  </rv>
  <rv s="2">
    <v>https://www.bing.com/financeapi/forcetrigger?t=c2mtww&amp;q=XNAS%3aHOOD&amp;form=skydnc</v>
    <v>Learn more on Bing</v>
  </rv>
  <rv s="4">
    <v>en-US</v>
    <v>c2mtww</v>
    <v>268435456</v>
    <v>1</v>
    <v>Powered by Refinitiv</v>
    <v>12</v>
    <v>ROBINHOOD MARKETS, INC. (XNAS:HOOD)</v>
    <v>9</v>
    <v>13</v>
    <v>Finance</v>
    <v>14</v>
    <v>22.4</v>
    <v>7.91</v>
    <v>1.6279999999999999</v>
    <v>0.79</v>
    <v>3.8016999999999995E-2</v>
    <v>USD</v>
    <v>Robinhood Markets, Inc. provides financial services platform for everyone, regardless of their wealth, income, or background. It uses technology to provide access to the financial system. Its offerings include Brokerage, Robinhood Crypto, Custody, Robinhood Wallet, Robinhood Gold, and Robinhood Credit Card. Its Brokerage services include investing, options trading, fractional trading, recurring investment, access to investing on margin, fully paid securities lending, cash sweep, instant withdrawals, Robinhood retirement, 24-hour market, and IPO access and directed share program. It also commission-free cryptocurrency trading in the through Robinhood Crypto, LLC. It provides crypto recurring investments, allowing customers to automatically buy crypto, commission-free, on a schedule of their choice. It also holds settled cryptocurrencies in custody on behalf of customers in two types of wallets: hot wallets, which are managed online and cold wallets, which are managed entirely offline.</v>
    <v>2200</v>
    <v>Nasdaq Stock Market</v>
    <v>XNAS</v>
    <v>XNAS</v>
    <v>85 Willow Road, MENLO PARK, CA, 94025 US</v>
    <v>21.59</v>
    <v>Financial Technology (Fintech) &amp; Infrastructure</v>
    <v>Stock</v>
    <v>45448.999822245314</v>
    <v>54</v>
    <v>20.39</v>
    <v>18956490363</v>
    <v>ROBINHOOD MARKETS, INC.</v>
    <v>ROBINHOOD MARKETS, INC.</v>
    <v>21</v>
    <v>150.3031</v>
    <v>20.78</v>
    <v>21.57</v>
    <v>878835900</v>
    <v>HOOD</v>
    <v>ROBINHOOD MARKETS, INC. (XNAS:HOOD)</v>
    <v>18988</v>
    <v>23050237</v>
    <v>2013</v>
  </rv>
  <rv s="1">
    <v>55</v>
  </rv>
  <rv s="2">
    <v>https://www.bing.com/financeapi/forcetrigger?t=bn6lmw&amp;q=XNYS%3aBE&amp;form=skydnc</v>
    <v>Learn more on Bing</v>
  </rv>
  <rv s="6">
    <v>en-US</v>
    <v>bn6lmw</v>
    <v>268435456</v>
    <v>1</v>
    <v>Powered by Refinitiv</v>
    <v>19</v>
    <v>BLOOM ENERGY CORPORATION (XNYS:BE)</v>
    <v>9</v>
    <v>20</v>
    <v>Finance</v>
    <v>11</v>
    <v>18.760000000000002</v>
    <v>8.4123999999999999</v>
    <v>2.8534999999999999</v>
    <v>0.66</v>
    <v>4.3941000000000001E-2</v>
    <v>USD</v>
    <v>Bloom Energy Corporation provides technology solutions to customers. The Company manufactures advanced and versatile energy platforms, which deliver two products: the Bloom Energy Server and the Bloom Electrolyzer. With over 1.2 gigawatts of Energy Servers operating in more than 1,200 locations and seven countries. Its solid oxide fuel cell technology platform is the foundation for its Energy Servers and Electrolyzers. Its power generation platform, the Bloom Energy Server, is designed to deliver reliable, resilient, clean and affordable energy for utilities and organizations alike. The Energy Server platform can be utilized in various applications: Carbon capture, Combined heat &amp; power, Waste to Energy and Marine Fuel Cells. The Bloom Electrolyzer is designed to produce hydrogen solutions based on the same solid oxide platform as its Energy Server. The Bloom Electrolyzer is ideal for applications across gas, utilities, nuclear, concentrated solar, ammonia and heavy industries.</v>
    <v>2377</v>
    <v>New York Stock Exchange</v>
    <v>XNYS</v>
    <v>XNYS</v>
    <v>4353 N 1st St, SAN JOSE, CA, 95134-1259 US</v>
    <v>15.94</v>
    <v>Machinery, Equipment &amp; Components</v>
    <v>Stock</v>
    <v>45448.998828726566</v>
    <v>57</v>
    <v>14.7</v>
    <v>3559673600</v>
    <v>BLOOM ENERGY CORPORATION</v>
    <v>BLOOM ENERGY CORPORATION</v>
    <v>15.14</v>
    <v>15.02</v>
    <v>15.68</v>
    <v>227020000</v>
    <v>BE</v>
    <v>BLOOM ENERGY CORPORATION (XNYS:BE)</v>
    <v>1642</v>
    <v>8851418</v>
    <v>2001</v>
  </rv>
  <rv s="1">
    <v>58</v>
  </rv>
  <rv s="2">
    <v>https://www.bing.com/financeapi/forcetrigger?t=a2cez2&amp;q=XNAS%3aCLSK&amp;form=skydnc</v>
    <v>Learn more on Bing</v>
  </rv>
  <rv s="4">
    <v>en-US</v>
    <v>a2cez2</v>
    <v>268435456</v>
    <v>1</v>
    <v>Powered by Refinitiv</v>
    <v>12</v>
    <v>CLEANSPARK, INC. (XNAS:CLSK)</v>
    <v>9</v>
    <v>13</v>
    <v>Finance</v>
    <v>14</v>
    <v>24.72</v>
    <v>3.38</v>
    <v>4.2664999999999997</v>
    <v>0.27</v>
    <v>1.6781000000000001E-2</v>
    <v>USD</v>
    <v>CleanSpark, Inc. is a bitcoin mining company. The Company independently owns and operates approximately eight data centers in Georgia for a total developed capacity of 230 megawatts (MW). The Company is engaged in developing an additional 150 MW at its data center in Sandersville, Georgia. It does not host miners for any other companies, and has a partner in Massena, New York, who hosts approximately 50 MW for the Company. It operates around bitcoin mining machines, with a hash rate capacity of approximately 15 Exa hashes per second (EH/s) and a fleetwide efficiency of 28.4 joules per tera hash (J/TH). The Company's subsidiaries include ATL Data Centers LLC, CleanBlok, Inc., CleanSpark DW, LLC, CleanSpark GLP, LLC, CSRE Properties Norcross, LLC, CSRE Property Management Company, LLC, CSRE Properties, LLC, CSRE Properties Washington, LLC, CSRE Properties Dalton, LLC, and CleanSpark HQ, LLC.</v>
    <v>131</v>
    <v>Nasdaq Stock Market</v>
    <v>XNAS</v>
    <v>XNAS</v>
    <v>10624 S. Eastern Ave., Suite A - 638, HENDERSON, NV, 89052 US</v>
    <v>16.670000000000002</v>
    <v>Financial Technology (Fintech) &amp; Infrastructure</v>
    <v>Stock</v>
    <v>45448.999933113279</v>
    <v>60</v>
    <v>15.56</v>
    <v>3727958108</v>
    <v>CLEANSPARK, INC.</v>
    <v>CLEANSPARK, INC.</v>
    <v>16.510000000000002</v>
    <v>120.4979</v>
    <v>16.09</v>
    <v>16.36</v>
    <v>227870300</v>
    <v>CLSK</v>
    <v>CLEANSPARK, INC. (XNAS:CLSK)</v>
    <v>31576</v>
    <v>28380076</v>
    <v>1987</v>
  </rv>
  <rv s="1">
    <v>61</v>
  </rv>
  <rv s="2">
    <v>https://www.bing.com/financeapi/forcetrigger?t=a221pr&amp;q=XNAS%3aRIOT&amp;form=skydnc</v>
    <v>Learn more on Bing</v>
  </rv>
  <rv s="4">
    <v>en-US</v>
    <v>a221pr</v>
    <v>268435456</v>
    <v>1</v>
    <v>Powered by Refinitiv</v>
    <v>12</v>
    <v>Riot Platforms, Inc. (XNAS:RIOT)</v>
    <v>9</v>
    <v>13</v>
    <v>Finance</v>
    <v>14</v>
    <v>20.65</v>
    <v>7.8</v>
    <v>4.1898999999999997</v>
    <v>-0.02</v>
    <v>-2.068E-3</v>
    <v>USD</v>
    <v>Riot Platforms, Inc. is a vertically integrated bitcoin mining company principally engaged in enhancing its capabilities to mine bitcoin in support of the bitcoin blockchain. It also provides comprehensive and critical mining infrastructure for institutional-scale hosted clients to mine bitcoin at its Rockdale Facility. The Rockdale Facility provides over 700 megawatts in total developed capacity for its bitcoin mining and data center hosting services for institutional-scale hosted clients. It operates through three segments: Bitcoin Mining, Data Center Hosting, and Engineering. Its Bitcoin Mining segment operates approximately 112,944 miners, with a hash rate capacity of 12.4 exahash per second (EH/s). Its Data Center Hosting segment operates at its Rockdale Facility and focuses on providing co-location services for institutional-scale bitcoin mining companies. Its Engineering segment designs and manufacturers power distribution equipment and custom engineered electrical products.</v>
    <v>534</v>
    <v>Nasdaq Stock Market</v>
    <v>XNAS</v>
    <v>XNAS</v>
    <v>3855 AMBROSIA STREET, SUITE 301, CASTLE ROCK, CO, 80109 US</v>
    <v>9.86</v>
    <v>Financial Technology (Fintech) &amp; Infrastructure</v>
    <v>Stock</v>
    <v>45448.999982753907</v>
    <v>63</v>
    <v>8.8094999999999999</v>
    <v>2792551000</v>
    <v>Riot Platforms, Inc.</v>
    <v>Riot Platforms, Inc.</v>
    <v>9.81</v>
    <v>12.061999999999999</v>
    <v>9.67</v>
    <v>9.65</v>
    <v>288784900</v>
    <v>RIOT</v>
    <v>Riot Platforms, Inc. (XNAS:RIOT)</v>
    <v>62785</v>
    <v>20073449</v>
    <v>2017</v>
  </rv>
  <rv s="1">
    <v>64</v>
  </rv>
</rvData>
</file>

<file path=xl/richData/rdrichvaluestructure.xml><?xml version="1.0" encoding="utf-8"?>
<rvStructures xmlns="http://schemas.microsoft.com/office/spreadsheetml/2017/richdata" count="7">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strument type" t="s"/>
    <k n="Last trade time"/>
    <k n="LearnMoreOnLink" t="r"/>
    <k n="Low"/>
    <k n="Name" t="s"/>
    <k n="Official name" t="s"/>
    <k n="Open"/>
    <k n="P/E"/>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P/E</v>
      <v t="s">Description</v>
      <v t="s">Headquarters</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2">
    <spb s="0">
      <v>0</v>
      <v>Name</v>
    </spb>
    <spb s="1">
      <v>0</v>
      <v>0</v>
      <v>0</v>
    </spb>
    <spb s="2">
      <v>1</v>
      <v>1</v>
    </spb>
    <spb s="3">
      <v>1</v>
      <v>1</v>
      <v>2</v>
      <v>1</v>
      <v>1</v>
      <v>1</v>
      <v>3</v>
      <v>1</v>
      <v>1</v>
      <v>1</v>
      <v>4</v>
      <v>5</v>
    </spb>
    <spb s="4">
      <v>GMT</v>
    </spb>
    <spb s="3">
      <v>6</v>
      <v>6</v>
      <v>2</v>
      <v>6</v>
      <v>6</v>
      <v>6</v>
      <v>3</v>
      <v>6</v>
      <v>6</v>
      <v>6</v>
      <v>4</v>
      <v>5</v>
    </spb>
    <spb s="3">
      <v>7</v>
      <v>7</v>
      <v>2</v>
      <v>7</v>
      <v>7</v>
      <v>7</v>
      <v>3</v>
      <v>7</v>
      <v>7</v>
      <v>7</v>
      <v>4</v>
      <v>5</v>
    </spb>
    <spb s="3">
      <v>8</v>
      <v>8</v>
      <v>2</v>
      <v>8</v>
      <v>8</v>
      <v>8</v>
      <v>3</v>
      <v>8</v>
      <v>8</v>
      <v>8</v>
      <v>4</v>
      <v>5</v>
    </spb>
    <spb s="5">
      <v>1</v>
      <v>Name</v>
      <v>LearnMoreOnLink</v>
    </spb>
    <spb s="6">
      <v>1</v>
      <v>1</v>
      <v>1</v>
      <v>1</v>
    </spb>
    <spb s="7">
      <v>8</v>
      <v>9</v>
      <v>8</v>
      <v>2</v>
      <v>8</v>
      <v>8</v>
      <v>8</v>
      <v>10</v>
      <v>3</v>
      <v>8</v>
      <v>8</v>
      <v>8</v>
      <v>10</v>
      <v>4</v>
      <v>5</v>
    </spb>
    <spb s="8">
      <v>Delayed 15 minutes</v>
      <v>from previous close</v>
      <v>from previous close</v>
      <v>Source: Nasdaq</v>
      <v>GMT</v>
    </spb>
    <spb s="5">
      <v>2</v>
      <v>Name</v>
      <v>LearnMoreOnLink</v>
    </spb>
    <spb s="9">
      <v>8</v>
      <v>9</v>
      <v>9</v>
      <v>8</v>
      <v>2</v>
      <v>8</v>
      <v>8</v>
      <v>8</v>
      <v>10</v>
      <v>10</v>
      <v>3</v>
      <v>11</v>
      <v>8</v>
      <v>8</v>
      <v>8</v>
      <v>10</v>
      <v>4</v>
      <v>12</v>
      <v>5</v>
      <v>10</v>
    </spb>
    <spb s="8">
      <v>Real-Time Nasdaq Last Sale</v>
      <v>from previous close</v>
      <v>from previous close</v>
      <v>Source: Nasdaq Last Sale</v>
      <v>GMT</v>
    </spb>
    <spb s="5">
      <v>3</v>
      <v>Name</v>
      <v>LearnMoreOnLink</v>
    </spb>
    <spb s="10">
      <v>1</v>
      <v>1</v>
      <v>1</v>
    </spb>
    <spb s="11">
      <v>8</v>
      <v>9</v>
      <v>8</v>
      <v>2</v>
      <v>8</v>
      <v>8</v>
      <v>8</v>
      <v>10</v>
      <v>3</v>
      <v>11</v>
      <v>8</v>
      <v>8</v>
      <v>3</v>
      <v>8</v>
      <v>10</v>
      <v>4</v>
      <v>5</v>
    </spb>
    <spb s="12">
      <v>Delayed 15 minutes</v>
      <v>from previous close</v>
      <v>Source: Nasdaq</v>
      <v>from previous close</v>
      <v>GMT</v>
    </spb>
    <spb s="5">
      <v>4</v>
      <v>Name</v>
      <v>LearnMoreOnLink</v>
    </spb>
    <spb s="13">
      <v>8</v>
      <v>9</v>
      <v>8</v>
      <v>2</v>
      <v>8</v>
      <v>8</v>
      <v>8</v>
      <v>10</v>
      <v>10</v>
      <v>3</v>
      <v>11</v>
      <v>8</v>
      <v>8</v>
      <v>8</v>
      <v>10</v>
      <v>4</v>
      <v>12</v>
      <v>5</v>
      <v>10</v>
    </spb>
    <spb s="14">
      <v>Delayed 15 minutes</v>
      <v>from previous close</v>
      <v>from previous close</v>
      <v>GMT</v>
    </spb>
  </spbData>
</supportingPropertyBags>
</file>

<file path=xl/richData/rdsupportingpropertybagstructure.xml><?xml version="1.0" encoding="utf-8"?>
<spbStructures xmlns="http://schemas.microsoft.com/office/spreadsheetml/2017/richdata2" count="1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High" t="i"/>
    <k n="Name" t="i"/>
    <k n="Open" t="i"/>
    <k n="Price" t="i"/>
    <k n="Change" t="i"/>
    <k n="Volume" t="i"/>
    <k n="Change (%)" t="i"/>
    <k n="52 week low" t="i"/>
    <k n="52 week high" t="i"/>
    <k n="Previous close" t="i"/>
    <k n="Volume average" t="i"/>
    <k n="Last trade time" t="i"/>
    <k n="`%EntityServiceId"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_-[$£-en-GB]* #,##0.00_-;-[$£-en-GB]* #,##0.00_-;_-[$£-en-GB]* "-"??_-;_-@_-</rpv>
    </rSty>
    <rSty>
      <rpv i="1">1</rpv>
    </rSty>
    <rSty dxfid="3"/>
    <rSty dxfid="2"/>
    <rSty dxfid="0">
      <rpv i="0">0.00</rpv>
    </rSty>
    <rSty dxfid="1">
      <rpv i="0">_([$HK$-zh-HK]* #,##0.00_);_([$HK$-zh-HK]* (#,##0.00);_([$HK$-zh-HK]* "-"??_);_(@_)</rpv>
    </rSty>
    <rSty dxfid="1">
      <rpv i="0">_([$€-x-euro2] * #,##0.00_);_([$€-x-euro2] * (#,##0.00);_([$€-x-euro2] * "-"??_);_(@_)</rpv>
    </rSty>
    <rSty dxfid="1">
      <rpv i="0">_([$$-en-US]* #,##0.00_);_([$$-en-US]* (#,##0.00);_([$$-en-US]* "-"??_);_(@_)</rpv>
    </rSty>
    <rSty dxfid="5">
      <rpv i="0">#,##0.00</rpv>
    </rSty>
    <rSty dxfid="4">
      <rpv i="0">#,##0</rpv>
    </rSty>
    <rSty dxfid="1">
      <rpv i="0">_([$$-en-US]* #,##0_);_([$$-en-US]* (#,##0);_([$$-en-US]* "-"_);_(@_)</rpv>
    </rSty>
    <rSty dxfid="6">
      <rpv i="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8E6E70-09D5-46DF-AB30-FF7C83A5D4D3}" name="markets?vs_currency_usd_ids_bitcoin_2Cethereum_2Ctether_2Cbinancecoin_2Csola__2" displayName="markets?vs_currency_usd_ids_bitcoin_2Cethereum_2Ctether_2Cbinancecoin_2Csola__2" ref="A1:J54" tableType="queryTable" totalsRowShown="0" headerRowDxfId="25" dataDxfId="24">
  <autoFilter ref="A1:J54" xr:uid="{EA8E6E70-09D5-46DF-AB30-FF7C83A5D4D3}"/>
  <tableColumns count="10">
    <tableColumn id="1" xr3:uid="{2855BEA3-18C3-45D7-991C-68B234C213E2}" uniqueName="1" name="market_cap_rank" queryTableFieldId="1" dataDxfId="23"/>
    <tableColumn id="2" xr3:uid="{5EAA7431-2CE6-4D8B-9332-92CDE059B774}" uniqueName="2" name="id" queryTableFieldId="2" dataDxfId="22"/>
    <tableColumn id="3" xr3:uid="{25155127-FC2F-4DF7-A31C-46478EB34B80}" uniqueName="3" name="symbol" queryTableFieldId="3" dataDxfId="21"/>
    <tableColumn id="4" xr3:uid="{5FA42EAB-C638-486D-8824-D9B16BD7EBAC}" uniqueName="4" name="name" queryTableFieldId="4" dataDxfId="20"/>
    <tableColumn id="5" xr3:uid="{9DD24CC3-B035-43CB-83D9-493DCB5BDFDE}" uniqueName="5" name="current_price" queryTableFieldId="5" dataDxfId="19"/>
    <tableColumn id="6" xr3:uid="{48A62BE7-D2A3-44F0-B897-3B96C80033EE}" uniqueName="6" name="price_change_24h" queryTableFieldId="6" dataDxfId="18"/>
    <tableColumn id="7" xr3:uid="{568125B1-8295-4F34-AAB0-F22279A78924}" uniqueName="7" name="price_change_percentage_24h" queryTableFieldId="7" dataDxfId="17" dataCellStyle="Percent"/>
    <tableColumn id="10" xr3:uid="{3CF378FF-7AD6-4F31-AA58-E8C344610C6C}" uniqueName="10" name="market_cap" queryTableFieldId="10" dataDxfId="16"/>
    <tableColumn id="11" xr3:uid="{B4148EEA-01F1-4EA0-85BA-0215913FABBA}" uniqueName="11" name="total_volume" queryTableFieldId="11" dataDxfId="15"/>
    <tableColumn id="8" xr3:uid="{C289FCD5-20C8-4C0B-A7F3-59EBC95D5593}" uniqueName="8" name="last_updated" queryTableFieldId="8"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14D9F-D259-453F-B1C1-FA1B914E4E29}">
  <sheetPr codeName="Sheet1"/>
  <dimension ref="A1:I53"/>
  <sheetViews>
    <sheetView topLeftCell="A24" workbookViewId="0">
      <selection activeCell="C36" sqref="C36"/>
    </sheetView>
  </sheetViews>
  <sheetFormatPr defaultRowHeight="15"/>
  <cols>
    <col min="1" max="1" width="16.85546875" style="1" customWidth="1"/>
    <col min="2" max="2" width="9.7109375" style="1" customWidth="1"/>
    <col min="3" max="3" width="15.140625" style="1" bestFit="1" customWidth="1"/>
    <col min="4" max="4" width="13.5703125" style="1" bestFit="1" customWidth="1"/>
    <col min="5" max="5" width="20.85546875" style="1" hidden="1" customWidth="1"/>
    <col min="6" max="6" width="15.7109375" style="1" customWidth="1"/>
    <col min="7" max="7" width="13.7109375" style="1" customWidth="1"/>
    <col min="8" max="8" width="15.7109375" style="1" customWidth="1"/>
    <col min="9" max="9" width="13.28515625" style="1" bestFit="1" customWidth="1"/>
    <col min="10" max="16384" width="9.140625" style="1"/>
  </cols>
  <sheetData>
    <row r="1" spans="1:9" s="3" customFormat="1" ht="23.25" customHeight="1">
      <c r="A1" s="3" t="s">
        <v>3</v>
      </c>
      <c r="B1" s="3" t="s">
        <v>46</v>
      </c>
      <c r="C1" s="3" t="s">
        <v>1</v>
      </c>
      <c r="D1" s="3" t="s">
        <v>0</v>
      </c>
      <c r="E1" s="3" t="s">
        <v>73</v>
      </c>
      <c r="F1" s="3" t="s">
        <v>282</v>
      </c>
      <c r="G1" s="3" t="s">
        <v>297</v>
      </c>
      <c r="H1" s="3" t="s">
        <v>285</v>
      </c>
      <c r="I1" s="3" t="s">
        <v>2</v>
      </c>
    </row>
    <row r="2" spans="1:9">
      <c r="A2" s="1" t="s">
        <v>4</v>
      </c>
      <c r="B2" s="1" t="s">
        <v>47</v>
      </c>
      <c r="C2" s="1" t="s">
        <v>4</v>
      </c>
      <c r="D2" s="1" t="s">
        <v>5</v>
      </c>
      <c r="E2" s="1" t="s">
        <v>74</v>
      </c>
      <c r="F2" s="2">
        <f>_xlfn.XLOOKUP(A2,'CoinGeko API'!D:D,'CoinGeko API'!E:E)</f>
        <v>70232</v>
      </c>
      <c r="G2" s="1">
        <v>0.38879999999999998</v>
      </c>
      <c r="H2" s="2">
        <f t="shared" ref="H2:H33" si="0">F2*G2</f>
        <v>27306.2016</v>
      </c>
      <c r="I2" s="4">
        <f>H2/$H$53</f>
        <v>0.17944898963444256</v>
      </c>
    </row>
    <row r="3" spans="1:9">
      <c r="A3" s="1" t="s">
        <v>4</v>
      </c>
      <c r="B3" s="1" t="s">
        <v>47</v>
      </c>
      <c r="C3" s="1" t="s">
        <v>4</v>
      </c>
      <c r="D3" s="1" t="s">
        <v>6</v>
      </c>
      <c r="E3" s="1" t="s">
        <v>74</v>
      </c>
      <c r="F3" s="2">
        <f>_xlfn.XLOOKUP(A3,'CoinGeko API'!D:D,'CoinGeko API'!E:E)</f>
        <v>70232</v>
      </c>
      <c r="G3" s="1">
        <v>0.25</v>
      </c>
      <c r="H3" s="2">
        <f t="shared" si="0"/>
        <v>17558</v>
      </c>
      <c r="I3" s="4">
        <f t="shared" ref="I3:I52" si="1">H3/$H$53</f>
        <v>0.11538643880815493</v>
      </c>
    </row>
    <row r="4" spans="1:9">
      <c r="A4" s="1" t="s">
        <v>10</v>
      </c>
      <c r="B4" s="1" t="s">
        <v>10</v>
      </c>
      <c r="C4" s="1" t="s">
        <v>16</v>
      </c>
      <c r="D4" s="1" t="s">
        <v>6</v>
      </c>
      <c r="E4" s="1" t="s">
        <v>74</v>
      </c>
      <c r="F4" s="2">
        <f>_xlfn.XLOOKUP(A4,'CoinGeko API'!D:D,'CoinGeko API'!E:E)</f>
        <v>591.33000000000004</v>
      </c>
      <c r="G4" s="1">
        <v>10.039999999999999</v>
      </c>
      <c r="H4" s="2">
        <f t="shared" si="0"/>
        <v>5936.9531999999999</v>
      </c>
      <c r="I4" s="4">
        <f t="shared" si="1"/>
        <v>3.9016054625736395E-2</v>
      </c>
    </row>
    <row r="5" spans="1:9">
      <c r="A5" s="1" t="s">
        <v>155</v>
      </c>
      <c r="B5" s="1" t="s">
        <v>48</v>
      </c>
      <c r="C5" s="1" t="s">
        <v>16</v>
      </c>
      <c r="D5" s="1" t="s">
        <v>6</v>
      </c>
      <c r="E5" s="1" t="s">
        <v>74</v>
      </c>
      <c r="F5" s="2">
        <f>_xlfn.XLOOKUP(A5,'CoinGeko API'!D:D,'CoinGeko API'!E:E)</f>
        <v>7.74</v>
      </c>
      <c r="G5" s="1">
        <v>224.98500000000001</v>
      </c>
      <c r="H5" s="2">
        <f t="shared" si="0"/>
        <v>1741.3839000000003</v>
      </c>
      <c r="I5" s="4">
        <f t="shared" si="1"/>
        <v>1.1443905161114945E-2</v>
      </c>
    </row>
    <row r="6" spans="1:9">
      <c r="A6" s="1" t="s">
        <v>37</v>
      </c>
      <c r="B6" s="1" t="s">
        <v>7</v>
      </c>
      <c r="C6" s="1" t="s">
        <v>16</v>
      </c>
      <c r="D6" s="1" t="s">
        <v>6</v>
      </c>
      <c r="E6" s="1" t="s">
        <v>74</v>
      </c>
      <c r="F6" s="2">
        <f>_xlfn.XLOOKUP(A6,'CoinGeko API'!D:D,'CoinGeko API'!E:E)</f>
        <v>189.83</v>
      </c>
      <c r="G6" s="1">
        <v>5.1159999999999997</v>
      </c>
      <c r="H6" s="2">
        <f t="shared" si="0"/>
        <v>971.17028000000005</v>
      </c>
      <c r="I6" s="4">
        <f t="shared" si="1"/>
        <v>6.3822690560154174E-3</v>
      </c>
    </row>
    <row r="7" spans="1:9">
      <c r="A7" s="1" t="s">
        <v>38</v>
      </c>
      <c r="B7" s="1" t="s">
        <v>49</v>
      </c>
      <c r="C7" s="1" t="s">
        <v>18</v>
      </c>
      <c r="D7" s="1" t="s">
        <v>6</v>
      </c>
      <c r="E7" s="1" t="s">
        <v>74</v>
      </c>
      <c r="F7" s="2">
        <f>_xlfn.XLOOKUP(A7,'CoinGeko API'!D:D,'CoinGeko API'!E:E)</f>
        <v>19.57</v>
      </c>
      <c r="G7" s="1">
        <v>30.3</v>
      </c>
      <c r="H7" s="2">
        <f t="shared" si="0"/>
        <v>592.971</v>
      </c>
      <c r="I7" s="4">
        <f t="shared" si="1"/>
        <v>3.8968454269569675E-3</v>
      </c>
    </row>
    <row r="8" spans="1:9">
      <c r="A8" s="1" t="s">
        <v>39</v>
      </c>
      <c r="B8" s="1" t="s">
        <v>50</v>
      </c>
      <c r="C8" s="1" t="s">
        <v>17</v>
      </c>
      <c r="D8" s="1" t="s">
        <v>6</v>
      </c>
      <c r="E8" s="1" t="s">
        <v>74</v>
      </c>
      <c r="F8" s="2">
        <f>_xlfn.XLOOKUP(A8,'CoinGeko API'!D:D,'CoinGeko API'!E:E)</f>
        <v>1.054</v>
      </c>
      <c r="G8" s="1">
        <v>200</v>
      </c>
      <c r="H8" s="2">
        <f t="shared" si="0"/>
        <v>210.8</v>
      </c>
      <c r="I8" s="4">
        <f t="shared" si="1"/>
        <v>1.3853207256384018E-3</v>
      </c>
    </row>
    <row r="9" spans="1:9">
      <c r="A9" s="1" t="s">
        <v>40</v>
      </c>
      <c r="B9" s="1" t="s">
        <v>51</v>
      </c>
      <c r="C9" s="1" t="s">
        <v>19</v>
      </c>
      <c r="D9" s="1" t="s">
        <v>6</v>
      </c>
      <c r="E9" s="1" t="s">
        <v>74</v>
      </c>
      <c r="F9" s="2">
        <f>_xlfn.XLOOKUP(A9,'CoinGeko API'!D:D,'CoinGeko API'!E:E)</f>
        <v>0.17783299999999999</v>
      </c>
      <c r="G9" s="1">
        <v>2000</v>
      </c>
      <c r="H9" s="2">
        <f t="shared" si="0"/>
        <v>355.666</v>
      </c>
      <c r="I9" s="4">
        <f t="shared" si="1"/>
        <v>2.3373409924331489E-3</v>
      </c>
    </row>
    <row r="10" spans="1:9">
      <c r="A10" s="1" t="s">
        <v>150</v>
      </c>
      <c r="B10" s="1" t="s">
        <v>52</v>
      </c>
      <c r="C10" s="1" t="s">
        <v>16</v>
      </c>
      <c r="D10" s="1" t="s">
        <v>6</v>
      </c>
      <c r="E10" s="1" t="s">
        <v>74</v>
      </c>
      <c r="F10" s="2">
        <f>_xlfn.XLOOKUP(A10,'CoinGeko API'!D:D,'CoinGeko API'!E:E)</f>
        <v>12.33</v>
      </c>
      <c r="G10" s="1">
        <v>11.98</v>
      </c>
      <c r="H10" s="2">
        <f t="shared" si="0"/>
        <v>147.71340000000001</v>
      </c>
      <c r="I10" s="4">
        <f t="shared" si="1"/>
        <v>9.7073261135918179E-4</v>
      </c>
    </row>
    <row r="11" spans="1:9">
      <c r="A11" s="1" t="s">
        <v>283</v>
      </c>
      <c r="B11" s="1" t="s">
        <v>8</v>
      </c>
      <c r="C11" s="1" t="s">
        <v>21</v>
      </c>
      <c r="D11" s="1" t="s">
        <v>6</v>
      </c>
      <c r="E11" s="1" t="s">
        <v>74</v>
      </c>
      <c r="F11" s="2">
        <f>_xlfn.XLOOKUP(A11,'CoinGeko API'!D:D,'CoinGeko API'!E:E)</f>
        <v>0.32267000000000001</v>
      </c>
      <c r="G11" s="1">
        <v>543.5</v>
      </c>
      <c r="H11" s="2">
        <f t="shared" si="0"/>
        <v>175.37114500000001</v>
      </c>
      <c r="I11" s="4">
        <f t="shared" si="1"/>
        <v>1.1524918493711451E-3</v>
      </c>
    </row>
    <row r="12" spans="1:9">
      <c r="A12" s="1" t="s">
        <v>284</v>
      </c>
      <c r="B12" s="1" t="s">
        <v>9</v>
      </c>
      <c r="C12" s="1" t="s">
        <v>20</v>
      </c>
      <c r="D12" s="1" t="s">
        <v>6</v>
      </c>
      <c r="E12" s="1" t="s">
        <v>74</v>
      </c>
      <c r="F12" s="2">
        <f>_xlfn.XLOOKUP(A12,'CoinGeko API'!D:D,'CoinGeko API'!E:E)</f>
        <v>2.08</v>
      </c>
      <c r="G12" s="1">
        <v>49.96</v>
      </c>
      <c r="H12" s="2">
        <f t="shared" si="0"/>
        <v>103.91680000000001</v>
      </c>
      <c r="I12" s="4">
        <f t="shared" si="1"/>
        <v>6.8291317259023101E-4</v>
      </c>
    </row>
    <row r="13" spans="1:9">
      <c r="A13" s="1" t="s">
        <v>216</v>
      </c>
      <c r="B13" s="1" t="s">
        <v>11</v>
      </c>
      <c r="C13" s="1" t="s">
        <v>20</v>
      </c>
      <c r="D13" s="1" t="s">
        <v>6</v>
      </c>
      <c r="E13" s="1" t="s">
        <v>74</v>
      </c>
      <c r="F13" s="2">
        <f>_xlfn.XLOOKUP(A13,'CoinGeko API'!D:D,'CoinGeko API'!E:E)</f>
        <v>0.70988399999999996</v>
      </c>
      <c r="G13" s="1">
        <v>156</v>
      </c>
      <c r="H13" s="2">
        <f t="shared" si="0"/>
        <v>110.74190399999999</v>
      </c>
      <c r="I13" s="4">
        <f t="shared" si="1"/>
        <v>7.2776591464828377E-4</v>
      </c>
    </row>
    <row r="14" spans="1:9">
      <c r="A14" s="1" t="s">
        <v>163</v>
      </c>
      <c r="B14" s="1" t="s">
        <v>12</v>
      </c>
      <c r="C14" s="1" t="s">
        <v>21</v>
      </c>
      <c r="D14" s="1" t="s">
        <v>6</v>
      </c>
      <c r="E14" s="1" t="s">
        <v>74</v>
      </c>
      <c r="F14" s="2">
        <f>_xlfn.XLOOKUP(A14,'CoinGeko API'!D:D,'CoinGeko API'!E:E)</f>
        <v>9.4</v>
      </c>
      <c r="G14" s="1">
        <v>13</v>
      </c>
      <c r="H14" s="2">
        <f t="shared" si="0"/>
        <v>122.2</v>
      </c>
      <c r="I14" s="4">
        <f t="shared" si="1"/>
        <v>8.030654301376314E-4</v>
      </c>
    </row>
    <row r="15" spans="1:9">
      <c r="A15" s="1" t="s">
        <v>184</v>
      </c>
      <c r="B15" s="1" t="s">
        <v>13</v>
      </c>
      <c r="C15" s="1" t="s">
        <v>21</v>
      </c>
      <c r="D15" s="1" t="s">
        <v>6</v>
      </c>
      <c r="E15" s="1" t="s">
        <v>74</v>
      </c>
      <c r="F15" s="2">
        <f>_xlfn.XLOOKUP(A15,'CoinGeko API'!D:D,'CoinGeko API'!E:E)</f>
        <v>4.5320600000000003E-2</v>
      </c>
      <c r="G15" s="1">
        <v>1690</v>
      </c>
      <c r="H15" s="2">
        <f t="shared" si="0"/>
        <v>76.591813999999999</v>
      </c>
      <c r="I15" s="4">
        <f t="shared" si="1"/>
        <v>5.03340736947066E-4</v>
      </c>
    </row>
    <row r="16" spans="1:9">
      <c r="A16" s="1" t="s">
        <v>14</v>
      </c>
      <c r="B16" s="1" t="s">
        <v>14</v>
      </c>
      <c r="C16" s="1" t="s">
        <v>20</v>
      </c>
      <c r="D16" s="1" t="s">
        <v>6</v>
      </c>
      <c r="E16" s="1" t="s">
        <v>74</v>
      </c>
      <c r="F16" s="2">
        <f>_xlfn.XLOOKUP(A16,'CoinGeko API'!D:D,'CoinGeko API'!E:E)</f>
        <v>7.0740999999999998E-2</v>
      </c>
      <c r="G16" s="1">
        <v>1811</v>
      </c>
      <c r="H16" s="2">
        <f t="shared" si="0"/>
        <v>128.111951</v>
      </c>
      <c r="I16" s="4">
        <f t="shared" si="1"/>
        <v>8.4191717705062326E-4</v>
      </c>
    </row>
    <row r="17" spans="1:9">
      <c r="A17" s="1" t="s">
        <v>133</v>
      </c>
      <c r="B17" s="1" t="s">
        <v>15</v>
      </c>
      <c r="C17" s="1" t="s">
        <v>16</v>
      </c>
      <c r="D17" s="1" t="s">
        <v>6</v>
      </c>
      <c r="E17" s="1" t="s">
        <v>74</v>
      </c>
      <c r="F17" s="2">
        <f>_xlfn.XLOOKUP(A17,'CoinGeko API'!D:D,'CoinGeko API'!E:E)</f>
        <v>9.8800000000000008</v>
      </c>
      <c r="G17" s="1">
        <v>5</v>
      </c>
      <c r="H17" s="2">
        <f t="shared" si="0"/>
        <v>49.400000000000006</v>
      </c>
      <c r="I17" s="4">
        <f t="shared" si="1"/>
        <v>3.2464347175776594E-4</v>
      </c>
    </row>
    <row r="18" spans="1:9">
      <c r="A18" s="1" t="s">
        <v>4</v>
      </c>
      <c r="B18" s="1" t="s">
        <v>47</v>
      </c>
      <c r="C18" s="1" t="s">
        <v>4</v>
      </c>
      <c r="D18" s="1" t="s">
        <v>22</v>
      </c>
      <c r="E18" s="1" t="s">
        <v>74</v>
      </c>
      <c r="F18" s="2">
        <f>_xlfn.XLOOKUP(A18,'CoinGeko API'!D:D,'CoinGeko API'!E:E)</f>
        <v>70232</v>
      </c>
      <c r="G18" s="1">
        <v>4.888E-2</v>
      </c>
      <c r="H18" s="2">
        <f t="shared" si="0"/>
        <v>3432.9401600000001</v>
      </c>
      <c r="I18" s="4">
        <f t="shared" si="1"/>
        <v>2.2560356515770451E-2</v>
      </c>
    </row>
    <row r="19" spans="1:9">
      <c r="A19" s="1" t="s">
        <v>24</v>
      </c>
      <c r="B19" s="1" t="s">
        <v>23</v>
      </c>
      <c r="C19" s="1" t="s">
        <v>24</v>
      </c>
      <c r="D19" s="1" t="s">
        <v>22</v>
      </c>
      <c r="E19" s="1" t="s">
        <v>74</v>
      </c>
      <c r="F19" s="2">
        <f>_xlfn.XLOOKUP(A19,'CoinGeko API'!D:D,'CoinGeko API'!E:E)</f>
        <v>3610.03</v>
      </c>
      <c r="G19" s="1">
        <v>0.75680000000000003</v>
      </c>
      <c r="H19" s="2">
        <f t="shared" si="0"/>
        <v>2732.0707040000002</v>
      </c>
      <c r="I19" s="4">
        <f t="shared" si="1"/>
        <v>1.7954431547251896E-2</v>
      </c>
    </row>
    <row r="20" spans="1:9">
      <c r="A20" s="1" t="s">
        <v>26</v>
      </c>
      <c r="B20" s="1" t="s">
        <v>25</v>
      </c>
      <c r="C20" s="1" t="s">
        <v>16</v>
      </c>
      <c r="D20" s="1" t="s">
        <v>22</v>
      </c>
      <c r="E20" s="1" t="s">
        <v>74</v>
      </c>
      <c r="F20" s="2">
        <f>_xlfn.XLOOKUP(A20,'CoinGeko API'!D:D,'CoinGeko API'!E:E)</f>
        <v>0.86731100000000005</v>
      </c>
      <c r="G20" s="1">
        <v>889</v>
      </c>
      <c r="H20" s="2">
        <f t="shared" si="0"/>
        <v>771.03947900000003</v>
      </c>
      <c r="I20" s="4">
        <f t="shared" si="1"/>
        <v>5.0670634276287251E-3</v>
      </c>
    </row>
    <row r="21" spans="1:9">
      <c r="A21" s="1" t="s">
        <v>28</v>
      </c>
      <c r="B21" s="1" t="s">
        <v>27</v>
      </c>
      <c r="C21" s="1" t="s">
        <v>16</v>
      </c>
      <c r="D21" s="1" t="s">
        <v>22</v>
      </c>
      <c r="E21" s="1" t="s">
        <v>74</v>
      </c>
      <c r="F21" s="2">
        <f>_xlfn.XLOOKUP(A21,'CoinGeko API'!D:D,'CoinGeko API'!E:E)</f>
        <v>58.29</v>
      </c>
      <c r="G21" s="1">
        <v>16.87</v>
      </c>
      <c r="H21" s="2">
        <f t="shared" si="0"/>
        <v>983.35230000000001</v>
      </c>
      <c r="I21" s="4">
        <f t="shared" si="1"/>
        <v>6.4623260047162777E-3</v>
      </c>
    </row>
    <row r="22" spans="1:9">
      <c r="A22" s="1" t="s">
        <v>155</v>
      </c>
      <c r="B22" s="1" t="s">
        <v>48</v>
      </c>
      <c r="C22" s="1" t="s">
        <v>16</v>
      </c>
      <c r="D22" s="1" t="s">
        <v>22</v>
      </c>
      <c r="E22" s="1" t="s">
        <v>74</v>
      </c>
      <c r="F22" s="2">
        <f>_xlfn.XLOOKUP(A22,'CoinGeko API'!D:D,'CoinGeko API'!E:E)</f>
        <v>7.74</v>
      </c>
      <c r="G22" s="1">
        <v>163.92500000000001</v>
      </c>
      <c r="H22" s="2">
        <f t="shared" si="0"/>
        <v>1268.7795000000001</v>
      </c>
      <c r="I22" s="4">
        <f t="shared" si="1"/>
        <v>8.3380765541514641E-3</v>
      </c>
    </row>
    <row r="23" spans="1:9">
      <c r="A23" s="1" t="s">
        <v>29</v>
      </c>
      <c r="B23" s="1" t="s">
        <v>53</v>
      </c>
      <c r="C23" s="1" t="s">
        <v>17</v>
      </c>
      <c r="D23" s="1" t="s">
        <v>22</v>
      </c>
      <c r="E23" s="1" t="s">
        <v>74</v>
      </c>
      <c r="F23" s="2">
        <f>_xlfn.XLOOKUP(A23,'CoinGeko API'!D:D,'CoinGeko API'!E:E)</f>
        <v>3.86</v>
      </c>
      <c r="G23" s="1">
        <v>55.93</v>
      </c>
      <c r="H23" s="2">
        <f t="shared" si="0"/>
        <v>215.88979999999998</v>
      </c>
      <c r="I23" s="4">
        <f t="shared" si="1"/>
        <v>1.4187695179977676E-3</v>
      </c>
    </row>
    <row r="24" spans="1:9">
      <c r="A24" s="1" t="s">
        <v>30</v>
      </c>
      <c r="B24" s="1" t="s">
        <v>54</v>
      </c>
      <c r="C24" s="1" t="s">
        <v>20</v>
      </c>
      <c r="D24" s="1" t="s">
        <v>22</v>
      </c>
      <c r="E24" s="1" t="s">
        <v>74</v>
      </c>
      <c r="F24" s="2">
        <f>_xlfn.XLOOKUP(A24,'CoinGeko API'!D:D,'CoinGeko API'!E:E)</f>
        <v>1.21</v>
      </c>
      <c r="G24" s="1">
        <v>125.89</v>
      </c>
      <c r="H24" s="2">
        <f t="shared" si="0"/>
        <v>152.32689999999999</v>
      </c>
      <c r="I24" s="4">
        <f t="shared" si="1"/>
        <v>1.0010512886254662E-3</v>
      </c>
    </row>
    <row r="25" spans="1:9">
      <c r="A25" s="1" t="s">
        <v>4</v>
      </c>
      <c r="B25" s="1" t="s">
        <v>47</v>
      </c>
      <c r="C25" s="1" t="s">
        <v>4</v>
      </c>
      <c r="D25" s="1" t="s">
        <v>32</v>
      </c>
      <c r="E25" s="1" t="s">
        <v>74</v>
      </c>
      <c r="F25" s="2">
        <f>_xlfn.XLOOKUP(A25,'CoinGeko API'!D:D,'CoinGeko API'!E:E)</f>
        <v>70232</v>
      </c>
      <c r="G25" s="1">
        <v>0.03</v>
      </c>
      <c r="H25" s="2">
        <f t="shared" si="0"/>
        <v>2106.96</v>
      </c>
      <c r="I25" s="4">
        <f t="shared" si="1"/>
        <v>1.3846372656978592E-2</v>
      </c>
    </row>
    <row r="26" spans="1:9">
      <c r="A26" s="1" t="s">
        <v>24</v>
      </c>
      <c r="B26" s="1" t="s">
        <v>23</v>
      </c>
      <c r="C26" s="1" t="s">
        <v>24</v>
      </c>
      <c r="D26" s="1" t="s">
        <v>32</v>
      </c>
      <c r="E26" s="1" t="s">
        <v>74</v>
      </c>
      <c r="F26" s="2">
        <f>_xlfn.XLOOKUP(A26,'CoinGeko API'!D:D,'CoinGeko API'!E:E)</f>
        <v>3610.03</v>
      </c>
      <c r="G26" s="1">
        <v>0.26500000000000001</v>
      </c>
      <c r="H26" s="2">
        <f t="shared" si="0"/>
        <v>956.65795000000014</v>
      </c>
      <c r="I26" s="4">
        <f t="shared" si="1"/>
        <v>6.2868979387179606E-3</v>
      </c>
    </row>
    <row r="27" spans="1:9">
      <c r="A27" s="1" t="s">
        <v>31</v>
      </c>
      <c r="B27" s="1" t="s">
        <v>55</v>
      </c>
      <c r="C27" s="1" t="s">
        <v>16</v>
      </c>
      <c r="D27" s="1" t="s">
        <v>32</v>
      </c>
      <c r="E27" s="1" t="s">
        <v>74</v>
      </c>
      <c r="F27" s="2">
        <f>_xlfn.XLOOKUP(A27,'CoinGeko API'!D:D,'CoinGeko API'!E:E)</f>
        <v>0.66330599999999995</v>
      </c>
      <c r="G27" s="1">
        <v>927.7</v>
      </c>
      <c r="H27" s="2">
        <f t="shared" si="0"/>
        <v>615.34897620000004</v>
      </c>
      <c r="I27" s="4">
        <f t="shared" si="1"/>
        <v>4.0439074489100179E-3</v>
      </c>
    </row>
    <row r="28" spans="1:9">
      <c r="A28" s="1" t="s">
        <v>180</v>
      </c>
      <c r="B28" s="1" t="s">
        <v>295</v>
      </c>
      <c r="C28" s="1" t="s">
        <v>16</v>
      </c>
      <c r="D28" s="1" t="s">
        <v>296</v>
      </c>
      <c r="E28" s="1" t="s">
        <v>74</v>
      </c>
      <c r="F28" s="2">
        <f>_xlfn.XLOOKUP(A28,'CoinGeko API'!D:D,'CoinGeko API'!E:E)</f>
        <v>0.14974999999999999</v>
      </c>
      <c r="G28" s="1">
        <v>11598.82</v>
      </c>
      <c r="H28" s="2">
        <f t="shared" si="0"/>
        <v>1736.9232949999998</v>
      </c>
      <c r="I28" s="4">
        <f t="shared" si="1"/>
        <v>1.1414591268537208E-2</v>
      </c>
    </row>
    <row r="29" spans="1:9">
      <c r="A29" s="1" t="s">
        <v>24</v>
      </c>
      <c r="B29" s="1" t="s">
        <v>23</v>
      </c>
      <c r="C29" s="1" t="s">
        <v>24</v>
      </c>
      <c r="D29" s="1" t="s">
        <v>296</v>
      </c>
      <c r="E29" s="1" t="s">
        <v>74</v>
      </c>
      <c r="F29" s="2">
        <f>_xlfn.XLOOKUP(A29,'CoinGeko API'!D:D,'CoinGeko API'!E:E)</f>
        <v>3610.03</v>
      </c>
      <c r="G29" s="1">
        <v>0.02</v>
      </c>
      <c r="H29" s="2">
        <f t="shared" si="0"/>
        <v>72.200600000000009</v>
      </c>
      <c r="I29" s="4">
        <f t="shared" si="1"/>
        <v>4.7448286329946872E-4</v>
      </c>
    </row>
    <row r="30" spans="1:9">
      <c r="A30" s="1" t="s">
        <v>31</v>
      </c>
      <c r="B30" s="1" t="s">
        <v>55</v>
      </c>
      <c r="C30" s="1" t="s">
        <v>16</v>
      </c>
      <c r="D30" s="1" t="s">
        <v>34</v>
      </c>
      <c r="E30" s="1" t="s">
        <v>31</v>
      </c>
      <c r="F30" s="2">
        <f>_xlfn.XLOOKUP(A30,'CoinGeko API'!D:D,'CoinGeko API'!E:E)</f>
        <v>0.66330599999999995</v>
      </c>
      <c r="G30" s="1">
        <v>2644</v>
      </c>
      <c r="H30" s="2">
        <f t="shared" si="0"/>
        <v>1753.7810639999998</v>
      </c>
      <c r="I30" s="4">
        <f t="shared" si="1"/>
        <v>1.1525375978137419E-2</v>
      </c>
    </row>
    <row r="31" spans="1:9">
      <c r="A31" s="1" t="s">
        <v>150</v>
      </c>
      <c r="B31" s="1" t="s">
        <v>52</v>
      </c>
      <c r="C31" s="1" t="s">
        <v>16</v>
      </c>
      <c r="D31" s="1" t="s">
        <v>41</v>
      </c>
      <c r="E31" s="1" t="s">
        <v>36</v>
      </c>
      <c r="F31" s="2">
        <f>_xlfn.XLOOKUP(A31,'CoinGeko API'!D:D,'CoinGeko API'!E:E)</f>
        <v>12.33</v>
      </c>
      <c r="G31" s="1">
        <v>53.5</v>
      </c>
      <c r="H31" s="2">
        <f t="shared" si="0"/>
        <v>659.65499999999997</v>
      </c>
      <c r="I31" s="4">
        <f t="shared" si="1"/>
        <v>4.3350746834487659E-3</v>
      </c>
    </row>
    <row r="32" spans="1:9">
      <c r="A32" s="1" t="s">
        <v>35</v>
      </c>
      <c r="B32" s="1" t="s">
        <v>56</v>
      </c>
      <c r="C32" s="1" t="s">
        <v>18</v>
      </c>
      <c r="D32" s="1" t="s">
        <v>41</v>
      </c>
      <c r="E32" s="1" t="s">
        <v>35</v>
      </c>
      <c r="F32" s="2">
        <f>_xlfn.XLOOKUP(A32,'CoinGeko API'!D:D,'CoinGeko API'!E:E)</f>
        <v>1.37</v>
      </c>
      <c r="G32" s="1">
        <v>100.8</v>
      </c>
      <c r="H32" s="2">
        <f t="shared" si="0"/>
        <v>138.096</v>
      </c>
      <c r="I32" s="4">
        <f t="shared" si="1"/>
        <v>9.0752965335749876E-4</v>
      </c>
    </row>
    <row r="33" spans="1:9">
      <c r="A33" s="1" t="s">
        <v>150</v>
      </c>
      <c r="B33" s="1" t="s">
        <v>52</v>
      </c>
      <c r="C33" s="1" t="s">
        <v>16</v>
      </c>
      <c r="D33" s="1" t="s">
        <v>42</v>
      </c>
      <c r="E33" s="1" t="s">
        <v>36</v>
      </c>
      <c r="F33" s="2">
        <f>_xlfn.XLOOKUP(A33,'CoinGeko API'!D:D,'CoinGeko API'!E:E)</f>
        <v>12.33</v>
      </c>
      <c r="G33" s="1">
        <v>37.9</v>
      </c>
      <c r="H33" s="2">
        <f t="shared" si="0"/>
        <v>467.30699999999996</v>
      </c>
      <c r="I33" s="4">
        <f t="shared" si="1"/>
        <v>3.0710155234151071E-3</v>
      </c>
    </row>
    <row r="34" spans="1:9">
      <c r="A34" s="1" t="s">
        <v>35</v>
      </c>
      <c r="B34" s="1" t="s">
        <v>56</v>
      </c>
      <c r="C34" s="1" t="s">
        <v>18</v>
      </c>
      <c r="D34" s="1" t="s">
        <v>42</v>
      </c>
      <c r="E34" s="1" t="s">
        <v>35</v>
      </c>
      <c r="F34" s="2">
        <f>_xlfn.XLOOKUP(A34,'CoinGeko API'!D:D,'CoinGeko API'!E:E)</f>
        <v>1.37</v>
      </c>
      <c r="G34" s="1">
        <v>466.7</v>
      </c>
      <c r="H34" s="2">
        <f t="shared" ref="H34:H52" si="2">F34*G34</f>
        <v>639.37900000000002</v>
      </c>
      <c r="I34" s="4">
        <f t="shared" si="1"/>
        <v>4.2018262819637367E-3</v>
      </c>
    </row>
    <row r="35" spans="1:9">
      <c r="A35" s="1" t="s">
        <v>43</v>
      </c>
      <c r="B35" s="1" t="s">
        <v>57</v>
      </c>
      <c r="C35" s="1" t="s">
        <v>44</v>
      </c>
      <c r="D35" s="1" t="s">
        <v>45</v>
      </c>
      <c r="E35" s="1" t="s">
        <v>43</v>
      </c>
      <c r="F35" s="2">
        <f>_xlfn.XLOOKUP(A35,'CoinGeko API'!D:D,'CoinGeko API'!E:E)</f>
        <v>3.59</v>
      </c>
      <c r="G35" s="1">
        <v>727.5</v>
      </c>
      <c r="H35" s="2">
        <f t="shared" si="2"/>
        <v>2611.7249999999999</v>
      </c>
      <c r="I35" s="4">
        <f t="shared" si="1"/>
        <v>1.7163552050132612E-2</v>
      </c>
    </row>
    <row r="36" spans="1:9">
      <c r="A36" s="1" t="s">
        <v>281</v>
      </c>
      <c r="B36" s="1" t="s">
        <v>310</v>
      </c>
      <c r="C36" s="1" t="s">
        <v>44</v>
      </c>
      <c r="D36" s="1" t="s">
        <v>45</v>
      </c>
      <c r="E36" s="1" t="s">
        <v>43</v>
      </c>
      <c r="F36" s="2">
        <f>_xlfn.XLOOKUP(A36,'CoinGeko API'!D:D,'CoinGeko API'!E:E)</f>
        <v>0.417099</v>
      </c>
      <c r="G36" s="1">
        <v>437.29</v>
      </c>
      <c r="H36" s="2">
        <f t="shared" si="2"/>
        <v>182.39322171000001</v>
      </c>
      <c r="I36" s="4">
        <f t="shared" si="1"/>
        <v>1.1986390429355935E-3</v>
      </c>
    </row>
    <row r="37" spans="1:9">
      <c r="A37" s="1" t="s">
        <v>4</v>
      </c>
      <c r="B37" s="1" t="s">
        <v>58</v>
      </c>
      <c r="C37" s="1" t="s">
        <v>4</v>
      </c>
      <c r="D37" s="1" t="s">
        <v>59</v>
      </c>
      <c r="E37" s="1" t="s">
        <v>61</v>
      </c>
      <c r="F37" s="2">
        <f>_xlfn.XLOOKUP(A37,'CoinGeko API'!D:D,'CoinGeko API'!E:E)</f>
        <v>70232</v>
      </c>
      <c r="G37" s="1">
        <v>0.2883</v>
      </c>
      <c r="H37" s="2">
        <f t="shared" si="2"/>
        <v>20247.885600000001</v>
      </c>
      <c r="I37" s="4">
        <f t="shared" si="1"/>
        <v>0.13306364123356426</v>
      </c>
    </row>
    <row r="38" spans="1:9">
      <c r="A38" s="1" t="s">
        <v>4</v>
      </c>
      <c r="B38" s="1" t="s">
        <v>60</v>
      </c>
      <c r="C38" s="1" t="s">
        <v>4</v>
      </c>
      <c r="D38" s="1" t="s">
        <v>59</v>
      </c>
      <c r="E38" s="1" t="s">
        <v>62</v>
      </c>
      <c r="F38" s="2">
        <f>_xlfn.XLOOKUP(A38,'CoinGeko API'!D:D,'CoinGeko API'!E:E)</f>
        <v>70232</v>
      </c>
      <c r="G38" s="1">
        <v>9.75E-3</v>
      </c>
      <c r="H38" s="2">
        <f t="shared" si="2"/>
        <v>684.76199999999994</v>
      </c>
      <c r="I38" s="4">
        <f t="shared" si="1"/>
        <v>4.5000711135180418E-3</v>
      </c>
    </row>
    <row r="39" spans="1:9">
      <c r="A39" s="1" t="s">
        <v>24</v>
      </c>
      <c r="B39" s="1" t="s">
        <v>23</v>
      </c>
      <c r="C39" s="1" t="s">
        <v>24</v>
      </c>
      <c r="D39" s="1" t="s">
        <v>59</v>
      </c>
      <c r="E39" s="1" t="s">
        <v>63</v>
      </c>
      <c r="F39" s="2">
        <f>_xlfn.XLOOKUP(A39,'CoinGeko API'!D:D,'CoinGeko API'!E:E)</f>
        <v>3610.03</v>
      </c>
      <c r="G39" s="1">
        <v>0.1515</v>
      </c>
      <c r="H39" s="2">
        <f t="shared" si="2"/>
        <v>546.91954499999997</v>
      </c>
      <c r="I39" s="4">
        <f t="shared" si="1"/>
        <v>3.5942076894934748E-3</v>
      </c>
    </row>
    <row r="40" spans="1:9">
      <c r="A40" s="1" t="s">
        <v>28</v>
      </c>
      <c r="B40" s="1" t="s">
        <v>64</v>
      </c>
      <c r="C40" s="1" t="s">
        <v>16</v>
      </c>
      <c r="D40" s="1" t="s">
        <v>59</v>
      </c>
      <c r="E40" s="1" t="s">
        <v>61</v>
      </c>
      <c r="F40" s="2">
        <f>_xlfn.XLOOKUP(A40,'CoinGeko API'!D:D,'CoinGeko API'!E:E)</f>
        <v>58.29</v>
      </c>
      <c r="G40" s="1">
        <v>8</v>
      </c>
      <c r="H40" s="2">
        <f t="shared" si="2"/>
        <v>466.32</v>
      </c>
      <c r="I40" s="4">
        <f t="shared" si="1"/>
        <v>3.0645292257101497E-3</v>
      </c>
    </row>
    <row r="41" spans="1:9">
      <c r="A41" s="1" t="s">
        <v>24</v>
      </c>
      <c r="B41" s="1" t="s">
        <v>23</v>
      </c>
      <c r="C41" s="1" t="s">
        <v>24</v>
      </c>
      <c r="D41" s="1" t="s">
        <v>59</v>
      </c>
      <c r="E41" s="1" t="s">
        <v>65</v>
      </c>
      <c r="F41" s="2">
        <f>_xlfn.XLOOKUP(A41,'CoinGeko API'!D:D,'CoinGeko API'!E:E)</f>
        <v>3610.03</v>
      </c>
      <c r="G41" s="1">
        <v>9.8000000000000004E-2</v>
      </c>
      <c r="H41" s="2">
        <f t="shared" si="2"/>
        <v>353.78294000000005</v>
      </c>
      <c r="I41" s="4">
        <f t="shared" si="1"/>
        <v>2.3249660301673967E-3</v>
      </c>
    </row>
    <row r="42" spans="1:9">
      <c r="A42" s="1" t="s">
        <v>24</v>
      </c>
      <c r="B42" s="1" t="s">
        <v>23</v>
      </c>
      <c r="C42" s="1" t="s">
        <v>24</v>
      </c>
      <c r="D42" s="1" t="s">
        <v>59</v>
      </c>
      <c r="E42" s="1" t="s">
        <v>62</v>
      </c>
      <c r="F42" s="2">
        <f>_xlfn.XLOOKUP(A42,'CoinGeko API'!D:D,'CoinGeko API'!E:E)</f>
        <v>3610.03</v>
      </c>
      <c r="G42" s="1">
        <v>6.2E-2</v>
      </c>
      <c r="H42" s="2">
        <f t="shared" si="2"/>
        <v>223.82186000000002</v>
      </c>
      <c r="I42" s="4">
        <f t="shared" si="1"/>
        <v>1.4708968762283529E-3</v>
      </c>
    </row>
    <row r="43" spans="1:9">
      <c r="A43" s="1" t="s">
        <v>28</v>
      </c>
      <c r="B43" s="1" t="s">
        <v>27</v>
      </c>
      <c r="C43" s="1" t="s">
        <v>16</v>
      </c>
      <c r="D43" s="1" t="s">
        <v>59</v>
      </c>
      <c r="E43" s="1" t="s">
        <v>61</v>
      </c>
      <c r="F43" s="2">
        <f>_xlfn.XLOOKUP(A43,'CoinGeko API'!D:D,'CoinGeko API'!E:E)</f>
        <v>58.29</v>
      </c>
      <c r="G43" s="1">
        <v>3.75</v>
      </c>
      <c r="H43" s="2">
        <f t="shared" si="2"/>
        <v>218.58750000000001</v>
      </c>
      <c r="I43" s="4">
        <f t="shared" si="1"/>
        <v>1.4364980745516327E-3</v>
      </c>
    </row>
    <row r="44" spans="1:9">
      <c r="A44" s="1" t="s">
        <v>24</v>
      </c>
      <c r="B44" s="1" t="s">
        <v>23</v>
      </c>
      <c r="C44" s="1" t="s">
        <v>24</v>
      </c>
      <c r="D44" s="1" t="s">
        <v>59</v>
      </c>
      <c r="E44" s="1" t="s">
        <v>66</v>
      </c>
      <c r="F44" s="2">
        <f>_xlfn.XLOOKUP(A44,'CoinGeko API'!D:D,'CoinGeko API'!E:E)</f>
        <v>3610.03</v>
      </c>
      <c r="G44" s="1">
        <v>4.3299999999999998E-2</v>
      </c>
      <c r="H44" s="2">
        <f t="shared" si="2"/>
        <v>156.31429900000001</v>
      </c>
      <c r="I44" s="4">
        <f t="shared" si="1"/>
        <v>1.0272553990433497E-3</v>
      </c>
    </row>
    <row r="45" spans="1:9">
      <c r="A45" s="1" t="s">
        <v>24</v>
      </c>
      <c r="B45" s="1" t="s">
        <v>23</v>
      </c>
      <c r="C45" s="1" t="s">
        <v>24</v>
      </c>
      <c r="D45" s="1" t="s">
        <v>59</v>
      </c>
      <c r="E45" s="1" t="s">
        <v>67</v>
      </c>
      <c r="F45" s="2">
        <f>_xlfn.XLOOKUP(A45,'CoinGeko API'!D:D,'CoinGeko API'!E:E)</f>
        <v>3610.03</v>
      </c>
      <c r="G45" s="1">
        <v>2.12E-2</v>
      </c>
      <c r="H45" s="2">
        <f t="shared" si="2"/>
        <v>76.532636000000011</v>
      </c>
      <c r="I45" s="4">
        <f t="shared" si="1"/>
        <v>5.029518350974368E-4</v>
      </c>
    </row>
    <row r="46" spans="1:9">
      <c r="A46" s="1" t="s">
        <v>68</v>
      </c>
      <c r="B46" s="1" t="s">
        <v>69</v>
      </c>
      <c r="C46" s="1" t="s">
        <v>18</v>
      </c>
      <c r="D46" s="1" t="s">
        <v>59</v>
      </c>
      <c r="E46" s="1" t="s">
        <v>70</v>
      </c>
      <c r="F46" s="2">
        <f>_xlfn.XLOOKUP(A46,'CoinGeko API'!D:D,'CoinGeko API'!E:E)</f>
        <v>0.52973300000000001</v>
      </c>
      <c r="G46" s="1">
        <v>237.5</v>
      </c>
      <c r="H46" s="2">
        <f t="shared" si="2"/>
        <v>125.8115875</v>
      </c>
      <c r="I46" s="4">
        <f t="shared" si="1"/>
        <v>8.2679980877238752E-4</v>
      </c>
    </row>
    <row r="47" spans="1:9">
      <c r="A47" s="1" t="s">
        <v>71</v>
      </c>
      <c r="B47" s="1" t="s">
        <v>72</v>
      </c>
      <c r="C47" s="1" t="s">
        <v>16</v>
      </c>
      <c r="D47" s="1" t="s">
        <v>59</v>
      </c>
      <c r="E47" s="1" t="s">
        <v>72</v>
      </c>
      <c r="F47" s="2">
        <f>_xlfn.XLOOKUP(A47,'CoinGeko API'!D:D,'CoinGeko API'!E:E)</f>
        <v>1.1299999999999999</v>
      </c>
      <c r="G47" s="1">
        <v>94.22</v>
      </c>
      <c r="H47" s="2">
        <f t="shared" si="2"/>
        <v>106.4686</v>
      </c>
      <c r="I47" s="4">
        <f t="shared" si="1"/>
        <v>6.9968291370827676E-4</v>
      </c>
    </row>
    <row r="48" spans="1:9">
      <c r="A48" s="1" t="s">
        <v>68</v>
      </c>
      <c r="B48" s="1" t="s">
        <v>69</v>
      </c>
      <c r="C48" s="1" t="s">
        <v>18</v>
      </c>
      <c r="D48" s="1" t="s">
        <v>59</v>
      </c>
      <c r="E48" s="1" t="s">
        <v>62</v>
      </c>
      <c r="F48" s="2">
        <f>_xlfn.XLOOKUP(A48,'CoinGeko API'!D:D,'CoinGeko API'!E:E)</f>
        <v>0.52973300000000001</v>
      </c>
      <c r="G48" s="1">
        <v>133.97999999999999</v>
      </c>
      <c r="H48" s="2">
        <f t="shared" si="2"/>
        <v>70.973627339999993</v>
      </c>
      <c r="I48" s="4">
        <f t="shared" si="1"/>
        <v>4.6641953001820829E-4</v>
      </c>
    </row>
    <row r="49" spans="1:9">
      <c r="A49" s="1" t="s">
        <v>10</v>
      </c>
      <c r="B49" s="1" t="s">
        <v>10</v>
      </c>
      <c r="C49" s="1" t="s">
        <v>16</v>
      </c>
      <c r="D49" s="1" t="s">
        <v>59</v>
      </c>
      <c r="E49" s="1" t="s">
        <v>62</v>
      </c>
      <c r="F49" s="2">
        <f>_xlfn.XLOOKUP(A49,'CoinGeko API'!D:D,'CoinGeko API'!E:E)</f>
        <v>591.33000000000004</v>
      </c>
      <c r="G49" s="1">
        <v>7.0000000000000007E-2</v>
      </c>
      <c r="H49" s="2">
        <f t="shared" si="2"/>
        <v>41.393100000000004</v>
      </c>
      <c r="I49" s="4">
        <f t="shared" si="1"/>
        <v>2.7202428523919798E-4</v>
      </c>
    </row>
    <row r="50" spans="1:9">
      <c r="A50" s="1" t="s">
        <v>4</v>
      </c>
      <c r="B50" s="1" t="s">
        <v>47</v>
      </c>
      <c r="C50" s="1" t="s">
        <v>4</v>
      </c>
      <c r="D50" s="1" t="s">
        <v>97</v>
      </c>
      <c r="E50" s="1" t="s">
        <v>74</v>
      </c>
      <c r="F50" s="2">
        <f>_xlfn.XLOOKUP(A50,'CoinGeko API'!D:D,'CoinGeko API'!E:E)</f>
        <v>70232</v>
      </c>
      <c r="G50" s="1">
        <v>0.18099999999999999</v>
      </c>
      <c r="H50" s="2">
        <f t="shared" si="2"/>
        <v>12711.992</v>
      </c>
      <c r="I50" s="4">
        <f t="shared" si="1"/>
        <v>8.3539781697104173E-2</v>
      </c>
    </row>
    <row r="51" spans="1:9">
      <c r="A51" s="1" t="s">
        <v>24</v>
      </c>
      <c r="B51" s="1" t="s">
        <v>23</v>
      </c>
      <c r="C51" s="1" t="s">
        <v>24</v>
      </c>
      <c r="D51" s="1" t="s">
        <v>97</v>
      </c>
      <c r="E51" s="1" t="s">
        <v>74</v>
      </c>
      <c r="F51" s="2">
        <f>_xlfn.XLOOKUP(A51,'CoinGeko API'!D:D,'CoinGeko API'!E:E)</f>
        <v>3610.03</v>
      </c>
      <c r="G51" s="1">
        <v>9.75</v>
      </c>
      <c r="H51" s="2">
        <f t="shared" si="2"/>
        <v>35197.792500000003</v>
      </c>
      <c r="I51" s="4">
        <f t="shared" si="1"/>
        <v>0.231310395858491</v>
      </c>
    </row>
    <row r="52" spans="1:9">
      <c r="A52" s="1" t="s">
        <v>28</v>
      </c>
      <c r="B52" s="1" t="s">
        <v>27</v>
      </c>
      <c r="C52" s="1" t="s">
        <v>16</v>
      </c>
      <c r="D52" s="1" t="s">
        <v>97</v>
      </c>
      <c r="E52" s="1" t="s">
        <v>74</v>
      </c>
      <c r="F52" s="2">
        <f>_xlfn.XLOOKUP(A52,'CoinGeko API'!D:D,'CoinGeko API'!E:E)</f>
        <v>58.29</v>
      </c>
      <c r="G52" s="1">
        <v>66.11</v>
      </c>
      <c r="H52" s="2">
        <f t="shared" si="2"/>
        <v>3853.5518999999999</v>
      </c>
      <c r="I52" s="4">
        <f t="shared" si="1"/>
        <v>2.532450338896225E-2</v>
      </c>
    </row>
    <row r="53" spans="1:9">
      <c r="H53" s="2">
        <f>SUM(H2:H52)</f>
        <v>152166.92863874996</v>
      </c>
      <c r="I53" s="5">
        <f>SUM(I2:I52)</f>
        <v>1.0000000000000004</v>
      </c>
    </row>
  </sheetData>
  <autoFilter ref="A1:I1" xr:uid="{BD114D9F-D259-453F-B1C1-FA1B914E4E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F2D4-8710-417B-821A-CB14133C6E96}">
  <sheetPr codeName="Sheet2"/>
  <dimension ref="A1:M54"/>
  <sheetViews>
    <sheetView workbookViewId="0">
      <selection activeCell="F3" sqref="F3"/>
    </sheetView>
  </sheetViews>
  <sheetFormatPr defaultRowHeight="15"/>
  <cols>
    <col min="1" max="2" width="19.5703125" style="1" customWidth="1"/>
    <col min="3" max="3" width="15.140625" style="1" bestFit="1" customWidth="1"/>
    <col min="4" max="4" width="13.5703125" style="1" bestFit="1" customWidth="1"/>
    <col min="5" max="5" width="18.5703125" style="1" bestFit="1" customWidth="1"/>
    <col min="6" max="6" width="11.5703125" style="1" customWidth="1"/>
    <col min="7" max="7" width="10.42578125" style="1" bestFit="1" customWidth="1"/>
    <col min="8" max="8" width="11.5703125" style="1" bestFit="1" customWidth="1"/>
    <col min="9" max="9" width="9.85546875" style="1" bestFit="1" customWidth="1"/>
    <col min="10" max="10" width="11.5703125" style="1" customWidth="1"/>
    <col min="11" max="11" width="10.42578125" style="1" bestFit="1" customWidth="1"/>
    <col min="12" max="12" width="11.5703125" style="1" bestFit="1" customWidth="1"/>
    <col min="13" max="13" width="9.85546875" style="1" bestFit="1" customWidth="1"/>
    <col min="14" max="16384" width="9.140625" style="1"/>
  </cols>
  <sheetData>
    <row r="1" spans="1:13" ht="15.75" customHeight="1">
      <c r="A1" s="137" t="s">
        <v>3</v>
      </c>
      <c r="B1" s="137" t="s">
        <v>46</v>
      </c>
      <c r="C1" s="137" t="s">
        <v>1</v>
      </c>
      <c r="D1" s="137" t="s">
        <v>0</v>
      </c>
      <c r="E1" s="137" t="s">
        <v>73</v>
      </c>
      <c r="F1" s="136">
        <v>45292</v>
      </c>
      <c r="G1" s="136"/>
      <c r="H1" s="136"/>
      <c r="I1" s="136"/>
      <c r="J1" s="136">
        <v>45323</v>
      </c>
      <c r="K1" s="136"/>
      <c r="L1" s="136"/>
      <c r="M1" s="136"/>
    </row>
    <row r="2" spans="1:13" s="3" customFormat="1">
      <c r="A2" s="137"/>
      <c r="B2" s="137"/>
      <c r="C2" s="137"/>
      <c r="D2" s="137"/>
      <c r="E2" s="137"/>
      <c r="F2" s="3" t="s">
        <v>432</v>
      </c>
      <c r="G2" s="3" t="s">
        <v>33</v>
      </c>
      <c r="H2" s="3" t="s">
        <v>433</v>
      </c>
      <c r="I2" s="3" t="s">
        <v>434</v>
      </c>
      <c r="J2" s="3" t="s">
        <v>432</v>
      </c>
      <c r="K2" s="3" t="s">
        <v>33</v>
      </c>
      <c r="L2" s="3" t="s">
        <v>433</v>
      </c>
      <c r="M2" s="3" t="s">
        <v>434</v>
      </c>
    </row>
    <row r="3" spans="1:13">
      <c r="A3" s="1" t="s">
        <v>4</v>
      </c>
      <c r="B3" s="1" t="s">
        <v>47</v>
      </c>
      <c r="C3" s="1" t="s">
        <v>4</v>
      </c>
      <c r="D3" s="1" t="s">
        <v>5</v>
      </c>
      <c r="E3" s="1" t="s">
        <v>74</v>
      </c>
      <c r="F3" s="2">
        <v>42258</v>
      </c>
      <c r="G3" s="1">
        <v>0.38879999999999998</v>
      </c>
      <c r="H3" s="2">
        <f t="shared" ref="H3:H53" si="0">F3*G3</f>
        <v>16429.910400000001</v>
      </c>
      <c r="I3" s="4">
        <f>H3/$H$54</f>
        <v>0.1758734583253565</v>
      </c>
      <c r="J3" s="2"/>
      <c r="L3" s="2"/>
      <c r="M3" s="4"/>
    </row>
    <row r="4" spans="1:13">
      <c r="A4" s="1" t="s">
        <v>4</v>
      </c>
      <c r="B4" s="1" t="s">
        <v>47</v>
      </c>
      <c r="C4" s="1" t="s">
        <v>4</v>
      </c>
      <c r="D4" s="1" t="s">
        <v>6</v>
      </c>
      <c r="E4" s="1" t="s">
        <v>74</v>
      </c>
      <c r="F4" s="2">
        <v>42258</v>
      </c>
      <c r="G4" s="1">
        <v>0.25</v>
      </c>
      <c r="H4" s="2">
        <f t="shared" si="0"/>
        <v>10564.5</v>
      </c>
      <c r="I4" s="4">
        <f t="shared" ref="I4:I53" si="1">H4/$H$54</f>
        <v>0.11308735746229198</v>
      </c>
      <c r="J4" s="2"/>
      <c r="L4" s="2"/>
      <c r="M4" s="4"/>
    </row>
    <row r="5" spans="1:13">
      <c r="A5" s="1" t="s">
        <v>10</v>
      </c>
      <c r="B5" s="1" t="s">
        <v>10</v>
      </c>
      <c r="C5" s="1" t="s">
        <v>16</v>
      </c>
      <c r="D5" s="1" t="s">
        <v>6</v>
      </c>
      <c r="E5" s="1" t="s">
        <v>74</v>
      </c>
      <c r="F5" s="2">
        <v>311.8</v>
      </c>
      <c r="G5" s="1">
        <v>10.039999999999999</v>
      </c>
      <c r="H5" s="2">
        <f t="shared" si="0"/>
        <v>3130.4719999999998</v>
      </c>
      <c r="I5" s="4">
        <f t="shared" si="1"/>
        <v>3.3510038912366515E-2</v>
      </c>
      <c r="J5" s="2"/>
      <c r="L5" s="2"/>
      <c r="M5" s="4"/>
    </row>
    <row r="6" spans="1:13">
      <c r="A6" s="1" t="s">
        <v>155</v>
      </c>
      <c r="B6" s="1" t="s">
        <v>48</v>
      </c>
      <c r="C6" s="1" t="s">
        <v>16</v>
      </c>
      <c r="D6" s="1" t="s">
        <v>6</v>
      </c>
      <c r="E6" s="1" t="s">
        <v>74</v>
      </c>
      <c r="F6" s="2">
        <v>3.6480000000000001</v>
      </c>
      <c r="G6" s="1">
        <v>224.98500000000001</v>
      </c>
      <c r="H6" s="2">
        <f t="shared" si="0"/>
        <v>820.74528000000009</v>
      </c>
      <c r="I6" s="4">
        <f>H6/$H$54</f>
        <v>8.785641995820808E-3</v>
      </c>
      <c r="J6" s="2"/>
      <c r="L6" s="2"/>
      <c r="M6" s="4"/>
    </row>
    <row r="7" spans="1:13">
      <c r="A7" s="1" t="s">
        <v>37</v>
      </c>
      <c r="B7" s="1" t="s">
        <v>7</v>
      </c>
      <c r="C7" s="1" t="s">
        <v>16</v>
      </c>
      <c r="D7" s="1" t="s">
        <v>6</v>
      </c>
      <c r="E7" s="1" t="s">
        <v>74</v>
      </c>
      <c r="F7" s="2">
        <v>101.71</v>
      </c>
      <c r="G7" s="1">
        <v>5.1159999999999997</v>
      </c>
      <c r="H7" s="2">
        <f t="shared" si="0"/>
        <v>520.34835999999996</v>
      </c>
      <c r="I7" s="4">
        <f t="shared" si="1"/>
        <v>5.5700526283532009E-3</v>
      </c>
      <c r="J7" s="2"/>
      <c r="L7" s="2"/>
      <c r="M7" s="4"/>
    </row>
    <row r="8" spans="1:13">
      <c r="A8" s="1" t="s">
        <v>38</v>
      </c>
      <c r="B8" s="1" t="s">
        <v>49</v>
      </c>
      <c r="C8" s="1" t="s">
        <v>18</v>
      </c>
      <c r="D8" s="1" t="s">
        <v>6</v>
      </c>
      <c r="E8" s="1" t="s">
        <v>74</v>
      </c>
      <c r="F8" s="2">
        <v>14.94</v>
      </c>
      <c r="G8" s="1">
        <v>30.3</v>
      </c>
      <c r="H8" s="2">
        <f t="shared" si="0"/>
        <v>452.68200000000002</v>
      </c>
      <c r="I8" s="4">
        <f t="shared" si="1"/>
        <v>4.845720209261703E-3</v>
      </c>
      <c r="J8" s="2"/>
      <c r="L8" s="2"/>
      <c r="M8" s="4"/>
    </row>
    <row r="9" spans="1:13">
      <c r="A9" s="1" t="s">
        <v>39</v>
      </c>
      <c r="B9" s="1" t="s">
        <v>50</v>
      </c>
      <c r="C9" s="1" t="s">
        <v>17</v>
      </c>
      <c r="D9" s="1" t="s">
        <v>6</v>
      </c>
      <c r="E9" s="1" t="s">
        <v>74</v>
      </c>
      <c r="F9" s="2">
        <v>0.97</v>
      </c>
      <c r="G9" s="1">
        <v>200</v>
      </c>
      <c r="H9" s="2">
        <f t="shared" si="0"/>
        <v>194</v>
      </c>
      <c r="I9" s="4">
        <f t="shared" si="1"/>
        <v>2.0766668888905905E-3</v>
      </c>
      <c r="J9" s="2"/>
      <c r="L9" s="2"/>
      <c r="M9" s="4"/>
    </row>
    <row r="10" spans="1:13">
      <c r="A10" s="1" t="s">
        <v>40</v>
      </c>
      <c r="B10" s="1" t="s">
        <v>51</v>
      </c>
      <c r="C10" s="1" t="s">
        <v>19</v>
      </c>
      <c r="D10" s="1" t="s">
        <v>6</v>
      </c>
      <c r="E10" s="1" t="s">
        <v>74</v>
      </c>
      <c r="F10" s="2">
        <v>8.9550000000000005E-2</v>
      </c>
      <c r="G10" s="1">
        <v>2000</v>
      </c>
      <c r="H10" s="2">
        <f t="shared" si="0"/>
        <v>179.10000000000002</v>
      </c>
      <c r="I10" s="4">
        <f t="shared" si="1"/>
        <v>1.9171703082489938E-3</v>
      </c>
      <c r="J10" s="2"/>
      <c r="L10" s="2"/>
      <c r="M10" s="4"/>
    </row>
    <row r="11" spans="1:13">
      <c r="A11" s="1" t="s">
        <v>150</v>
      </c>
      <c r="B11" s="1" t="s">
        <v>52</v>
      </c>
      <c r="C11" s="1" t="s">
        <v>16</v>
      </c>
      <c r="D11" s="1" t="s">
        <v>6</v>
      </c>
      <c r="E11" s="1" t="s">
        <v>74</v>
      </c>
      <c r="F11" s="2">
        <v>10.6</v>
      </c>
      <c r="G11" s="1">
        <v>11.98</v>
      </c>
      <c r="H11" s="2">
        <f t="shared" si="0"/>
        <v>126.988</v>
      </c>
      <c r="I11" s="4">
        <f t="shared" si="1"/>
        <v>1.359339045806383E-3</v>
      </c>
      <c r="J11" s="2"/>
      <c r="L11" s="2"/>
      <c r="M11" s="4"/>
    </row>
    <row r="12" spans="1:13">
      <c r="A12" s="1" t="s">
        <v>283</v>
      </c>
      <c r="B12" s="1" t="s">
        <v>8</v>
      </c>
      <c r="C12" s="1" t="s">
        <v>21</v>
      </c>
      <c r="D12" s="1" t="s">
        <v>6</v>
      </c>
      <c r="E12" s="1" t="s">
        <v>74</v>
      </c>
      <c r="F12" s="2">
        <v>0.2122</v>
      </c>
      <c r="G12" s="1">
        <v>543.5</v>
      </c>
      <c r="H12" s="2">
        <f t="shared" si="0"/>
        <v>115.33069999999999</v>
      </c>
      <c r="I12" s="4">
        <f t="shared" si="1"/>
        <v>1.2345538451679072E-3</v>
      </c>
      <c r="J12" s="2"/>
      <c r="L12" s="2"/>
      <c r="M12" s="4"/>
    </row>
    <row r="13" spans="1:13">
      <c r="A13" s="1" t="s">
        <v>284</v>
      </c>
      <c r="B13" s="1" t="s">
        <v>9</v>
      </c>
      <c r="C13" s="1" t="s">
        <v>20</v>
      </c>
      <c r="D13" s="1" t="s">
        <v>6</v>
      </c>
      <c r="E13" s="1" t="s">
        <v>74</v>
      </c>
      <c r="F13" s="2">
        <v>1.6539999999999999</v>
      </c>
      <c r="G13" s="1">
        <v>49.96</v>
      </c>
      <c r="H13" s="2">
        <f t="shared" si="0"/>
        <v>82.633839999999992</v>
      </c>
      <c r="I13" s="4">
        <f t="shared" si="1"/>
        <v>8.845513372674372E-4</v>
      </c>
      <c r="J13" s="2"/>
      <c r="L13" s="2"/>
      <c r="M13" s="4"/>
    </row>
    <row r="14" spans="1:13">
      <c r="A14" s="1" t="s">
        <v>216</v>
      </c>
      <c r="B14" s="1" t="s">
        <v>11</v>
      </c>
      <c r="C14" s="1" t="s">
        <v>20</v>
      </c>
      <c r="D14" s="1" t="s">
        <v>6</v>
      </c>
      <c r="E14" s="1" t="s">
        <v>74</v>
      </c>
      <c r="F14" s="2">
        <v>0.59470000000000001</v>
      </c>
      <c r="G14" s="1">
        <v>156</v>
      </c>
      <c r="H14" s="2">
        <f t="shared" si="0"/>
        <v>92.773200000000003</v>
      </c>
      <c r="I14" s="4">
        <f t="shared" si="1"/>
        <v>9.930877969918791E-4</v>
      </c>
      <c r="J14" s="2"/>
      <c r="L14" s="2"/>
      <c r="M14" s="4"/>
    </row>
    <row r="15" spans="1:13">
      <c r="A15" s="1" t="s">
        <v>163</v>
      </c>
      <c r="B15" s="1" t="s">
        <v>12</v>
      </c>
      <c r="C15" s="1" t="s">
        <v>21</v>
      </c>
      <c r="D15" s="1" t="s">
        <v>6</v>
      </c>
      <c r="E15" s="1" t="s">
        <v>74</v>
      </c>
      <c r="F15" s="2">
        <v>6.9210000000000003</v>
      </c>
      <c r="G15" s="1">
        <v>13</v>
      </c>
      <c r="H15" s="2">
        <f t="shared" si="0"/>
        <v>89.972999999999999</v>
      </c>
      <c r="I15" s="4">
        <f t="shared" si="1"/>
        <v>9.6311314429975827E-4</v>
      </c>
      <c r="J15" s="2"/>
      <c r="L15" s="2"/>
      <c r="M15" s="4"/>
    </row>
    <row r="16" spans="1:13">
      <c r="A16" s="1" t="s">
        <v>184</v>
      </c>
      <c r="B16" s="1" t="s">
        <v>13</v>
      </c>
      <c r="C16" s="1" t="s">
        <v>21</v>
      </c>
      <c r="D16" s="1" t="s">
        <v>6</v>
      </c>
      <c r="E16" s="1" t="s">
        <v>74</v>
      </c>
      <c r="F16" s="2">
        <v>3.4329999999999999E-2</v>
      </c>
      <c r="G16" s="1">
        <v>1690</v>
      </c>
      <c r="H16" s="2">
        <f t="shared" si="0"/>
        <v>58.017699999999998</v>
      </c>
      <c r="I16" s="4">
        <f t="shared" si="1"/>
        <v>6.2104864205972995E-4</v>
      </c>
      <c r="J16" s="2"/>
      <c r="L16" s="2"/>
      <c r="M16" s="4"/>
    </row>
    <row r="17" spans="1:13">
      <c r="A17" s="1" t="s">
        <v>14</v>
      </c>
      <c r="B17" s="1" t="s">
        <v>14</v>
      </c>
      <c r="C17" s="1" t="s">
        <v>20</v>
      </c>
      <c r="D17" s="1" t="s">
        <v>6</v>
      </c>
      <c r="E17" s="1" t="s">
        <v>74</v>
      </c>
      <c r="F17" s="2">
        <v>3.0349999999999999E-2</v>
      </c>
      <c r="G17" s="1">
        <v>1811</v>
      </c>
      <c r="H17" s="2">
        <f t="shared" si="0"/>
        <v>54.963850000000001</v>
      </c>
      <c r="I17" s="4">
        <f t="shared" si="1"/>
        <v>5.8835880093272724E-4</v>
      </c>
      <c r="J17" s="2"/>
      <c r="L17" s="2"/>
      <c r="M17" s="4"/>
    </row>
    <row r="18" spans="1:13">
      <c r="A18" s="1" t="s">
        <v>133</v>
      </c>
      <c r="B18" s="1" t="s">
        <v>15</v>
      </c>
      <c r="C18" s="1" t="s">
        <v>16</v>
      </c>
      <c r="D18" s="1" t="s">
        <v>6</v>
      </c>
      <c r="E18" s="1" t="s">
        <v>74</v>
      </c>
      <c r="F18" s="2">
        <v>8.2029999999999994</v>
      </c>
      <c r="G18" s="1">
        <v>5</v>
      </c>
      <c r="H18" s="2">
        <f t="shared" si="0"/>
        <v>41.015000000000001</v>
      </c>
      <c r="I18" s="4">
        <f t="shared" si="1"/>
        <v>4.3904377550436891E-4</v>
      </c>
      <c r="J18" s="2"/>
      <c r="L18" s="2"/>
      <c r="M18" s="4"/>
    </row>
    <row r="19" spans="1:13">
      <c r="A19" s="1" t="s">
        <v>4</v>
      </c>
      <c r="B19" s="1" t="s">
        <v>47</v>
      </c>
      <c r="C19" s="1" t="s">
        <v>4</v>
      </c>
      <c r="D19" s="1" t="s">
        <v>22</v>
      </c>
      <c r="E19" s="1" t="s">
        <v>74</v>
      </c>
      <c r="F19" s="2">
        <v>42258</v>
      </c>
      <c r="G19" s="1">
        <v>4.888E-2</v>
      </c>
      <c r="H19" s="2">
        <f t="shared" si="0"/>
        <v>2065.5710399999998</v>
      </c>
      <c r="I19" s="4">
        <f t="shared" si="1"/>
        <v>2.2110840131027324E-2</v>
      </c>
      <c r="J19" s="2"/>
      <c r="L19" s="2"/>
      <c r="M19" s="4"/>
    </row>
    <row r="20" spans="1:13">
      <c r="A20" s="1" t="s">
        <v>24</v>
      </c>
      <c r="B20" s="1" t="s">
        <v>23</v>
      </c>
      <c r="C20" s="1" t="s">
        <v>24</v>
      </c>
      <c r="D20" s="1" t="s">
        <v>22</v>
      </c>
      <c r="E20" s="1" t="s">
        <v>74</v>
      </c>
      <c r="F20" s="2">
        <v>2282.11</v>
      </c>
      <c r="G20" s="1">
        <v>0.75680000000000003</v>
      </c>
      <c r="H20" s="2">
        <f t="shared" si="0"/>
        <v>1727.1008480000003</v>
      </c>
      <c r="I20" s="4">
        <f t="shared" si="1"/>
        <v>1.8487696622765264E-2</v>
      </c>
      <c r="J20" s="2"/>
      <c r="L20" s="2"/>
      <c r="M20" s="4"/>
    </row>
    <row r="21" spans="1:13">
      <c r="A21" s="1" t="s">
        <v>26</v>
      </c>
      <c r="B21" s="1" t="s">
        <v>25</v>
      </c>
      <c r="C21" s="1" t="s">
        <v>16</v>
      </c>
      <c r="D21" s="1" t="s">
        <v>22</v>
      </c>
      <c r="E21" s="1" t="s">
        <v>74</v>
      </c>
      <c r="F21" s="2">
        <v>0.64319999999999999</v>
      </c>
      <c r="G21" s="1">
        <v>889</v>
      </c>
      <c r="H21" s="2">
        <f t="shared" si="0"/>
        <v>571.8048</v>
      </c>
      <c r="I21" s="4">
        <f t="shared" si="1"/>
        <v>6.1208664694263216E-3</v>
      </c>
      <c r="J21" s="2"/>
      <c r="L21" s="2"/>
      <c r="M21" s="4"/>
    </row>
    <row r="22" spans="1:13">
      <c r="A22" s="1" t="s">
        <v>28</v>
      </c>
      <c r="B22" s="1" t="s">
        <v>27</v>
      </c>
      <c r="C22" s="1" t="s">
        <v>16</v>
      </c>
      <c r="D22" s="1" t="s">
        <v>22</v>
      </c>
      <c r="E22" s="1" t="s">
        <v>74</v>
      </c>
      <c r="F22" s="2">
        <v>38.556600000000003</v>
      </c>
      <c r="G22" s="1">
        <v>16.87</v>
      </c>
      <c r="H22" s="2">
        <f t="shared" si="0"/>
        <v>650.4498420000001</v>
      </c>
      <c r="I22" s="4">
        <f t="shared" si="1"/>
        <v>6.9627198441521458E-3</v>
      </c>
      <c r="J22" s="2"/>
      <c r="L22" s="2"/>
      <c r="M22" s="4"/>
    </row>
    <row r="23" spans="1:13">
      <c r="A23" s="1" t="s">
        <v>155</v>
      </c>
      <c r="B23" s="1" t="s">
        <v>48</v>
      </c>
      <c r="C23" s="1" t="s">
        <v>16</v>
      </c>
      <c r="D23" s="1" t="s">
        <v>22</v>
      </c>
      <c r="E23" s="1" t="s">
        <v>74</v>
      </c>
      <c r="F23" s="2">
        <v>3.65</v>
      </c>
      <c r="G23" s="1">
        <v>163.92500000000001</v>
      </c>
      <c r="H23" s="2">
        <f t="shared" si="0"/>
        <v>598.32625000000007</v>
      </c>
      <c r="I23" s="4">
        <f t="shared" si="1"/>
        <v>6.4047644955106901E-3</v>
      </c>
      <c r="J23" s="2"/>
      <c r="L23" s="2"/>
      <c r="M23" s="4"/>
    </row>
    <row r="24" spans="1:13">
      <c r="A24" s="1" t="s">
        <v>29</v>
      </c>
      <c r="B24" s="1" t="s">
        <v>53</v>
      </c>
      <c r="C24" s="1" t="s">
        <v>17</v>
      </c>
      <c r="D24" s="1" t="s">
        <v>22</v>
      </c>
      <c r="E24" s="1" t="s">
        <v>74</v>
      </c>
      <c r="F24" s="2">
        <v>3.7056</v>
      </c>
      <c r="G24" s="1">
        <v>55.93</v>
      </c>
      <c r="H24" s="2">
        <f t="shared" si="0"/>
        <v>207.25420800000001</v>
      </c>
      <c r="I24" s="4">
        <f t="shared" si="1"/>
        <v>2.2185461409115637E-3</v>
      </c>
      <c r="J24" s="2"/>
      <c r="L24" s="2"/>
      <c r="M24" s="4"/>
    </row>
    <row r="25" spans="1:13">
      <c r="A25" s="1" t="s">
        <v>30</v>
      </c>
      <c r="B25" s="1" t="s">
        <v>54</v>
      </c>
      <c r="C25" s="1" t="s">
        <v>20</v>
      </c>
      <c r="D25" s="1" t="s">
        <v>22</v>
      </c>
      <c r="E25" s="1" t="s">
        <v>74</v>
      </c>
      <c r="F25" s="2">
        <v>1.0845899999999999</v>
      </c>
      <c r="G25" s="1">
        <v>125.89</v>
      </c>
      <c r="H25" s="2">
        <f t="shared" si="0"/>
        <v>136.53903510000001</v>
      </c>
      <c r="I25" s="4">
        <f t="shared" si="1"/>
        <v>1.461577800171341E-3</v>
      </c>
      <c r="J25" s="2"/>
      <c r="L25" s="2"/>
      <c r="M25" s="4"/>
    </row>
    <row r="26" spans="1:13">
      <c r="A26" s="1" t="s">
        <v>4</v>
      </c>
      <c r="B26" s="1" t="s">
        <v>47</v>
      </c>
      <c r="C26" s="1" t="s">
        <v>4</v>
      </c>
      <c r="D26" s="1" t="s">
        <v>32</v>
      </c>
      <c r="E26" s="1" t="s">
        <v>74</v>
      </c>
      <c r="F26" s="2">
        <v>42258</v>
      </c>
      <c r="G26" s="1">
        <v>2.7650000000000001E-2</v>
      </c>
      <c r="H26" s="2">
        <f t="shared" si="0"/>
        <v>1168.4337</v>
      </c>
      <c r="I26" s="4">
        <f t="shared" si="1"/>
        <v>1.2507461735329493E-2</v>
      </c>
      <c r="J26" s="2"/>
      <c r="L26" s="2"/>
      <c r="M26" s="4"/>
    </row>
    <row r="27" spans="1:13">
      <c r="A27" s="1" t="s">
        <v>24</v>
      </c>
      <c r="B27" s="1" t="s">
        <v>23</v>
      </c>
      <c r="C27" s="1" t="s">
        <v>24</v>
      </c>
      <c r="D27" s="1" t="s">
        <v>32</v>
      </c>
      <c r="E27" s="1" t="s">
        <v>74</v>
      </c>
      <c r="F27" s="2">
        <v>2282.11</v>
      </c>
      <c r="G27" s="1">
        <v>0.22</v>
      </c>
      <c r="H27" s="2">
        <f t="shared" si="0"/>
        <v>502.06420000000003</v>
      </c>
      <c r="I27" s="4">
        <f t="shared" si="1"/>
        <v>5.3743304135945528E-3</v>
      </c>
      <c r="J27" s="2"/>
      <c r="L27" s="2"/>
      <c r="M27" s="4"/>
    </row>
    <row r="28" spans="1:13">
      <c r="A28" s="1" t="s">
        <v>31</v>
      </c>
      <c r="B28" s="1" t="s">
        <v>55</v>
      </c>
      <c r="C28" s="1" t="s">
        <v>16</v>
      </c>
      <c r="D28" s="1" t="s">
        <v>32</v>
      </c>
      <c r="E28" s="1" t="s">
        <v>74</v>
      </c>
      <c r="F28" s="2">
        <v>0.59407699999999997</v>
      </c>
      <c r="G28" s="1">
        <v>843.04</v>
      </c>
      <c r="H28" s="2">
        <f t="shared" si="0"/>
        <v>500.83067407999994</v>
      </c>
      <c r="I28" s="4">
        <f t="shared" si="1"/>
        <v>5.3611261742406739E-3</v>
      </c>
      <c r="J28" s="2"/>
      <c r="L28" s="2"/>
      <c r="M28" s="4"/>
    </row>
    <row r="29" spans="1:13">
      <c r="A29" s="1" t="s">
        <v>180</v>
      </c>
      <c r="B29" s="1" t="s">
        <v>295</v>
      </c>
      <c r="C29" s="1" t="s">
        <v>16</v>
      </c>
      <c r="D29" s="1" t="s">
        <v>296</v>
      </c>
      <c r="E29" s="1" t="s">
        <v>74</v>
      </c>
      <c r="F29" s="2">
        <v>9.8960000000000006E-2</v>
      </c>
      <c r="G29" s="1">
        <v>11598.82</v>
      </c>
      <c r="H29" s="2">
        <f t="shared" si="0"/>
        <v>1147.8192272000001</v>
      </c>
      <c r="I29" s="4">
        <f t="shared" si="1"/>
        <v>1.2286794760609412E-2</v>
      </c>
      <c r="J29" s="2"/>
      <c r="L29" s="2"/>
      <c r="M29" s="4"/>
    </row>
    <row r="30" spans="1:13">
      <c r="A30" s="1" t="s">
        <v>24</v>
      </c>
      <c r="B30" s="1" t="s">
        <v>23</v>
      </c>
      <c r="C30" s="1" t="s">
        <v>24</v>
      </c>
      <c r="D30" s="1" t="s">
        <v>296</v>
      </c>
      <c r="E30" s="1" t="s">
        <v>74</v>
      </c>
      <c r="F30" s="2">
        <v>2282.11</v>
      </c>
      <c r="G30" s="1">
        <v>0.02</v>
      </c>
      <c r="H30" s="2">
        <f t="shared" si="0"/>
        <v>45.642200000000003</v>
      </c>
      <c r="I30" s="4">
        <f t="shared" si="1"/>
        <v>4.8857549214495932E-4</v>
      </c>
      <c r="J30" s="2"/>
      <c r="L30" s="2"/>
      <c r="M30" s="4"/>
    </row>
    <row r="31" spans="1:13">
      <c r="A31" s="1" t="s">
        <v>31</v>
      </c>
      <c r="B31" s="1" t="s">
        <v>55</v>
      </c>
      <c r="C31" s="1" t="s">
        <v>16</v>
      </c>
      <c r="D31" s="1" t="s">
        <v>34</v>
      </c>
      <c r="E31" s="1" t="s">
        <v>31</v>
      </c>
      <c r="F31" s="2">
        <v>0.59407699999999997</v>
      </c>
      <c r="G31" s="1">
        <v>2644</v>
      </c>
      <c r="H31" s="2">
        <f t="shared" si="0"/>
        <v>1570.7395879999999</v>
      </c>
      <c r="I31" s="4">
        <f t="shared" si="1"/>
        <v>1.6813932440563131E-2</v>
      </c>
      <c r="J31" s="2"/>
      <c r="L31" s="2"/>
      <c r="M31" s="4"/>
    </row>
    <row r="32" spans="1:13">
      <c r="A32" s="1" t="s">
        <v>150</v>
      </c>
      <c r="B32" s="1" t="s">
        <v>52</v>
      </c>
      <c r="C32" s="1" t="s">
        <v>16</v>
      </c>
      <c r="D32" s="1" t="s">
        <v>41</v>
      </c>
      <c r="E32" s="1" t="s">
        <v>36</v>
      </c>
      <c r="F32" s="2">
        <v>10.6</v>
      </c>
      <c r="G32" s="1">
        <v>53.5</v>
      </c>
      <c r="H32" s="2">
        <f t="shared" si="0"/>
        <v>567.1</v>
      </c>
      <c r="I32" s="4">
        <f t="shared" si="1"/>
        <v>6.0705040860301752E-3</v>
      </c>
      <c r="J32" s="2"/>
      <c r="L32" s="2"/>
      <c r="M32" s="4"/>
    </row>
    <row r="33" spans="1:13">
      <c r="A33" s="1" t="s">
        <v>35</v>
      </c>
      <c r="B33" s="1" t="s">
        <v>56</v>
      </c>
      <c r="C33" s="1" t="s">
        <v>18</v>
      </c>
      <c r="D33" s="1" t="s">
        <v>41</v>
      </c>
      <c r="E33" s="1" t="s">
        <v>35</v>
      </c>
      <c r="F33" s="2">
        <v>1.5185999999999999</v>
      </c>
      <c r="G33" s="1">
        <v>100.8</v>
      </c>
      <c r="H33" s="2">
        <f t="shared" si="0"/>
        <v>153.07487999999998</v>
      </c>
      <c r="I33" s="4">
        <f t="shared" si="1"/>
        <v>1.6385852310149506E-3</v>
      </c>
      <c r="J33" s="2"/>
      <c r="L33" s="2"/>
      <c r="M33" s="4"/>
    </row>
    <row r="34" spans="1:13">
      <c r="A34" s="1" t="s">
        <v>150</v>
      </c>
      <c r="B34" s="1" t="s">
        <v>52</v>
      </c>
      <c r="C34" s="1" t="s">
        <v>16</v>
      </c>
      <c r="D34" s="1" t="s">
        <v>42</v>
      </c>
      <c r="E34" s="1" t="s">
        <v>36</v>
      </c>
      <c r="F34" s="2">
        <v>10.6</v>
      </c>
      <c r="G34" s="1">
        <v>37.9</v>
      </c>
      <c r="H34" s="2">
        <f t="shared" si="0"/>
        <v>401.73999999999995</v>
      </c>
      <c r="I34" s="4">
        <f t="shared" si="1"/>
        <v>4.3004131749634312E-3</v>
      </c>
      <c r="J34" s="2"/>
      <c r="L34" s="2"/>
      <c r="M34" s="4"/>
    </row>
    <row r="35" spans="1:13">
      <c r="A35" s="1" t="s">
        <v>35</v>
      </c>
      <c r="B35" s="1" t="s">
        <v>56</v>
      </c>
      <c r="C35" s="1" t="s">
        <v>18</v>
      </c>
      <c r="D35" s="1" t="s">
        <v>42</v>
      </c>
      <c r="E35" s="1" t="s">
        <v>35</v>
      </c>
      <c r="F35" s="2">
        <v>1.5185999999999999</v>
      </c>
      <c r="G35" s="1">
        <v>466.7</v>
      </c>
      <c r="H35" s="2">
        <f t="shared" si="0"/>
        <v>708.73061999999993</v>
      </c>
      <c r="I35" s="4">
        <f t="shared" si="1"/>
        <v>7.5865845963757686E-3</v>
      </c>
      <c r="J35" s="2"/>
      <c r="L35" s="2"/>
      <c r="M35" s="4"/>
    </row>
    <row r="36" spans="1:13">
      <c r="A36" s="1" t="s">
        <v>43</v>
      </c>
      <c r="B36" s="1" t="s">
        <v>57</v>
      </c>
      <c r="C36" s="1" t="s">
        <v>44</v>
      </c>
      <c r="D36" s="1" t="s">
        <v>45</v>
      </c>
      <c r="E36" s="1" t="s">
        <v>43</v>
      </c>
      <c r="F36" s="2">
        <v>1.4977499999999999</v>
      </c>
      <c r="G36" s="1">
        <v>727.5</v>
      </c>
      <c r="H36" s="2">
        <f t="shared" si="0"/>
        <v>1089.6131249999999</v>
      </c>
      <c r="I36" s="4">
        <f t="shared" si="1"/>
        <v>1.1663729373134556E-2</v>
      </c>
      <c r="J36" s="2"/>
      <c r="L36" s="2"/>
      <c r="M36" s="4"/>
    </row>
    <row r="37" spans="1:13">
      <c r="A37" s="1" t="s">
        <v>281</v>
      </c>
      <c r="B37" s="1" t="s">
        <v>310</v>
      </c>
      <c r="C37" s="1" t="s">
        <v>44</v>
      </c>
      <c r="D37" s="1" t="s">
        <v>45</v>
      </c>
      <c r="E37" s="1" t="s">
        <v>43</v>
      </c>
      <c r="F37" s="2">
        <v>0.33596999999999999</v>
      </c>
      <c r="G37" s="1">
        <v>437.29</v>
      </c>
      <c r="H37" s="2">
        <f t="shared" si="0"/>
        <v>146.91632129999999</v>
      </c>
      <c r="I37" s="4">
        <f t="shared" si="1"/>
        <v>1.5726611334088731E-3</v>
      </c>
      <c r="J37" s="2"/>
      <c r="L37" s="2"/>
      <c r="M37" s="4"/>
    </row>
    <row r="38" spans="1:13">
      <c r="A38" s="1" t="s">
        <v>4</v>
      </c>
      <c r="B38" s="1" t="s">
        <v>58</v>
      </c>
      <c r="C38" s="1" t="s">
        <v>4</v>
      </c>
      <c r="D38" s="1" t="s">
        <v>59</v>
      </c>
      <c r="E38" s="1" t="s">
        <v>61</v>
      </c>
      <c r="F38" s="2">
        <v>42258</v>
      </c>
      <c r="G38" s="1">
        <v>0.2883</v>
      </c>
      <c r="H38" s="2">
        <f t="shared" si="0"/>
        <v>12182.981400000001</v>
      </c>
      <c r="I38" s="4">
        <f t="shared" si="1"/>
        <v>0.1304123406255151</v>
      </c>
      <c r="J38" s="2"/>
      <c r="L38" s="2"/>
      <c r="M38" s="4"/>
    </row>
    <row r="39" spans="1:13">
      <c r="A39" s="1" t="s">
        <v>4</v>
      </c>
      <c r="B39" s="1" t="s">
        <v>60</v>
      </c>
      <c r="C39" s="1" t="s">
        <v>4</v>
      </c>
      <c r="D39" s="1" t="s">
        <v>59</v>
      </c>
      <c r="E39" s="1" t="s">
        <v>62</v>
      </c>
      <c r="F39" s="2">
        <v>42258</v>
      </c>
      <c r="G39" s="1">
        <v>9.75E-3</v>
      </c>
      <c r="H39" s="2">
        <f t="shared" si="0"/>
        <v>412.01549999999997</v>
      </c>
      <c r="I39" s="4">
        <f t="shared" si="1"/>
        <v>4.4104069410293868E-3</v>
      </c>
      <c r="J39" s="2"/>
      <c r="L39" s="2"/>
      <c r="M39" s="4"/>
    </row>
    <row r="40" spans="1:13">
      <c r="A40" s="1" t="s">
        <v>24</v>
      </c>
      <c r="B40" s="1" t="s">
        <v>23</v>
      </c>
      <c r="C40" s="1" t="s">
        <v>24</v>
      </c>
      <c r="D40" s="1" t="s">
        <v>59</v>
      </c>
      <c r="E40" s="1" t="s">
        <v>63</v>
      </c>
      <c r="F40" s="2">
        <v>2282.11</v>
      </c>
      <c r="G40" s="1">
        <v>0.1515</v>
      </c>
      <c r="H40" s="2">
        <f t="shared" si="0"/>
        <v>345.739665</v>
      </c>
      <c r="I40" s="4">
        <f t="shared" si="1"/>
        <v>3.7009593529980667E-3</v>
      </c>
      <c r="J40" s="2"/>
      <c r="L40" s="2"/>
      <c r="M40" s="4"/>
    </row>
    <row r="41" spans="1:13">
      <c r="A41" s="1" t="s">
        <v>28</v>
      </c>
      <c r="B41" s="1" t="s">
        <v>64</v>
      </c>
      <c r="C41" s="1" t="s">
        <v>16</v>
      </c>
      <c r="D41" s="1" t="s">
        <v>59</v>
      </c>
      <c r="E41" s="1" t="s">
        <v>61</v>
      </c>
      <c r="F41" s="2">
        <v>38.556600000000003</v>
      </c>
      <c r="G41" s="1">
        <v>8</v>
      </c>
      <c r="H41" s="2">
        <f t="shared" si="0"/>
        <v>308.45280000000002</v>
      </c>
      <c r="I41" s="4">
        <f t="shared" si="1"/>
        <v>3.3018232811628432E-3</v>
      </c>
      <c r="J41" s="2"/>
      <c r="L41" s="2"/>
      <c r="M41" s="4"/>
    </row>
    <row r="42" spans="1:13">
      <c r="A42" s="1" t="s">
        <v>24</v>
      </c>
      <c r="B42" s="1" t="s">
        <v>23</v>
      </c>
      <c r="C42" s="1" t="s">
        <v>24</v>
      </c>
      <c r="D42" s="1" t="s">
        <v>59</v>
      </c>
      <c r="E42" s="1" t="s">
        <v>65</v>
      </c>
      <c r="F42" s="2">
        <v>2282.11</v>
      </c>
      <c r="G42" s="1">
        <v>9.8000000000000004E-2</v>
      </c>
      <c r="H42" s="2">
        <f t="shared" si="0"/>
        <v>223.64678000000004</v>
      </c>
      <c r="I42" s="4">
        <f t="shared" si="1"/>
        <v>2.3940199115103011E-3</v>
      </c>
      <c r="J42" s="2"/>
      <c r="L42" s="2"/>
      <c r="M42" s="4"/>
    </row>
    <row r="43" spans="1:13">
      <c r="A43" s="1" t="s">
        <v>24</v>
      </c>
      <c r="B43" s="1" t="s">
        <v>23</v>
      </c>
      <c r="C43" s="1" t="s">
        <v>24</v>
      </c>
      <c r="D43" s="1" t="s">
        <v>59</v>
      </c>
      <c r="E43" s="1" t="s">
        <v>62</v>
      </c>
      <c r="F43" s="2">
        <v>2282.11</v>
      </c>
      <c r="G43" s="1">
        <v>6.2E-2</v>
      </c>
      <c r="H43" s="2">
        <f t="shared" si="0"/>
        <v>141.49082000000001</v>
      </c>
      <c r="I43" s="4">
        <f t="shared" si="1"/>
        <v>1.5145840256493741E-3</v>
      </c>
      <c r="J43" s="2"/>
      <c r="L43" s="2"/>
      <c r="M43" s="4"/>
    </row>
    <row r="44" spans="1:13">
      <c r="A44" s="1" t="s">
        <v>28</v>
      </c>
      <c r="B44" s="1" t="s">
        <v>27</v>
      </c>
      <c r="C44" s="1" t="s">
        <v>16</v>
      </c>
      <c r="D44" s="1" t="s">
        <v>59</v>
      </c>
      <c r="E44" s="1" t="s">
        <v>61</v>
      </c>
      <c r="F44" s="2">
        <v>38.556600000000003</v>
      </c>
      <c r="G44" s="1">
        <v>3.75</v>
      </c>
      <c r="H44" s="2">
        <f t="shared" si="0"/>
        <v>144.58725000000001</v>
      </c>
      <c r="I44" s="4">
        <f t="shared" si="1"/>
        <v>1.5477296630450827E-3</v>
      </c>
      <c r="J44" s="2"/>
      <c r="L44" s="2"/>
      <c r="M44" s="4"/>
    </row>
    <row r="45" spans="1:13">
      <c r="A45" s="1" t="s">
        <v>24</v>
      </c>
      <c r="B45" s="1" t="s">
        <v>23</v>
      </c>
      <c r="C45" s="1" t="s">
        <v>24</v>
      </c>
      <c r="D45" s="1" t="s">
        <v>59</v>
      </c>
      <c r="E45" s="1" t="s">
        <v>66</v>
      </c>
      <c r="F45" s="2">
        <v>2282.11</v>
      </c>
      <c r="G45" s="1">
        <v>4.3299999999999998E-2</v>
      </c>
      <c r="H45" s="2">
        <f t="shared" si="0"/>
        <v>98.815363000000005</v>
      </c>
      <c r="I45" s="4">
        <f t="shared" si="1"/>
        <v>1.0577659404938369E-3</v>
      </c>
      <c r="J45" s="2"/>
      <c r="L45" s="2"/>
      <c r="M45" s="4"/>
    </row>
    <row r="46" spans="1:13">
      <c r="A46" s="1" t="s">
        <v>24</v>
      </c>
      <c r="B46" s="1" t="s">
        <v>23</v>
      </c>
      <c r="C46" s="1" t="s">
        <v>24</v>
      </c>
      <c r="D46" s="1" t="s">
        <v>59</v>
      </c>
      <c r="E46" s="1" t="s">
        <v>67</v>
      </c>
      <c r="F46" s="2">
        <v>2282.11</v>
      </c>
      <c r="G46" s="1">
        <v>2.12E-2</v>
      </c>
      <c r="H46" s="2">
        <f t="shared" si="0"/>
        <v>48.380732000000002</v>
      </c>
      <c r="I46" s="4">
        <f t="shared" si="1"/>
        <v>5.1789002167365692E-4</v>
      </c>
      <c r="J46" s="2"/>
      <c r="L46" s="2"/>
      <c r="M46" s="4"/>
    </row>
    <row r="47" spans="1:13">
      <c r="A47" s="1" t="s">
        <v>68</v>
      </c>
      <c r="B47" s="1" t="s">
        <v>69</v>
      </c>
      <c r="C47" s="1" t="s">
        <v>18</v>
      </c>
      <c r="D47" s="1" t="s">
        <v>59</v>
      </c>
      <c r="E47" s="1" t="s">
        <v>70</v>
      </c>
      <c r="F47" s="2">
        <v>0.22849900000000001</v>
      </c>
      <c r="G47" s="1">
        <v>237.5</v>
      </c>
      <c r="H47" s="2">
        <f t="shared" si="0"/>
        <v>54.2685125</v>
      </c>
      <c r="I47" s="4">
        <f t="shared" si="1"/>
        <v>5.8091558256750063E-4</v>
      </c>
      <c r="J47" s="2"/>
      <c r="L47" s="2"/>
      <c r="M47" s="4"/>
    </row>
    <row r="48" spans="1:13">
      <c r="A48" s="1" t="s">
        <v>71</v>
      </c>
      <c r="B48" s="1" t="s">
        <v>72</v>
      </c>
      <c r="C48" s="1" t="s">
        <v>16</v>
      </c>
      <c r="D48" s="1" t="s">
        <v>59</v>
      </c>
      <c r="E48" s="1" t="s">
        <v>72</v>
      </c>
      <c r="F48" s="2">
        <v>0.47399999999999998</v>
      </c>
      <c r="G48" s="1">
        <v>94.22</v>
      </c>
      <c r="H48" s="2">
        <f t="shared" si="0"/>
        <v>44.66028</v>
      </c>
      <c r="I48" s="4">
        <f t="shared" si="1"/>
        <v>4.7806456043599313E-4</v>
      </c>
      <c r="J48" s="2"/>
      <c r="L48" s="2"/>
      <c r="M48" s="4"/>
    </row>
    <row r="49" spans="1:13">
      <c r="A49" s="1" t="s">
        <v>68</v>
      </c>
      <c r="B49" s="1" t="s">
        <v>69</v>
      </c>
      <c r="C49" s="1" t="s">
        <v>18</v>
      </c>
      <c r="D49" s="1" t="s">
        <v>59</v>
      </c>
      <c r="E49" s="1" t="s">
        <v>62</v>
      </c>
      <c r="F49" s="2">
        <v>0.22849900000000001</v>
      </c>
      <c r="G49" s="1">
        <v>133.97999999999999</v>
      </c>
      <c r="H49" s="2">
        <f t="shared" si="0"/>
        <v>30.614296019999998</v>
      </c>
      <c r="I49" s="4">
        <f t="shared" si="1"/>
        <v>3.2770976737849991E-4</v>
      </c>
      <c r="J49" s="2"/>
      <c r="L49" s="2"/>
      <c r="M49" s="4"/>
    </row>
    <row r="50" spans="1:13">
      <c r="A50" s="1" t="s">
        <v>10</v>
      </c>
      <c r="B50" s="1" t="s">
        <v>10</v>
      </c>
      <c r="C50" s="1" t="s">
        <v>16</v>
      </c>
      <c r="D50" s="1" t="s">
        <v>59</v>
      </c>
      <c r="E50" s="1" t="s">
        <v>62</v>
      </c>
      <c r="F50" s="2">
        <v>311.8</v>
      </c>
      <c r="G50" s="1">
        <v>7.0000000000000007E-2</v>
      </c>
      <c r="H50" s="2">
        <f t="shared" si="0"/>
        <v>21.826000000000004</v>
      </c>
      <c r="I50" s="4">
        <f t="shared" si="1"/>
        <v>2.336357294686909E-4</v>
      </c>
      <c r="J50" s="2"/>
      <c r="L50" s="2"/>
      <c r="M50" s="4"/>
    </row>
    <row r="51" spans="1:13">
      <c r="A51" s="1" t="s">
        <v>4</v>
      </c>
      <c r="B51" s="1" t="s">
        <v>47</v>
      </c>
      <c r="C51" s="1" t="s">
        <v>4</v>
      </c>
      <c r="D51" s="1" t="s">
        <v>97</v>
      </c>
      <c r="F51" s="2">
        <v>42258</v>
      </c>
      <c r="G51" s="1">
        <v>0.18099999999999999</v>
      </c>
      <c r="H51" s="2">
        <f t="shared" si="0"/>
        <v>7648.6979999999994</v>
      </c>
      <c r="I51" s="4">
        <f t="shared" si="1"/>
        <v>8.1875246802699378E-2</v>
      </c>
      <c r="J51" s="2"/>
      <c r="L51" s="2"/>
      <c r="M51" s="4"/>
    </row>
    <row r="52" spans="1:13">
      <c r="A52" s="1" t="s">
        <v>24</v>
      </c>
      <c r="B52" s="1" t="s">
        <v>23</v>
      </c>
      <c r="C52" s="1" t="s">
        <v>24</v>
      </c>
      <c r="D52" s="1" t="s">
        <v>97</v>
      </c>
      <c r="F52" s="2">
        <v>2282.11</v>
      </c>
      <c r="G52" s="1">
        <v>9.75</v>
      </c>
      <c r="H52" s="2">
        <f t="shared" si="0"/>
        <v>22250.572500000002</v>
      </c>
      <c r="I52" s="4">
        <f t="shared" si="1"/>
        <v>0.23818055242066768</v>
      </c>
      <c r="J52" s="2"/>
      <c r="L52" s="2"/>
      <c r="M52" s="4"/>
    </row>
    <row r="53" spans="1:13">
      <c r="A53" s="1" t="s">
        <v>28</v>
      </c>
      <c r="B53" s="1" t="s">
        <v>27</v>
      </c>
      <c r="C53" s="1" t="s">
        <v>16</v>
      </c>
      <c r="D53" s="1" t="s">
        <v>97</v>
      </c>
      <c r="F53" s="2">
        <v>38.556600000000003</v>
      </c>
      <c r="G53" s="1">
        <v>66.11</v>
      </c>
      <c r="H53" s="2">
        <f t="shared" si="0"/>
        <v>2548.9768260000001</v>
      </c>
      <c r="I53" s="4">
        <f t="shared" si="1"/>
        <v>2.7285442139709445E-2</v>
      </c>
      <c r="J53" s="2"/>
      <c r="L53" s="2"/>
      <c r="M53" s="4"/>
    </row>
    <row r="54" spans="1:13">
      <c r="H54" s="2">
        <f>SUM(H3:H53)</f>
        <v>93418.930613200006</v>
      </c>
      <c r="I54" s="5">
        <f>SUM(I3:I53)</f>
        <v>1</v>
      </c>
    </row>
  </sheetData>
  <autoFilter ref="A2:I2" xr:uid="{BD114D9F-D259-453F-B1C1-FA1B914E4E29}"/>
  <mergeCells count="7">
    <mergeCell ref="J1:M1"/>
    <mergeCell ref="F1:I1"/>
    <mergeCell ref="A1:A2"/>
    <mergeCell ref="B1:B2"/>
    <mergeCell ref="C1:C2"/>
    <mergeCell ref="D1:D2"/>
    <mergeCell ref="E1:E2"/>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92236-855E-4A64-B24D-314C19660225}">
  <sheetPr codeName="Sheet4"/>
  <dimension ref="A1:Z1102"/>
  <sheetViews>
    <sheetView zoomScaleNormal="100" workbookViewId="0">
      <pane ySplit="2" topLeftCell="A438" activePane="bottomLeft" state="frozen"/>
      <selection pane="bottomLeft" activeCell="J449" sqref="J449"/>
    </sheetView>
  </sheetViews>
  <sheetFormatPr defaultRowHeight="15"/>
  <cols>
    <col min="1" max="1" width="12.7109375" style="1" customWidth="1"/>
    <col min="2" max="2" width="9.7109375" style="1" customWidth="1"/>
    <col min="3" max="3" width="10.7109375" style="9" bestFit="1" customWidth="1"/>
    <col min="4" max="4" width="12.7109375" style="1" customWidth="1"/>
    <col min="5" max="5" width="23.7109375" style="1" customWidth="1"/>
    <col min="6" max="6" width="14.140625" style="1" bestFit="1" customWidth="1"/>
    <col min="7" max="7" width="10.5703125" style="1" customWidth="1"/>
    <col min="8" max="8" width="16" style="1" bestFit="1" customWidth="1"/>
    <col min="9" max="9" width="9" style="1" bestFit="1" customWidth="1"/>
    <col min="10" max="10" width="12.7109375" style="1" customWidth="1"/>
    <col min="11" max="11" width="6" style="1" customWidth="1"/>
    <col min="12" max="12" width="12.5703125" style="1" bestFit="1" customWidth="1"/>
    <col min="13" max="13" width="8.5703125" style="22" bestFit="1" customWidth="1"/>
    <col min="14" max="14" width="12.28515625" style="1" bestFit="1" customWidth="1"/>
    <col min="15" max="15" width="15.42578125" style="1" bestFit="1" customWidth="1"/>
    <col min="16" max="16" width="12" style="1" bestFit="1" customWidth="1"/>
    <col min="17" max="17" width="7.7109375" style="1" customWidth="1"/>
    <col min="18" max="19" width="10.7109375" style="1" customWidth="1"/>
    <col min="20" max="20" width="5.5703125" style="1" customWidth="1"/>
    <col min="21" max="21" width="7" style="8" bestFit="1" customWidth="1"/>
    <col min="22" max="22" width="5" style="1" bestFit="1" customWidth="1"/>
    <col min="23" max="23" width="7.42578125" style="1" bestFit="1" customWidth="1"/>
    <col min="24" max="24" width="9.140625" style="1"/>
    <col min="25" max="25" width="11.42578125" style="1" bestFit="1" customWidth="1"/>
    <col min="26" max="16384" width="9.140625" style="1"/>
  </cols>
  <sheetData>
    <row r="1" spans="1:26" ht="22.5" customHeight="1" thickBot="1">
      <c r="A1" s="140" t="s">
        <v>342</v>
      </c>
      <c r="B1" s="141"/>
      <c r="C1" s="141"/>
      <c r="D1" s="141"/>
      <c r="E1" s="141"/>
      <c r="F1" s="141"/>
      <c r="G1" s="141"/>
      <c r="H1" s="141"/>
      <c r="I1" s="141"/>
      <c r="J1" s="141"/>
      <c r="K1" s="141"/>
      <c r="L1" s="141"/>
      <c r="M1" s="141"/>
      <c r="N1" s="143" t="s">
        <v>333</v>
      </c>
      <c r="O1" s="144"/>
      <c r="P1" s="144"/>
      <c r="Q1" s="142" t="s">
        <v>337</v>
      </c>
      <c r="R1" s="142"/>
      <c r="S1" s="142"/>
      <c r="T1" s="138" t="s">
        <v>338</v>
      </c>
      <c r="U1" s="138"/>
      <c r="V1" s="138"/>
      <c r="W1" s="139"/>
    </row>
    <row r="2" spans="1:26" s="10" customFormat="1" ht="30" customHeight="1" thickBot="1">
      <c r="A2" s="31" t="s">
        <v>320</v>
      </c>
      <c r="B2" s="13" t="s">
        <v>321</v>
      </c>
      <c r="C2" s="13" t="s">
        <v>322</v>
      </c>
      <c r="D2" s="13" t="s">
        <v>323</v>
      </c>
      <c r="E2" s="13" t="s">
        <v>324</v>
      </c>
      <c r="F2" s="13" t="s">
        <v>325</v>
      </c>
      <c r="G2" s="13" t="s">
        <v>326</v>
      </c>
      <c r="H2" s="13" t="s">
        <v>327</v>
      </c>
      <c r="I2" s="13" t="s">
        <v>328</v>
      </c>
      <c r="J2" s="13" t="s">
        <v>329</v>
      </c>
      <c r="K2" s="13" t="s">
        <v>330</v>
      </c>
      <c r="L2" s="13" t="s">
        <v>331</v>
      </c>
      <c r="M2" s="31" t="s">
        <v>332</v>
      </c>
      <c r="N2" s="31" t="s">
        <v>334</v>
      </c>
      <c r="O2" s="13" t="s">
        <v>335</v>
      </c>
      <c r="P2" s="13" t="s">
        <v>336</v>
      </c>
      <c r="Q2" s="13" t="str">
        <f>Dashboard!L1</f>
        <v>USD</v>
      </c>
      <c r="R2" s="13" t="str">
        <f>"Brokerage Fee in "&amp;Dashboard!L1</f>
        <v>Brokerage Fee in USD</v>
      </c>
      <c r="S2" s="13" t="str">
        <f>"Total ("&amp;Q2&amp;")"</f>
        <v>Total (USD)</v>
      </c>
      <c r="T2" s="13" t="s">
        <v>322</v>
      </c>
      <c r="U2" s="13" t="s">
        <v>340</v>
      </c>
      <c r="V2" s="13" t="s">
        <v>341</v>
      </c>
      <c r="W2" s="32" t="s">
        <v>339</v>
      </c>
    </row>
    <row r="3" spans="1:26">
      <c r="A3" s="14" t="s">
        <v>22</v>
      </c>
      <c r="B3" s="15" t="s">
        <v>348</v>
      </c>
      <c r="C3" s="16">
        <v>44927</v>
      </c>
      <c r="D3" s="15" t="s">
        <v>364</v>
      </c>
      <c r="E3" s="15" t="s">
        <v>114</v>
      </c>
      <c r="F3" s="15" t="s">
        <v>346</v>
      </c>
      <c r="G3" s="15"/>
      <c r="H3" s="15" t="s">
        <v>371</v>
      </c>
      <c r="I3" s="15">
        <v>8540</v>
      </c>
      <c r="J3" s="29">
        <v>1</v>
      </c>
      <c r="K3" s="15"/>
      <c r="L3" s="15"/>
      <c r="M3" s="23">
        <f t="shared" ref="M3:M67" si="0">IF(ISBLANK(A3),"",IF(OR(H3="Sell", H3="Cash Withdrawal"), (I3*J3)-K3, I3*J3))</f>
        <v>8540</v>
      </c>
      <c r="N3" s="36">
        <f t="shared" ref="N3:N67" si="1">IF(ISBLANK(A3),"",IF(OR(H3="Buy",H3="Cash Deposit",H3="Crypto Deposit"),-I3*J3,IF(H3="Sell",I3*J3,0)))</f>
        <v>-8540</v>
      </c>
      <c r="O3" s="34">
        <f>IF(ISBLANK(A3),"",SUMIFS(I$3:I3,D$3:D3,D3,H$3:H3,"Buy")+SUMIFS(I$3:I3,D$3:D3,D3,H$3:H3,"Cash Deposit")+SUMIFS(I$3:I3,D$3:D3,D3,H$3:H3,"Crypto Deposit")+SUMIFS(I$3:I3,D$3:D3,D3,H$3:H3,"Airdrop/Rewards")-SUMIFS(I$3:I3,D$3:D3,D3,H$3:H3,"Sell"))</f>
        <v>8540</v>
      </c>
      <c r="P3" s="2" cm="1">
        <f t="array" ref="P3">IF(ISBLANK(A3),"",IFERROR(IF(H3="Sell",INDEX(_xlfn._xlws.FILTER(P$2:P2, D$2:D2=D3),COUNT(_xlfn._xlws.FILTER(P$2:P2, D$2:D2=D3))),(INDEX(_xlfn._xlws.FILTER(P$2:P2, D$2:D2=D3),COUNT(_xlfn._xlws.FILTER(P$2:P2, D$2:D2=D3)))*INDEX(_xlfn._xlws.FILTER(O$2:O2, D$2:D2=D3),COUNT(_xlfn._xlws.FILTER(O$2:O2, D$2:D2=D3)))-N3) / O3), J3))</f>
        <v>1</v>
      </c>
      <c r="Q3" s="1" t="str">
        <f t="shared" ref="Q3:Q67" si="2">B3</f>
        <v>USD</v>
      </c>
      <c r="R3" s="1" cm="1">
        <f t="array" ref="R3">IF(A3="", "",
    IFERROR(
        _xlfn.SWITCH(
            TRUE,
            AND(Q3="USD", $Q$2="USD"), K3,
            AND(Q3="USD", $Q$2="GBP"), K3*$Z$3,
            AND(Q3="USD", $Q$2="HKD"), K3*$Z$4,
            AND(Q3="USD", $Q$2="EUR"), K3*$Z$5,
            AND(Q3="GBP", $Q$2="GBP"), K3,
            AND(Q3="GBP", $Q$2="USD"), K3*$Z$6,
            AND(Q3="GBP", $Q$2="HKD"), K3*$Z$7,
            AND(Q3="HKG", $Q$2="HKG"), K3,
            AND(Q3="HKD", $Q$2="USD"), K3*$Z$9,
            AND(Q3="HKD", $Q$2="GBP"), K3*$Z$10,
            AND(Q3="HKD", $Q$2="EUR"), K3*$Z$11,
            AND(Q3="EUR", $Q$2="EUR"), K3,
            AND(Q3="EUR", $Q$2="USD"), K3*$Z$12,
            AND(Q3="EUR", $Q$2="GBP"), K3*$Z$13,
            AND(Q3="EUR", $Q$2="HKD"), K3*$Z$14,
        ),
        0
    )
)</f>
        <v>0</v>
      </c>
      <c r="S3" s="1" cm="1">
        <f t="array" ref="S3">IF(A3="", "",
    IFERROR(
        _xlfn.SWITCH(
            TRUE,
            AND(Q3="USD", $Q$2="USD"), M3,
            AND(Q3="USD", $Q$2="GBP"), M3*$Z$3,
            AND(Q3="USD", $Q$2="HKD"), M3*$Z$4,
            AND(Q3="USD", $Q$2="EUR"), M3*$Z$5,
            AND(Q3="GBP", $Q$2="GBP"), M3,
            AND(Q3="GBP", $Q$2="USD"), M3*$Z$6,
            AND(Q3="GBP", $Q$2="HKD"), M3*$Z$7,
            AND(Q3="GBP", $Q$2="HKD"), M3*$Z$8,
            AND(Q3="HKG", $Q$2="HKG"), M3,
            AND(Q3="HKD", $Q$2="USD"), M3*$Z$9,
            AND(Q3="HKD", $Q$2="GBP"), M3*$Z$10,
            AND(Q3="HKD", $Q$2="EUR"), M3*$Z$11,
            AND(Q3="EUR", $Q$2="EUR"), M3,
            AND(Q3="EUR", $Q$2="USD"), M3*$Z$12,
            AND(Q3="EUR", $Q$2="GBP"), M3*$Z$13,
            AND(Q3="EUR", $Q$2="HKD"), M3*$Z$14,
        ),
        0
    )
)</f>
        <v>8540</v>
      </c>
      <c r="T3" s="1" t="str">
        <f t="shared" ref="T3:T67" si="3">IF(ISBLANK(A3),"",TEXT(C3,"D"))</f>
        <v>1</v>
      </c>
      <c r="U3" s="9" t="str">
        <f t="shared" ref="U3:U67" si="4">IF(ISBLANK(A3),"",TEXT(C3,"MM"))</f>
        <v>01</v>
      </c>
      <c r="V3" s="1" t="str">
        <f t="shared" ref="V3:V67" si="5">IF(ISBLANK(A3),"",TEXT(C3,"YYYY"))</f>
        <v>2023</v>
      </c>
      <c r="W3" s="18" t="str">
        <f t="shared" ref="W3:W67" si="6">IF(ISBLANK(A3),"",TEXT(WEEKDAY(C3,1),"dddd"))</f>
        <v>星期日</v>
      </c>
      <c r="Y3" s="1" t="e" vm="1">
        <v>#VALUE!</v>
      </c>
      <c r="Z3" s="2" cm="1">
        <f t="array" ref="Z3">_FV(Y3,"Price")</f>
        <v>0.78190000000000004</v>
      </c>
    </row>
    <row r="4" spans="1:26">
      <c r="A4" s="17" t="s">
        <v>22</v>
      </c>
      <c r="B4" s="1" t="s">
        <v>348</v>
      </c>
      <c r="C4" s="9">
        <v>44927</v>
      </c>
      <c r="D4" s="1" t="s">
        <v>364</v>
      </c>
      <c r="E4" s="1" t="s">
        <v>114</v>
      </c>
      <c r="F4" s="1" t="s">
        <v>346</v>
      </c>
      <c r="H4" s="1" t="s">
        <v>367</v>
      </c>
      <c r="I4" s="1">
        <f>I5*J5</f>
        <v>528.16786433999994</v>
      </c>
      <c r="J4" s="27">
        <v>1</v>
      </c>
      <c r="M4" s="24">
        <f t="shared" si="0"/>
        <v>528.16786433999994</v>
      </c>
      <c r="N4" s="36">
        <f t="shared" si="1"/>
        <v>528.16786433999994</v>
      </c>
      <c r="O4" s="34">
        <f>IF(ISBLANK(A4),"",SUMIFS(I$3:I4,D$3:D4,D4,H$3:H4,"Buy")+SUMIFS(I$3:I4,D$3:D4,D4,H$3:H4,"Cash Deposit")+SUMIFS(I$3:I4,D$3:D4,D4,H$3:H4,"Crypto Deposit")+SUMIFS(I$3:I4,D$3:D4,D4,H$3:H4,"Airdrop/Rewards")-SUMIFS(I$3:I4,D$3:D4,D4,H$3:H4,"Sell"))</f>
        <v>8011.8321356599999</v>
      </c>
      <c r="P4" s="2" cm="1">
        <f t="array" ref="P4">IF(ISBLANK(A4),"",IFERROR(IF(H4="Sell",INDEX(_xlfn._xlws.FILTER(P$2:P3, D$2:D3=D4),COUNT(_xlfn._xlws.FILTER(P$2:P3, D$2:D3=D4))),(INDEX(_xlfn._xlws.FILTER(P$2:P3, D$2:D3=D4),COUNT(_xlfn._xlws.FILTER(P$2:P3, D$2:D3=D4)))*INDEX(_xlfn._xlws.FILTER(O$2:O3, D$2:D3=D4),COUNT(_xlfn._xlws.FILTER(O$2:O3, D$2:D3=D4)))-N4) / O4), J4))</f>
        <v>1</v>
      </c>
      <c r="Q4" s="1" t="str">
        <f t="shared" si="2"/>
        <v>USD</v>
      </c>
      <c r="R4" s="1" cm="1">
        <f t="array" ref="R4">IF(A4="", "",
    IFERROR(
        _xlfn.SWITCH(
            TRUE,
            AND(Q4="USD", $Q$2="USD"), K4,
            AND(Q4="USD", $Q$2="GBP"), K4*$Z$3,
            AND(Q4="USD", $Q$2="HKD"), K4*$Z$4,
            AND(Q4="USD", $Q$2="EUR"), K4*$Z$5,
            AND(Q4="GBP", $Q$2="GBP"), K4,
            AND(Q4="GBP", $Q$2="USD"), K4*$Z$6,
            AND(Q4="GBP", $Q$2="HKD"), K4*$Z$7,
            AND(Q4="HKG", $Q$2="HKG"), K4,
            AND(Q4="HKD", $Q$2="USD"), K4*$Z$9,
            AND(Q4="HKD", $Q$2="GBP"), K4*$Z$10,
            AND(Q4="HKD", $Q$2="EUR"), K4*$Z$11,
            AND(Q4="EUR", $Q$2="EUR"), K4,
            AND(Q4="EUR", $Q$2="USD"), K4*$Z$12,
            AND(Q4="EUR", $Q$2="GBP"), K4*$Z$13,
            AND(Q4="EUR", $Q$2="HKD"), K4*$Z$14,
        ),
        0
    )
)</f>
        <v>0</v>
      </c>
      <c r="S4" s="1" cm="1">
        <f t="array" ref="S4">IF(A4="", "",
    IFERROR(
        _xlfn.SWITCH(
            TRUE,
            AND(Q4="USD", $Q$2="USD"), M4,
            AND(Q4="USD", $Q$2="GBP"), M4*$Z$3,
            AND(Q4="USD", $Q$2="HKD"), M4*$Z$4,
            AND(Q4="USD", $Q$2="EUR"), M4*$Z$5,
            AND(Q4="GBP", $Q$2="GBP"), M4,
            AND(Q4="GBP", $Q$2="USD"), M4*$Z$6,
            AND(Q4="GBP", $Q$2="HKD"), M4*$Z$7,
            AND(Q4="GBP", $Q$2="HKD"), M4*$Z$8,
            AND(Q4="HKG", $Q$2="HKG"), M4,
            AND(Q4="HKD", $Q$2="USD"), M4*$Z$9,
            AND(Q4="HKD", $Q$2="GBP"), M4*$Z$10,
            AND(Q4="HKD", $Q$2="EUR"), M4*$Z$11,
            AND(Q4="EUR", $Q$2="EUR"), M4,
            AND(Q4="EUR", $Q$2="USD"), M4*$Z$12,
            AND(Q4="EUR", $Q$2="GBP"), M4*$Z$13,
            AND(Q4="EUR", $Q$2="HKD"), M4*$Z$14,
        ),
        0
    )
)</f>
        <v>528.16786433999994</v>
      </c>
      <c r="T4" s="1" t="str">
        <f t="shared" si="3"/>
        <v>1</v>
      </c>
      <c r="U4" s="9" t="str">
        <f t="shared" si="4"/>
        <v>01</v>
      </c>
      <c r="V4" s="1" t="str">
        <f t="shared" si="5"/>
        <v>2023</v>
      </c>
      <c r="W4" s="18" t="str">
        <f t="shared" si="6"/>
        <v>星期日</v>
      </c>
      <c r="Y4" s="1" t="e" vm="2">
        <v>#VALUE!</v>
      </c>
      <c r="Z4" s="2" cm="1">
        <f t="array" ref="Z4">_FV(Y4,"Price")</f>
        <v>7.8095999999999997</v>
      </c>
    </row>
    <row r="5" spans="1:26">
      <c r="A5" s="17" t="s">
        <v>22</v>
      </c>
      <c r="B5" s="1" t="s">
        <v>348</v>
      </c>
      <c r="C5" s="9">
        <v>44927</v>
      </c>
      <c r="D5" s="1" t="s">
        <v>48</v>
      </c>
      <c r="E5" s="1" t="s">
        <v>155</v>
      </c>
      <c r="F5" s="1" t="s">
        <v>349</v>
      </c>
      <c r="H5" s="1" t="s">
        <v>347</v>
      </c>
      <c r="I5" s="1">
        <v>163.92546999999999</v>
      </c>
      <c r="J5" s="27">
        <v>3.222</v>
      </c>
      <c r="M5" s="24">
        <f t="shared" si="0"/>
        <v>528.16786433999994</v>
      </c>
      <c r="N5" s="36">
        <f t="shared" si="1"/>
        <v>-528.16786433999994</v>
      </c>
      <c r="O5" s="34">
        <f>IF(ISBLANK(A5),"",SUMIFS(I$3:I5,D$3:D5,D5,H$3:H5,"Buy")+SUMIFS(I$3:I5,D$3:D5,D5,H$3:H5,"Cash Deposit")+SUMIFS(I$3:I5,D$3:D5,D5,H$3:H5,"Crypto Deposit")+SUMIFS(I$3:I5,D$3:D5,D5,H$3:H5,"Airdrop/Rewards")-SUMIFS(I$3:I5,D$3:D5,D5,H$3:H5,"Sell"))</f>
        <v>163.92546999999999</v>
      </c>
      <c r="P5" s="2" cm="1">
        <f t="array" ref="P5">IF(ISBLANK(A5),"",IFERROR(IF(H5="Sell",INDEX(_xlfn._xlws.FILTER(P$2:P4, D$2:D4=D5),COUNT(_xlfn._xlws.FILTER(P$2:P4, D$2:D4=D5))),(INDEX(_xlfn._xlws.FILTER(P$2:P4, D$2:D4=D5),COUNT(_xlfn._xlws.FILTER(P$2:P4, D$2:D4=D5)))*INDEX(_xlfn._xlws.FILTER(O$2:O4, D$2:D4=D5),COUNT(_xlfn._xlws.FILTER(O$2:O4, D$2:D4=D5)))-N5) / O5), J5))</f>
        <v>3.222</v>
      </c>
      <c r="Q5" s="1" t="str">
        <f t="shared" si="2"/>
        <v>USD</v>
      </c>
      <c r="R5" s="1" cm="1">
        <f t="array" ref="R5">IF(A5="", "",
    IFERROR(
        _xlfn.SWITCH(
            TRUE,
            AND(Q5="USD", $Q$2="USD"), K5,
            AND(Q5="USD", $Q$2="GBP"), K5*$Z$3,
            AND(Q5="USD", $Q$2="HKD"), K5*$Z$4,
            AND(Q5="USD", $Q$2="EUR"), K5*$Z$5,
            AND(Q5="GBP", $Q$2="GBP"), K5,
            AND(Q5="GBP", $Q$2="USD"), K5*$Z$6,
            AND(Q5="GBP", $Q$2="HKD"), K5*$Z$7,
            AND(Q5="HKG", $Q$2="HKG"), K5,
            AND(Q5="HKD", $Q$2="USD"), K5*$Z$9,
            AND(Q5="HKD", $Q$2="GBP"), K5*$Z$10,
            AND(Q5="HKD", $Q$2="EUR"), K5*$Z$11,
            AND(Q5="EUR", $Q$2="EUR"), K5,
            AND(Q5="EUR", $Q$2="USD"), K5*$Z$12,
            AND(Q5="EUR", $Q$2="GBP"), K5*$Z$13,
            AND(Q5="EUR", $Q$2="HKD"), K5*$Z$14,
        ),
        0
    )
)</f>
        <v>0</v>
      </c>
      <c r="S5" s="1" cm="1">
        <f t="array" ref="S5">IF(A5="", "",
    IFERROR(
        _xlfn.SWITCH(
            TRUE,
            AND(Q5="USD", $Q$2="USD"), M5,
            AND(Q5="USD", $Q$2="GBP"), M5*$Z$3,
            AND(Q5="USD", $Q$2="HKD"), M5*$Z$4,
            AND(Q5="USD", $Q$2="EUR"), M5*$Z$5,
            AND(Q5="GBP", $Q$2="GBP"), M5,
            AND(Q5="GBP", $Q$2="USD"), M5*$Z$6,
            AND(Q5="GBP", $Q$2="HKD"), M5*$Z$7,
            AND(Q5="GBP", $Q$2="HKD"), M5*$Z$8,
            AND(Q5="HKG", $Q$2="HKG"), M5,
            AND(Q5="HKD", $Q$2="USD"), M5*$Z$9,
            AND(Q5="HKD", $Q$2="GBP"), M5*$Z$10,
            AND(Q5="HKD", $Q$2="EUR"), M5*$Z$11,
            AND(Q5="EUR", $Q$2="EUR"), M5,
            AND(Q5="EUR", $Q$2="USD"), M5*$Z$12,
            AND(Q5="EUR", $Q$2="GBP"), M5*$Z$13,
            AND(Q5="EUR", $Q$2="HKD"), M5*$Z$14,
        ),
        0
    )
)</f>
        <v>528.16786433999994</v>
      </c>
      <c r="T5" s="1" t="str">
        <f t="shared" si="3"/>
        <v>1</v>
      </c>
      <c r="U5" s="9" t="str">
        <f t="shared" si="4"/>
        <v>01</v>
      </c>
      <c r="V5" s="1" t="str">
        <f t="shared" si="5"/>
        <v>2023</v>
      </c>
      <c r="W5" s="18" t="str">
        <f t="shared" si="6"/>
        <v>星期日</v>
      </c>
      <c r="Y5" s="1" t="e" vm="3">
        <v>#VALUE!</v>
      </c>
      <c r="Z5" s="2" cm="1">
        <f t="array" ref="Z5">_FV(Y5,"Price")</f>
        <v>0.91920000000000002</v>
      </c>
    </row>
    <row r="6" spans="1:26">
      <c r="A6" s="17" t="s">
        <v>22</v>
      </c>
      <c r="B6" s="1" t="s">
        <v>348</v>
      </c>
      <c r="C6" s="9">
        <v>44927</v>
      </c>
      <c r="D6" s="1" t="s">
        <v>364</v>
      </c>
      <c r="E6" s="1" t="s">
        <v>114</v>
      </c>
      <c r="F6" s="1" t="s">
        <v>346</v>
      </c>
      <c r="H6" s="1" t="s">
        <v>367</v>
      </c>
      <c r="I6" s="1">
        <f>I7*J7</f>
        <v>1915.3834685391998</v>
      </c>
      <c r="J6" s="27">
        <v>1</v>
      </c>
      <c r="M6" s="24">
        <f t="shared" si="0"/>
        <v>1915.3834685391998</v>
      </c>
      <c r="N6" s="36">
        <f t="shared" si="1"/>
        <v>1915.3834685391998</v>
      </c>
      <c r="O6" s="34">
        <f>IF(ISBLANK(A6),"",SUMIFS(I$3:I6,D$3:D6,D6,H$3:H6,"Buy")+SUMIFS(I$3:I6,D$3:D6,D6,H$3:H6,"Cash Deposit")+SUMIFS(I$3:I6,D$3:D6,D6,H$3:H6,"Crypto Deposit")+SUMIFS(I$3:I6,D$3:D6,D6,H$3:H6,"Airdrop/Rewards")-SUMIFS(I$3:I6,D$3:D6,D6,H$3:H6,"Sell"))</f>
        <v>6096.4486671207997</v>
      </c>
      <c r="P6" s="2" cm="1">
        <f t="array" ref="P6">IF(ISBLANK(A6),"",IFERROR(IF(H6="Sell",INDEX(_xlfn._xlws.FILTER(P$2:P5, D$2:D5=D6),COUNT(_xlfn._xlws.FILTER(P$2:P5, D$2:D5=D6))),(INDEX(_xlfn._xlws.FILTER(P$2:P5, D$2:D5=D6),COUNT(_xlfn._xlws.FILTER(P$2:P5, D$2:D5=D6)))*INDEX(_xlfn._xlws.FILTER(O$2:O5, D$2:D5=D6),COUNT(_xlfn._xlws.FILTER(O$2:O5, D$2:D5=D6)))-N6) / O6), J6))</f>
        <v>1</v>
      </c>
      <c r="Q6" s="1" t="str">
        <f t="shared" si="2"/>
        <v>USD</v>
      </c>
      <c r="R6" s="1" cm="1">
        <f t="array" ref="R6">IF(A6="", "",
    IFERROR(
        _xlfn.SWITCH(
            TRUE,
            AND(Q6="USD", $Q$2="USD"), K6,
            AND(Q6="USD", $Q$2="GBP"), K6*$Z$3,
            AND(Q6="USD", $Q$2="HKD"), K6*$Z$4,
            AND(Q6="USD", $Q$2="EUR"), K6*$Z$5,
            AND(Q6="GBP", $Q$2="GBP"), K6,
            AND(Q6="GBP", $Q$2="USD"), K6*$Z$6,
            AND(Q6="GBP", $Q$2="HKD"), K6*$Z$7,
            AND(Q6="HKG", $Q$2="HKG"), K6,
            AND(Q6="HKD", $Q$2="USD"), K6*$Z$9,
            AND(Q6="HKD", $Q$2="GBP"), K6*$Z$10,
            AND(Q6="HKD", $Q$2="EUR"), K6*$Z$11,
            AND(Q6="EUR", $Q$2="EUR"), K6,
            AND(Q6="EUR", $Q$2="USD"), K6*$Z$12,
            AND(Q6="EUR", $Q$2="GBP"), K6*$Z$13,
            AND(Q6="EUR", $Q$2="HKD"), K6*$Z$14,
        ),
        0
    )
)</f>
        <v>0</v>
      </c>
      <c r="S6" s="1" cm="1">
        <f t="array" ref="S6">IF(A6="", "",
    IFERROR(
        _xlfn.SWITCH(
            TRUE,
            AND(Q6="USD", $Q$2="USD"), M6,
            AND(Q6="USD", $Q$2="GBP"), M6*$Z$3,
            AND(Q6="USD", $Q$2="HKD"), M6*$Z$4,
            AND(Q6="USD", $Q$2="EUR"), M6*$Z$5,
            AND(Q6="GBP", $Q$2="GBP"), M6,
            AND(Q6="GBP", $Q$2="USD"), M6*$Z$6,
            AND(Q6="GBP", $Q$2="HKD"), M6*$Z$7,
            AND(Q6="GBP", $Q$2="HKD"), M6*$Z$8,
            AND(Q6="HKG", $Q$2="HKG"), M6,
            AND(Q6="HKD", $Q$2="USD"), M6*$Z$9,
            AND(Q6="HKD", $Q$2="GBP"), M6*$Z$10,
            AND(Q6="HKD", $Q$2="EUR"), M6*$Z$11,
            AND(Q6="EUR", $Q$2="EUR"), M6,
            AND(Q6="EUR", $Q$2="USD"), M6*$Z$12,
            AND(Q6="EUR", $Q$2="GBP"), M6*$Z$13,
            AND(Q6="EUR", $Q$2="HKD"), M6*$Z$14,
        ),
        0
    )
)</f>
        <v>1915.3834685391998</v>
      </c>
      <c r="T6" s="1" t="str">
        <f t="shared" si="3"/>
        <v>1</v>
      </c>
      <c r="U6" s="9" t="str">
        <f t="shared" si="4"/>
        <v>01</v>
      </c>
      <c r="V6" s="1" t="str">
        <f t="shared" si="5"/>
        <v>2023</v>
      </c>
      <c r="W6" s="18" t="str">
        <f t="shared" si="6"/>
        <v>星期日</v>
      </c>
      <c r="Y6" s="1" t="e" vm="4">
        <v>#VALUE!</v>
      </c>
      <c r="Z6" s="2" cm="1">
        <f t="array" ref="Z6">_FV(Y6,"Price")</f>
        <v>1.2782</v>
      </c>
    </row>
    <row r="7" spans="1:26">
      <c r="A7" s="17" t="s">
        <v>22</v>
      </c>
      <c r="B7" s="1" t="s">
        <v>348</v>
      </c>
      <c r="C7" s="9">
        <v>44927</v>
      </c>
      <c r="D7" s="1" t="s">
        <v>23</v>
      </c>
      <c r="E7" s="1" t="s">
        <v>24</v>
      </c>
      <c r="F7" s="1" t="s">
        <v>349</v>
      </c>
      <c r="H7" s="1" t="s">
        <v>347</v>
      </c>
      <c r="I7" s="1">
        <v>0.75687112000000001</v>
      </c>
      <c r="J7" s="27">
        <v>2530.66</v>
      </c>
      <c r="M7" s="24">
        <f t="shared" si="0"/>
        <v>1915.3834685391998</v>
      </c>
      <c r="N7" s="36">
        <f t="shared" si="1"/>
        <v>-1915.3834685391998</v>
      </c>
      <c r="O7" s="34">
        <f>IF(ISBLANK(A7),"",SUMIFS(I$3:I7,D$3:D7,D7,H$3:H7,"Buy")+SUMIFS(I$3:I7,D$3:D7,D7,H$3:H7,"Cash Deposit")+SUMIFS(I$3:I7,D$3:D7,D7,H$3:H7,"Crypto Deposit")+SUMIFS(I$3:I7,D$3:D7,D7,H$3:H7,"Airdrop/Rewards")-SUMIFS(I$3:I7,D$3:D7,D7,H$3:H7,"Sell"))</f>
        <v>0.75687112000000001</v>
      </c>
      <c r="P7" s="2" cm="1">
        <f t="array" ref="P7">IF(ISBLANK(A7),"",IFERROR(IF(H7="Sell",INDEX(_xlfn._xlws.FILTER(P$2:P6, D$2:D6=D7),COUNT(_xlfn._xlws.FILTER(P$2:P6, D$2:D6=D7))),(INDEX(_xlfn._xlws.FILTER(P$2:P6, D$2:D6=D7),COUNT(_xlfn._xlws.FILTER(P$2:P6, D$2:D6=D7)))*INDEX(_xlfn._xlws.FILTER(O$2:O6, D$2:D6=D7),COUNT(_xlfn._xlws.FILTER(O$2:O6, D$2:D6=D7)))-N7) / O7), J7))</f>
        <v>2530.66</v>
      </c>
      <c r="Q7" s="1" t="str">
        <f t="shared" si="2"/>
        <v>USD</v>
      </c>
      <c r="R7" s="1" cm="1">
        <f t="array" ref="R7">IF(A7="", "",
    IFERROR(
        _xlfn.SWITCH(
            TRUE,
            AND(Q7="USD", $Q$2="USD"), K7,
            AND(Q7="USD", $Q$2="GBP"), K7*$Z$3,
            AND(Q7="USD", $Q$2="HKD"), K7*$Z$4,
            AND(Q7="USD", $Q$2="EUR"), K7*$Z$5,
            AND(Q7="GBP", $Q$2="GBP"), K7,
            AND(Q7="GBP", $Q$2="USD"), K7*$Z$6,
            AND(Q7="GBP", $Q$2="HKD"), K7*$Z$7,
            AND(Q7="HKG", $Q$2="HKG"), K7,
            AND(Q7="HKD", $Q$2="USD"), K7*$Z$9,
            AND(Q7="HKD", $Q$2="GBP"), K7*$Z$10,
            AND(Q7="HKD", $Q$2="EUR"), K7*$Z$11,
            AND(Q7="EUR", $Q$2="EUR"), K7,
            AND(Q7="EUR", $Q$2="USD"), K7*$Z$12,
            AND(Q7="EUR", $Q$2="GBP"), K7*$Z$13,
            AND(Q7="EUR", $Q$2="HKD"), K7*$Z$14,
        ),
        0
    )
)</f>
        <v>0</v>
      </c>
      <c r="S7" s="1" cm="1">
        <f t="array" ref="S7">IF(A7="", "",
    IFERROR(
        _xlfn.SWITCH(
            TRUE,
            AND(Q7="USD", $Q$2="USD"), M7,
            AND(Q7="USD", $Q$2="GBP"), M7*$Z$3,
            AND(Q7="USD", $Q$2="HKD"), M7*$Z$4,
            AND(Q7="USD", $Q$2="EUR"), M7*$Z$5,
            AND(Q7="GBP", $Q$2="GBP"), M7,
            AND(Q7="GBP", $Q$2="USD"), M7*$Z$6,
            AND(Q7="GBP", $Q$2="HKD"), M7*$Z$7,
            AND(Q7="GBP", $Q$2="HKD"), M7*$Z$8,
            AND(Q7="HKG", $Q$2="HKG"), M7,
            AND(Q7="HKD", $Q$2="USD"), M7*$Z$9,
            AND(Q7="HKD", $Q$2="GBP"), M7*$Z$10,
            AND(Q7="HKD", $Q$2="EUR"), M7*$Z$11,
            AND(Q7="EUR", $Q$2="EUR"), M7,
            AND(Q7="EUR", $Q$2="USD"), M7*$Z$12,
            AND(Q7="EUR", $Q$2="GBP"), M7*$Z$13,
            AND(Q7="EUR", $Q$2="HKD"), M7*$Z$14,
        ),
        0
    )
)</f>
        <v>1915.3834685391998</v>
      </c>
      <c r="T7" s="1" t="str">
        <f t="shared" si="3"/>
        <v>1</v>
      </c>
      <c r="U7" s="9" t="str">
        <f t="shared" si="4"/>
        <v>01</v>
      </c>
      <c r="V7" s="1" t="str">
        <f t="shared" si="5"/>
        <v>2023</v>
      </c>
      <c r="W7" s="18" t="str">
        <f t="shared" si="6"/>
        <v>星期日</v>
      </c>
      <c r="Y7" s="1" t="e" vm="5">
        <v>#VALUE!</v>
      </c>
      <c r="Z7" s="2" cm="1">
        <f t="array" ref="Z7">_FV(Y7,"Price")</f>
        <v>9.9822000000000006</v>
      </c>
    </row>
    <row r="8" spans="1:26">
      <c r="A8" s="17" t="s">
        <v>22</v>
      </c>
      <c r="B8" s="1" t="s">
        <v>348</v>
      </c>
      <c r="C8" s="9">
        <v>44927</v>
      </c>
      <c r="D8" s="1" t="s">
        <v>364</v>
      </c>
      <c r="E8" s="1" t="s">
        <v>114</v>
      </c>
      <c r="F8" s="1" t="s">
        <v>346</v>
      </c>
      <c r="H8" s="1" t="s">
        <v>367</v>
      </c>
      <c r="I8" s="1">
        <f>I9*J9</f>
        <v>634.00203789899399</v>
      </c>
      <c r="J8" s="27">
        <v>1</v>
      </c>
      <c r="M8" s="24">
        <f t="shared" si="0"/>
        <v>634.00203789899399</v>
      </c>
      <c r="N8" s="36">
        <f t="shared" si="1"/>
        <v>634.00203789899399</v>
      </c>
      <c r="O8" s="34">
        <f>IF(ISBLANK(A8),"",SUMIFS(I$3:I8,D$3:D8,D8,H$3:H8,"Buy")+SUMIFS(I$3:I8,D$3:D8,D8,H$3:H8,"Cash Deposit")+SUMIFS(I$3:I8,D$3:D8,D8,H$3:H8,"Crypto Deposit")+SUMIFS(I$3:I8,D$3:D8,D8,H$3:H8,"Airdrop/Rewards")-SUMIFS(I$3:I8,D$3:D8,D8,H$3:H8,"Sell"))</f>
        <v>5462.4466292218058</v>
      </c>
      <c r="P8" s="2" cm="1">
        <f t="array" ref="P8">IF(ISBLANK(A8),"",IFERROR(IF(OR(H8="Sell",F8="Stable Coin"),INDEX(_xlfn._xlws.FILTER(P$2:P7, D$2:D7=D8),COUNT(_xlfn._xlws.FILTER(P$2:P7, D$2:D7=D8))),(INDEX(_xlfn._xlws.FILTER(P$2:P7, D$2:D7=D8),COUNT(_xlfn._xlws.FILTER(P$2:P7, D$2:D7=D8)))*INDEX(_xlfn._xlws.FILTER(O$2:O7, D$2:D7=D8),COUNT(_xlfn._xlws.FILTER(O$2:O7, D$2:D7=D8)))-N8) / O8), J8))</f>
        <v>1</v>
      </c>
      <c r="Q8" s="1" t="str">
        <f t="shared" si="2"/>
        <v>USD</v>
      </c>
      <c r="R8" s="1" cm="1">
        <f t="array" ref="R8">IF(A8="", "",
    IFERROR(
        _xlfn.SWITCH(
            TRUE,
            AND(Q8="USD", $Q$2="USD"), K8,
            AND(Q8="USD", $Q$2="GBP"), K8*$Z$3,
            AND(Q8="USD", $Q$2="HKD"), K8*$Z$4,
            AND(Q8="USD", $Q$2="EUR"), K8*$Z$5,
            AND(Q8="GBP", $Q$2="GBP"), K8,
            AND(Q8="GBP", $Q$2="USD"), K8*$Z$6,
            AND(Q8="GBP", $Q$2="HKD"), K8*$Z$7,
            AND(Q8="HKG", $Q$2="HKG"), K8,
            AND(Q8="HKD", $Q$2="USD"), K8*$Z$9,
            AND(Q8="HKD", $Q$2="GBP"), K8*$Z$10,
            AND(Q8="HKD", $Q$2="EUR"), K8*$Z$11,
            AND(Q8="EUR", $Q$2="EUR"), K8,
            AND(Q8="EUR", $Q$2="USD"), K8*$Z$12,
            AND(Q8="EUR", $Q$2="GBP"), K8*$Z$13,
            AND(Q8="EUR", $Q$2="HKD"), K8*$Z$14,
        ),
        0
    )
)</f>
        <v>0</v>
      </c>
      <c r="S8" s="1" cm="1">
        <f t="array" ref="S8">IF(A8="", "",
    IFERROR(
        _xlfn.SWITCH(
            TRUE,
            AND(Q8="USD", $Q$2="USD"), M8,
            AND(Q8="USD", $Q$2="GBP"), M8*$Z$3,
            AND(Q8="USD", $Q$2="HKD"), M8*$Z$4,
            AND(Q8="USD", $Q$2="EUR"), M8*$Z$5,
            AND(Q8="GBP", $Q$2="GBP"), M8,
            AND(Q8="GBP", $Q$2="USD"), M8*$Z$6,
            AND(Q8="GBP", $Q$2="HKD"), M8*$Z$7,
            AND(Q8="GBP", $Q$2="HKD"), M8*$Z$8,
            AND(Q8="HKG", $Q$2="HKG"), M8,
            AND(Q8="HKD", $Q$2="USD"), M8*$Z$9,
            AND(Q8="HKD", $Q$2="GBP"), M8*$Z$10,
            AND(Q8="HKD", $Q$2="EUR"), M8*$Z$11,
            AND(Q8="EUR", $Q$2="EUR"), M8,
            AND(Q8="EUR", $Q$2="USD"), M8*$Z$12,
            AND(Q8="EUR", $Q$2="GBP"), M8*$Z$13,
            AND(Q8="EUR", $Q$2="HKD"), M8*$Z$14,
        ),
        0
    )
)</f>
        <v>634.00203789899399</v>
      </c>
      <c r="T8" s="1" t="str">
        <f t="shared" si="3"/>
        <v>1</v>
      </c>
      <c r="U8" s="9" t="str">
        <f t="shared" si="4"/>
        <v>01</v>
      </c>
      <c r="V8" s="1" t="str">
        <f t="shared" si="5"/>
        <v>2023</v>
      </c>
      <c r="W8" s="18" t="str">
        <f t="shared" si="6"/>
        <v>星期日</v>
      </c>
      <c r="Y8" s="1" t="e" vm="6">
        <v>#VALUE!</v>
      </c>
      <c r="Z8" s="2" cm="1">
        <f t="array" ref="Z8">_FV(Y8,"Price")</f>
        <v>1.1749000000000001</v>
      </c>
    </row>
    <row r="9" spans="1:26">
      <c r="A9" s="17" t="s">
        <v>22</v>
      </c>
      <c r="B9" s="1" t="s">
        <v>348</v>
      </c>
      <c r="C9" s="9">
        <v>44927</v>
      </c>
      <c r="D9" s="1" t="s">
        <v>25</v>
      </c>
      <c r="E9" s="1" t="s">
        <v>26</v>
      </c>
      <c r="F9" s="1" t="s">
        <v>349</v>
      </c>
      <c r="H9" s="1" t="s">
        <v>347</v>
      </c>
      <c r="I9" s="1">
        <v>889.07872373999999</v>
      </c>
      <c r="J9" s="27">
        <v>0.71309999999999996</v>
      </c>
      <c r="M9" s="24">
        <f t="shared" si="0"/>
        <v>634.00203789899399</v>
      </c>
      <c r="N9" s="36">
        <f t="shared" si="1"/>
        <v>-634.00203789899399</v>
      </c>
      <c r="O9" s="34">
        <f>IF(ISBLANK(A9),"",SUMIFS(I$3:I9,D$3:D9,D9,H$3:H9,"Buy")+SUMIFS(I$3:I9,D$3:D9,D9,H$3:H9,"Cash Deposit")+SUMIFS(I$3:I9,D$3:D9,D9,H$3:H9,"Crypto Deposit")+SUMIFS(I$3:I9,D$3:D9,D9,H$3:H9,"Airdrop/Rewards")-SUMIFS(I$3:I9,D$3:D9,D9,H$3:H9,"Sell"))</f>
        <v>889.07872373999999</v>
      </c>
      <c r="P9" s="2" cm="1">
        <f t="array" ref="P9">IF(ISBLANK(A9),"",IFERROR(IF(OR(H9="Sell",F9="Stable Coin"),INDEX(_xlfn._xlws.FILTER(P$2:P8, D$2:D8=D9),COUNT(_xlfn._xlws.FILTER(P$2:P8, D$2:D8=D9))),(INDEX(_xlfn._xlws.FILTER(P$2:P8, D$2:D8=D9),COUNT(_xlfn._xlws.FILTER(P$2:P8, D$2:D8=D9)))*INDEX(_xlfn._xlws.FILTER(O$2:O8, D$2:D8=D9),COUNT(_xlfn._xlws.FILTER(O$2:O8, D$2:D8=D9)))-N9) / O9), J9))</f>
        <v>0.71309999999999996</v>
      </c>
      <c r="Q9" s="1" t="str">
        <f t="shared" si="2"/>
        <v>USD</v>
      </c>
      <c r="R9" s="1" cm="1">
        <f t="array" ref="R9">IF(A9="", "",
    IFERROR(
        _xlfn.SWITCH(
            TRUE,
            AND(Q9="USD", $Q$2="USD"), K9,
            AND(Q9="USD", $Q$2="GBP"), K9*$Z$3,
            AND(Q9="USD", $Q$2="HKD"), K9*$Z$4,
            AND(Q9="USD", $Q$2="EUR"), K9*$Z$5,
            AND(Q9="GBP", $Q$2="GBP"), K9,
            AND(Q9="GBP", $Q$2="USD"), K9*$Z$6,
            AND(Q9="GBP", $Q$2="HKD"), K9*$Z$7,
            AND(Q9="HKG", $Q$2="HKG"), K9,
            AND(Q9="HKD", $Q$2="USD"), K9*$Z$9,
            AND(Q9="HKD", $Q$2="GBP"), K9*$Z$10,
            AND(Q9="HKD", $Q$2="EUR"), K9*$Z$11,
            AND(Q9="EUR", $Q$2="EUR"), K9,
            AND(Q9="EUR", $Q$2="USD"), K9*$Z$12,
            AND(Q9="EUR", $Q$2="GBP"), K9*$Z$13,
            AND(Q9="EUR", $Q$2="HKD"), K9*$Z$14,
        ),
        0
    )
)</f>
        <v>0</v>
      </c>
      <c r="S9" s="1" cm="1">
        <f t="array" ref="S9">IF(A9="", "",
    IFERROR(
        _xlfn.SWITCH(
            TRUE,
            AND(Q9="USD", $Q$2="USD"), M9,
            AND(Q9="USD", $Q$2="GBP"), M9*$Z$3,
            AND(Q9="USD", $Q$2="HKD"), M9*$Z$4,
            AND(Q9="USD", $Q$2="EUR"), M9*$Z$5,
            AND(Q9="GBP", $Q$2="GBP"), M9,
            AND(Q9="GBP", $Q$2="USD"), M9*$Z$6,
            AND(Q9="GBP", $Q$2="HKD"), M9*$Z$7,
            AND(Q9="GBP", $Q$2="HKD"), M9*$Z$8,
            AND(Q9="HKG", $Q$2="HKG"), M9,
            AND(Q9="HKD", $Q$2="USD"), M9*$Z$9,
            AND(Q9="HKD", $Q$2="GBP"), M9*$Z$10,
            AND(Q9="HKD", $Q$2="EUR"), M9*$Z$11,
            AND(Q9="EUR", $Q$2="EUR"), M9,
            AND(Q9="EUR", $Q$2="USD"), M9*$Z$12,
            AND(Q9="EUR", $Q$2="GBP"), M9*$Z$13,
            AND(Q9="EUR", $Q$2="HKD"), M9*$Z$14,
        ),
        0
    )
)</f>
        <v>634.00203789899399</v>
      </c>
      <c r="T9" s="1" t="str">
        <f t="shared" si="3"/>
        <v>1</v>
      </c>
      <c r="U9" s="9" t="str">
        <f t="shared" si="4"/>
        <v>01</v>
      </c>
      <c r="V9" s="1" t="str">
        <f t="shared" si="5"/>
        <v>2023</v>
      </c>
      <c r="W9" s="18" t="str">
        <f t="shared" si="6"/>
        <v>星期日</v>
      </c>
      <c r="Y9" s="1" t="e" vm="7">
        <v>#VALUE!</v>
      </c>
      <c r="Z9" s="2" cm="1">
        <f t="array" ref="Z9">_FV(Y9,"Price")</f>
        <v>0.128</v>
      </c>
    </row>
    <row r="10" spans="1:26">
      <c r="A10" s="17" t="s">
        <v>22</v>
      </c>
      <c r="B10" s="1" t="s">
        <v>348</v>
      </c>
      <c r="C10" s="9">
        <v>44927</v>
      </c>
      <c r="D10" s="1" t="s">
        <v>364</v>
      </c>
      <c r="E10" s="1" t="s">
        <v>114</v>
      </c>
      <c r="F10" s="1" t="s">
        <v>346</v>
      </c>
      <c r="H10" s="1" t="s">
        <v>367</v>
      </c>
      <c r="I10" s="1">
        <f>I11*J11</f>
        <v>591.14231999999993</v>
      </c>
      <c r="J10" s="27">
        <v>1</v>
      </c>
      <c r="M10" s="24">
        <f t="shared" si="0"/>
        <v>591.14231999999993</v>
      </c>
      <c r="N10" s="36">
        <f t="shared" si="1"/>
        <v>591.14231999999993</v>
      </c>
      <c r="O10" s="34">
        <f>IF(ISBLANK(A10),"",SUMIFS(I$3:I10,D$3:D10,D10,H$3:H10,"Buy")+SUMIFS(I$3:I10,D$3:D10,D10,H$3:H10,"Cash Deposit")+SUMIFS(I$3:I10,D$3:D10,D10,H$3:H10,"Crypto Deposit")+SUMIFS(I$3:I10,D$3:D10,D10,H$3:H10,"Airdrop/Rewards")-SUMIFS(I$3:I10,D$3:D10,D10,H$3:H10,"Sell"))</f>
        <v>4871.3043092218068</v>
      </c>
      <c r="P10" s="2" cm="1">
        <f t="array" ref="P10">IF(ISBLANK(A10),"",IFERROR(IF(OR(H10="Sell",F10="Stable Coin"),INDEX(_xlfn._xlws.FILTER(P$2:P9, D$2:D9=D10),COUNT(_xlfn._xlws.FILTER(P$2:P9, D$2:D9=D10))),(INDEX(_xlfn._xlws.FILTER(P$2:P9, D$2:D9=D10),COUNT(_xlfn._xlws.FILTER(P$2:P9, D$2:D9=D10)))*INDEX(_xlfn._xlws.FILTER(O$2:O9, D$2:D9=D10),COUNT(_xlfn._xlws.FILTER(O$2:O9, D$2:D9=D10)))-N10) / O10), J10))</f>
        <v>1</v>
      </c>
      <c r="Q10" s="1" t="str">
        <f t="shared" si="2"/>
        <v>USD</v>
      </c>
      <c r="R10" s="1" cm="1">
        <f t="array" ref="R10">IF(A10="", "",
    IFERROR(
        _xlfn.SWITCH(
            TRUE,
            AND(Q10="USD", $Q$2="USD"), K10,
            AND(Q10="USD", $Q$2="GBP"), K10*$Z$3,
            AND(Q10="USD", $Q$2="HKD"), K10*$Z$4,
            AND(Q10="USD", $Q$2="EUR"), K10*$Z$5,
            AND(Q10="GBP", $Q$2="GBP"), K10,
            AND(Q10="GBP", $Q$2="USD"), K10*$Z$6,
            AND(Q10="GBP", $Q$2="HKD"), K10*$Z$7,
            AND(Q10="HKG", $Q$2="HKG"), K10,
            AND(Q10="HKD", $Q$2="USD"), K10*$Z$9,
            AND(Q10="HKD", $Q$2="GBP"), K10*$Z$10,
            AND(Q10="HKD", $Q$2="EUR"), K10*$Z$11,
            AND(Q10="EUR", $Q$2="EUR"), K10,
            AND(Q10="EUR", $Q$2="USD"), K10*$Z$12,
            AND(Q10="EUR", $Q$2="GBP"), K10*$Z$13,
            AND(Q10="EUR", $Q$2="HKD"), K10*$Z$14,
        ),
        0
    )
)</f>
        <v>0</v>
      </c>
      <c r="S10" s="1" cm="1">
        <f t="array" ref="S10">IF(A10="", "",
    IFERROR(
        _xlfn.SWITCH(
            TRUE,
            AND(Q10="USD", $Q$2="USD"), M10,
            AND(Q10="USD", $Q$2="GBP"), M10*$Z$3,
            AND(Q10="USD", $Q$2="HKD"), M10*$Z$4,
            AND(Q10="USD", $Q$2="EUR"), M10*$Z$5,
            AND(Q10="GBP", $Q$2="GBP"), M10,
            AND(Q10="GBP", $Q$2="USD"), M10*$Z$6,
            AND(Q10="GBP", $Q$2="HKD"), M10*$Z$7,
            AND(Q10="GBP", $Q$2="HKD"), M10*$Z$8,
            AND(Q10="HKG", $Q$2="HKG"), M10,
            AND(Q10="HKD", $Q$2="USD"), M10*$Z$9,
            AND(Q10="HKD", $Q$2="GBP"), M10*$Z$10,
            AND(Q10="HKD", $Q$2="EUR"), M10*$Z$11,
            AND(Q10="EUR", $Q$2="EUR"), M10,
            AND(Q10="EUR", $Q$2="USD"), M10*$Z$12,
            AND(Q10="EUR", $Q$2="GBP"), M10*$Z$13,
            AND(Q10="EUR", $Q$2="HKD"), M10*$Z$14,
        ),
        0
    )
)</f>
        <v>591.14231999999993</v>
      </c>
      <c r="T10" s="1" t="str">
        <f t="shared" si="3"/>
        <v>1</v>
      </c>
      <c r="U10" s="9" t="str">
        <f t="shared" si="4"/>
        <v>01</v>
      </c>
      <c r="V10" s="1" t="str">
        <f t="shared" si="5"/>
        <v>2023</v>
      </c>
      <c r="W10" s="18" t="str">
        <f t="shared" si="6"/>
        <v>星期日</v>
      </c>
      <c r="Y10" s="1" t="e" vm="8">
        <v>#VALUE!</v>
      </c>
      <c r="Z10" s="2" cm="1">
        <f t="array" ref="Z10">_FV(Y10,"Price")</f>
        <v>0.10009999999999999</v>
      </c>
    </row>
    <row r="11" spans="1:26">
      <c r="A11" s="17" t="s">
        <v>22</v>
      </c>
      <c r="B11" s="1" t="s">
        <v>348</v>
      </c>
      <c r="C11" s="9">
        <v>44927</v>
      </c>
      <c r="D11" s="1" t="s">
        <v>27</v>
      </c>
      <c r="E11" s="1" t="s">
        <v>28</v>
      </c>
      <c r="F11" s="1" t="s">
        <v>349</v>
      </c>
      <c r="H11" s="1" t="s">
        <v>347</v>
      </c>
      <c r="I11" s="1">
        <v>16.8705</v>
      </c>
      <c r="J11" s="27">
        <v>35.04</v>
      </c>
      <c r="M11" s="24">
        <f t="shared" si="0"/>
        <v>591.14231999999993</v>
      </c>
      <c r="N11" s="36">
        <f t="shared" si="1"/>
        <v>-591.14231999999993</v>
      </c>
      <c r="O11" s="34">
        <f>IF(ISBLANK(A11),"",SUMIFS(I$3:I11,D$3:D11,D11,H$3:H11,"Buy")+SUMIFS(I$3:I11,D$3:D11,D11,H$3:H11,"Cash Deposit")+SUMIFS(I$3:I11,D$3:D11,D11,H$3:H11,"Crypto Deposit")+SUMIFS(I$3:I11,D$3:D11,D11,H$3:H11,"Airdrop/Rewards")-SUMIFS(I$3:I11,D$3:D11,D11,H$3:H11,"Sell"))</f>
        <v>16.8705</v>
      </c>
      <c r="P11" s="2" cm="1">
        <f t="array" ref="P11">IF(ISBLANK(A11),"",IFERROR(IF(OR(H11="Sell",F11="Stable Coin"),INDEX(_xlfn._xlws.FILTER(P$2:P10, D$2:D10=D11),COUNT(_xlfn._xlws.FILTER(P$2:P10, D$2:D10=D11))),(INDEX(_xlfn._xlws.FILTER(P$2:P10, D$2:D10=D11),COUNT(_xlfn._xlws.FILTER(P$2:P10, D$2:D10=D11)))*INDEX(_xlfn._xlws.FILTER(O$2:O10, D$2:D10=D11),COUNT(_xlfn._xlws.FILTER(O$2:O10, D$2:D10=D11)))-N11) / O11), J11))</f>
        <v>35.04</v>
      </c>
      <c r="Q11" s="1" t="str">
        <f t="shared" si="2"/>
        <v>USD</v>
      </c>
      <c r="R11" s="1" cm="1">
        <f t="array" ref="R11">IF(A11="", "",
    IFERROR(
        _xlfn.SWITCH(
            TRUE,
            AND(Q11="USD", $Q$2="USD"), K11,
            AND(Q11="USD", $Q$2="GBP"), K11*$Z$3,
            AND(Q11="USD", $Q$2="HKD"), K11*$Z$4,
            AND(Q11="USD", $Q$2="EUR"), K11*$Z$5,
            AND(Q11="GBP", $Q$2="GBP"), K11,
            AND(Q11="GBP", $Q$2="USD"), K11*$Z$6,
            AND(Q11="GBP", $Q$2="HKD"), K11*$Z$7,
            AND(Q11="HKG", $Q$2="HKG"), K11,
            AND(Q11="HKD", $Q$2="USD"), K11*$Z$9,
            AND(Q11="HKD", $Q$2="GBP"), K11*$Z$10,
            AND(Q11="HKD", $Q$2="EUR"), K11*$Z$11,
            AND(Q11="EUR", $Q$2="EUR"), K11,
            AND(Q11="EUR", $Q$2="USD"), K11*$Z$12,
            AND(Q11="EUR", $Q$2="GBP"), K11*$Z$13,
            AND(Q11="EUR", $Q$2="HKD"), K11*$Z$14,
        ),
        0
    )
)</f>
        <v>0</v>
      </c>
      <c r="S11" s="1" cm="1">
        <f t="array" ref="S11">IF(A11="", "",
    IFERROR(
        _xlfn.SWITCH(
            TRUE,
            AND(Q11="USD", $Q$2="USD"), M11,
            AND(Q11="USD", $Q$2="GBP"), M11*$Z$3,
            AND(Q11="USD", $Q$2="HKD"), M11*$Z$4,
            AND(Q11="USD", $Q$2="EUR"), M11*$Z$5,
            AND(Q11="GBP", $Q$2="GBP"), M11,
            AND(Q11="GBP", $Q$2="USD"), M11*$Z$6,
            AND(Q11="GBP", $Q$2="HKD"), M11*$Z$7,
            AND(Q11="GBP", $Q$2="HKD"), M11*$Z$8,
            AND(Q11="HKG", $Q$2="HKG"), M11,
            AND(Q11="HKD", $Q$2="USD"), M11*$Z$9,
            AND(Q11="HKD", $Q$2="GBP"), M11*$Z$10,
            AND(Q11="HKD", $Q$2="EUR"), M11*$Z$11,
            AND(Q11="EUR", $Q$2="EUR"), M11,
            AND(Q11="EUR", $Q$2="USD"), M11*$Z$12,
            AND(Q11="EUR", $Q$2="GBP"), M11*$Z$13,
            AND(Q11="EUR", $Q$2="HKD"), M11*$Z$14,
        ),
        0
    )
)</f>
        <v>591.14231999999993</v>
      </c>
      <c r="T11" s="1" t="str">
        <f t="shared" si="3"/>
        <v>1</v>
      </c>
      <c r="U11" s="9" t="str">
        <f t="shared" si="4"/>
        <v>01</v>
      </c>
      <c r="V11" s="1" t="str">
        <f t="shared" si="5"/>
        <v>2023</v>
      </c>
      <c r="W11" s="18" t="str">
        <f t="shared" si="6"/>
        <v>星期日</v>
      </c>
      <c r="Y11" s="1" t="e" vm="9">
        <v>#VALUE!</v>
      </c>
      <c r="Z11" s="2" cm="1">
        <f t="array" ref="Z11">_FV(Y11,"Price")</f>
        <v>0.1177</v>
      </c>
    </row>
    <row r="12" spans="1:26">
      <c r="A12" s="17" t="s">
        <v>22</v>
      </c>
      <c r="B12" s="1" t="s">
        <v>348</v>
      </c>
      <c r="C12" s="9">
        <v>44927</v>
      </c>
      <c r="D12" s="1" t="s">
        <v>364</v>
      </c>
      <c r="E12" s="1" t="s">
        <v>114</v>
      </c>
      <c r="F12" s="1" t="s">
        <v>346</v>
      </c>
      <c r="H12" s="1" t="s">
        <v>367</v>
      </c>
      <c r="I12" s="1">
        <f>I13*J13</f>
        <v>2080.1126188894</v>
      </c>
      <c r="J12" s="27">
        <v>1</v>
      </c>
      <c r="M12" s="24">
        <f t="shared" si="0"/>
        <v>2080.1126188894</v>
      </c>
      <c r="N12" s="36">
        <f t="shared" si="1"/>
        <v>2080.1126188894</v>
      </c>
      <c r="O12" s="34">
        <f>IF(ISBLANK(A12),"",SUMIFS(I$3:I12,D$3:D12,D12,H$3:H12,"Buy")+SUMIFS(I$3:I12,D$3:D12,D12,H$3:H12,"Cash Deposit")+SUMIFS(I$3:I12,D$3:D12,D12,H$3:H12,"Crypto Deposit")+SUMIFS(I$3:I12,D$3:D12,D12,H$3:H12,"Airdrop/Rewards")-SUMIFS(I$3:I12,D$3:D12,D12,H$3:H12,"Sell"))</f>
        <v>2791.1916903324063</v>
      </c>
      <c r="P12" s="2" cm="1">
        <f t="array" ref="P12">IF(ISBLANK(A12),"",IFERROR(IF(OR(H12="Sell",F12="Stable Coin"),INDEX(_xlfn._xlws.FILTER(P$2:P11, D$2:D11=D12),COUNT(_xlfn._xlws.FILTER(P$2:P11, D$2:D11=D12))),(INDEX(_xlfn._xlws.FILTER(P$2:P11, D$2:D11=D12),COUNT(_xlfn._xlws.FILTER(P$2:P11, D$2:D11=D12)))*INDEX(_xlfn._xlws.FILTER(O$2:O11, D$2:D11=D12),COUNT(_xlfn._xlws.FILTER(O$2:O11, D$2:D11=D12)))-N12) / O12), J12))</f>
        <v>1</v>
      </c>
      <c r="Q12" s="1" t="str">
        <f t="shared" si="2"/>
        <v>USD</v>
      </c>
      <c r="R12" s="1" cm="1">
        <f t="array" ref="R12">IF(A12="", "",
    IFERROR(
        _xlfn.SWITCH(
            TRUE,
            AND(Q12="USD", $Q$2="USD"), K12,
            AND(Q12="USD", $Q$2="GBP"), K12*$Z$3,
            AND(Q12="USD", $Q$2="HKD"), K12*$Z$4,
            AND(Q12="USD", $Q$2="EUR"), K12*$Z$5,
            AND(Q12="GBP", $Q$2="GBP"), K12,
            AND(Q12="GBP", $Q$2="USD"), K12*$Z$6,
            AND(Q12="GBP", $Q$2="HKD"), K12*$Z$7,
            AND(Q12="HKG", $Q$2="HKG"), K12,
            AND(Q12="HKD", $Q$2="USD"), K12*$Z$9,
            AND(Q12="HKD", $Q$2="GBP"), K12*$Z$10,
            AND(Q12="HKD", $Q$2="EUR"), K12*$Z$11,
            AND(Q12="EUR", $Q$2="EUR"), K12,
            AND(Q12="EUR", $Q$2="USD"), K12*$Z$12,
            AND(Q12="EUR", $Q$2="GBP"), K12*$Z$13,
            AND(Q12="EUR", $Q$2="HKD"), K12*$Z$14,
        ),
        0
    )
)</f>
        <v>0</v>
      </c>
      <c r="S12" s="1" cm="1">
        <f t="array" ref="S12">IF(A12="", "",
    IFERROR(
        _xlfn.SWITCH(
            TRUE,
            AND(Q12="USD", $Q$2="USD"), M12,
            AND(Q12="USD", $Q$2="GBP"), M12*$Z$3,
            AND(Q12="USD", $Q$2="HKD"), M12*$Z$4,
            AND(Q12="USD", $Q$2="EUR"), M12*$Z$5,
            AND(Q12="GBP", $Q$2="GBP"), M12,
            AND(Q12="GBP", $Q$2="USD"), M12*$Z$6,
            AND(Q12="GBP", $Q$2="HKD"), M12*$Z$7,
            AND(Q12="GBP", $Q$2="HKD"), M12*$Z$8,
            AND(Q12="HKG", $Q$2="HKG"), M12,
            AND(Q12="HKD", $Q$2="USD"), M12*$Z$9,
            AND(Q12="HKD", $Q$2="GBP"), M12*$Z$10,
            AND(Q12="HKD", $Q$2="EUR"), M12*$Z$11,
            AND(Q12="EUR", $Q$2="EUR"), M12,
            AND(Q12="EUR", $Q$2="USD"), M12*$Z$12,
            AND(Q12="EUR", $Q$2="GBP"), M12*$Z$13,
            AND(Q12="EUR", $Q$2="HKD"), M12*$Z$14,
        ),
        0
    )
)</f>
        <v>2080.1126188894</v>
      </c>
      <c r="T12" s="1" t="str">
        <f t="shared" si="3"/>
        <v>1</v>
      </c>
      <c r="U12" s="9" t="str">
        <f t="shared" si="4"/>
        <v>01</v>
      </c>
      <c r="V12" s="1" t="str">
        <f t="shared" si="5"/>
        <v>2023</v>
      </c>
      <c r="W12" s="18" t="str">
        <f t="shared" si="6"/>
        <v>星期日</v>
      </c>
      <c r="Y12" s="1" t="e" vm="10">
        <v>#VALUE!</v>
      </c>
      <c r="Z12" s="2" cm="1">
        <f t="array" ref="Z12">_FV(Y12,"Price")</f>
        <v>1.0876999999999999</v>
      </c>
    </row>
    <row r="13" spans="1:26">
      <c r="A13" s="17" t="s">
        <v>22</v>
      </c>
      <c r="B13" s="1" t="s">
        <v>348</v>
      </c>
      <c r="C13" s="9">
        <v>44927</v>
      </c>
      <c r="D13" s="1" t="s">
        <v>47</v>
      </c>
      <c r="E13" s="1" t="s">
        <v>4</v>
      </c>
      <c r="F13" s="1" t="s">
        <v>349</v>
      </c>
      <c r="H13" s="1" t="s">
        <v>347</v>
      </c>
      <c r="I13" s="1">
        <v>4.8883820000000001E-2</v>
      </c>
      <c r="J13" s="27">
        <v>42552.17</v>
      </c>
      <c r="M13" s="24">
        <f t="shared" si="0"/>
        <v>2080.1126188894</v>
      </c>
      <c r="N13" s="36">
        <f t="shared" si="1"/>
        <v>-2080.1126188894</v>
      </c>
      <c r="O13" s="34">
        <f>IF(ISBLANK(A13),"",SUMIFS(I$3:I13,D$3:D13,D13,H$3:H13,"Buy")+SUMIFS(I$3:I13,D$3:D13,D13,H$3:H13,"Cash Deposit")+SUMIFS(I$3:I13,D$3:D13,D13,H$3:H13,"Crypto Deposit")+SUMIFS(I$3:I13,D$3:D13,D13,H$3:H13,"Airdrop/Rewards")-SUMIFS(I$3:I13,D$3:D13,D13,H$3:H13,"Sell"))</f>
        <v>4.8883820000000001E-2</v>
      </c>
      <c r="P13" s="2" cm="1">
        <f t="array" ref="P13">IF(ISBLANK(A13),"",IFERROR(IF(OR(H13="Sell",F13="Stable Coin"),INDEX(_xlfn._xlws.FILTER(P$2:P12, D$2:D12=D13),COUNT(_xlfn._xlws.FILTER(P$2:P12, D$2:D12=D13))),(INDEX(_xlfn._xlws.FILTER(P$2:P12, D$2:D12=D13),COUNT(_xlfn._xlws.FILTER(P$2:P12, D$2:D12=D13)))*INDEX(_xlfn._xlws.FILTER(O$2:O12, D$2:D12=D13),COUNT(_xlfn._xlws.FILTER(O$2:O12, D$2:D12=D13)))-N13) / O13), J13))</f>
        <v>42552.17</v>
      </c>
      <c r="Q13" s="1" t="str">
        <f t="shared" si="2"/>
        <v>USD</v>
      </c>
      <c r="R13" s="1" cm="1">
        <f t="array" ref="R13">IF(A13="", "",
    IFERROR(
        _xlfn.SWITCH(
            TRUE,
            AND(Q13="USD", $Q$2="USD"), K13,
            AND(Q13="USD", $Q$2="GBP"), K13*$Z$3,
            AND(Q13="USD", $Q$2="HKD"), K13*$Z$4,
            AND(Q13="USD", $Q$2="EUR"), K13*$Z$5,
            AND(Q13="GBP", $Q$2="GBP"), K13,
            AND(Q13="GBP", $Q$2="USD"), K13*$Z$6,
            AND(Q13="GBP", $Q$2="HKD"), K13*$Z$7,
            AND(Q13="HKG", $Q$2="HKG"), K13,
            AND(Q13="HKD", $Q$2="USD"), K13*$Z$9,
            AND(Q13="HKD", $Q$2="GBP"), K13*$Z$10,
            AND(Q13="HKD", $Q$2="EUR"), K13*$Z$11,
            AND(Q13="EUR", $Q$2="EUR"), K13,
            AND(Q13="EUR", $Q$2="USD"), K13*$Z$12,
            AND(Q13="EUR", $Q$2="GBP"), K13*$Z$13,
            AND(Q13="EUR", $Q$2="HKD"), K13*$Z$14,
        ),
        0
    )
)</f>
        <v>0</v>
      </c>
      <c r="S13" s="1" cm="1">
        <f t="array" ref="S13">IF(A13="", "",
    IFERROR(
        _xlfn.SWITCH(
            TRUE,
            AND(Q13="USD", $Q$2="USD"), M13,
            AND(Q13="USD", $Q$2="GBP"), M13*$Z$3,
            AND(Q13="USD", $Q$2="HKD"), M13*$Z$4,
            AND(Q13="USD", $Q$2="EUR"), M13*$Z$5,
            AND(Q13="GBP", $Q$2="GBP"), M13,
            AND(Q13="GBP", $Q$2="USD"), M13*$Z$6,
            AND(Q13="GBP", $Q$2="HKD"), M13*$Z$7,
            AND(Q13="GBP", $Q$2="HKD"), M13*$Z$8,
            AND(Q13="HKG", $Q$2="HKG"), M13,
            AND(Q13="HKD", $Q$2="USD"), M13*$Z$9,
            AND(Q13="HKD", $Q$2="GBP"), M13*$Z$10,
            AND(Q13="HKD", $Q$2="EUR"), M13*$Z$11,
            AND(Q13="EUR", $Q$2="EUR"), M13,
            AND(Q13="EUR", $Q$2="USD"), M13*$Z$12,
            AND(Q13="EUR", $Q$2="GBP"), M13*$Z$13,
            AND(Q13="EUR", $Q$2="HKD"), M13*$Z$14,
        ),
        0
    )
)</f>
        <v>2080.1126188894</v>
      </c>
      <c r="T13" s="1" t="str">
        <f t="shared" si="3"/>
        <v>1</v>
      </c>
      <c r="U13" s="9" t="str">
        <f t="shared" si="4"/>
        <v>01</v>
      </c>
      <c r="V13" s="1" t="str">
        <f t="shared" si="5"/>
        <v>2023</v>
      </c>
      <c r="W13" s="18" t="str">
        <f t="shared" si="6"/>
        <v>星期日</v>
      </c>
      <c r="Y13" s="1" t="e" vm="11">
        <v>#VALUE!</v>
      </c>
      <c r="Z13" s="2" cm="1">
        <f t="array" ref="Z13">_FV(Y13,"Price")</f>
        <v>0.85050000000000003</v>
      </c>
    </row>
    <row r="14" spans="1:26">
      <c r="A14" s="17" t="s">
        <v>22</v>
      </c>
      <c r="B14" s="1" t="s">
        <v>348</v>
      </c>
      <c r="C14" s="9">
        <v>44927</v>
      </c>
      <c r="D14" s="1" t="s">
        <v>364</v>
      </c>
      <c r="E14" s="1" t="s">
        <v>114</v>
      </c>
      <c r="F14" s="1" t="s">
        <v>346</v>
      </c>
      <c r="H14" s="1" t="s">
        <v>367</v>
      </c>
      <c r="I14" s="1">
        <f>I15*J15</f>
        <v>192.39920000000001</v>
      </c>
      <c r="J14" s="27">
        <v>1</v>
      </c>
      <c r="M14" s="24">
        <f t="shared" si="0"/>
        <v>192.39920000000001</v>
      </c>
      <c r="N14" s="36">
        <f t="shared" si="1"/>
        <v>192.39920000000001</v>
      </c>
      <c r="O14" s="34">
        <f>IF(ISBLANK(A14),"",SUMIFS(I$3:I14,D$3:D14,D14,H$3:H14,"Buy")+SUMIFS(I$3:I14,D$3:D14,D14,H$3:H14,"Cash Deposit")+SUMIFS(I$3:I14,D$3:D14,D14,H$3:H14,"Crypto Deposit")+SUMIFS(I$3:I14,D$3:D14,D14,H$3:H14,"Airdrop/Rewards")-SUMIFS(I$3:I14,D$3:D14,D14,H$3:H14,"Sell"))</f>
        <v>2598.7924903324065</v>
      </c>
      <c r="P14" s="2" cm="1">
        <f t="array" ref="P14">IF(ISBLANK(A14),"",IFERROR(IF(OR(H14="Sell",F14="Stable Coin"),INDEX(_xlfn._xlws.FILTER(P$2:P13, D$2:D13=D14),COUNT(_xlfn._xlws.FILTER(P$2:P13, D$2:D13=D14))),(INDEX(_xlfn._xlws.FILTER(P$2:P13, D$2:D13=D14),COUNT(_xlfn._xlws.FILTER(P$2:P13, D$2:D13=D14)))*INDEX(_xlfn._xlws.FILTER(O$2:O13, D$2:D13=D14),COUNT(_xlfn._xlws.FILTER(O$2:O13, D$2:D13=D14)))-N14) / O14), J14))</f>
        <v>1</v>
      </c>
      <c r="Q14" s="1" t="str">
        <f t="shared" si="2"/>
        <v>USD</v>
      </c>
      <c r="R14" s="1" cm="1">
        <f t="array" ref="R14">IF(A14="", "",
    IFERROR(
        _xlfn.SWITCH(
            TRUE,
            AND(Q14="USD", $Q$2="USD"), K14,
            AND(Q14="USD", $Q$2="GBP"), K14*$Z$3,
            AND(Q14="USD", $Q$2="HKD"), K14*$Z$4,
            AND(Q14="USD", $Q$2="EUR"), K14*$Z$5,
            AND(Q14="GBP", $Q$2="GBP"), K14,
            AND(Q14="GBP", $Q$2="USD"), K14*$Z$6,
            AND(Q14="GBP", $Q$2="HKD"), K14*$Z$7,
            AND(Q14="HKG", $Q$2="HKG"), K14,
            AND(Q14="HKD", $Q$2="USD"), K14*$Z$9,
            AND(Q14="HKD", $Q$2="GBP"), K14*$Z$10,
            AND(Q14="HKD", $Q$2="EUR"), K14*$Z$11,
            AND(Q14="EUR", $Q$2="EUR"), K14,
            AND(Q14="EUR", $Q$2="USD"), K14*$Z$12,
            AND(Q14="EUR", $Q$2="GBP"), K14*$Z$13,
            AND(Q14="EUR", $Q$2="HKD"), K14*$Z$14,
        ),
        0
    )
)</f>
        <v>0</v>
      </c>
      <c r="S14" s="1" cm="1">
        <f t="array" ref="S14">IF(A14="", "",
    IFERROR(
        _xlfn.SWITCH(
            TRUE,
            AND(Q14="USD", $Q$2="USD"), M14,
            AND(Q14="USD", $Q$2="GBP"), M14*$Z$3,
            AND(Q14="USD", $Q$2="HKD"), M14*$Z$4,
            AND(Q14="USD", $Q$2="EUR"), M14*$Z$5,
            AND(Q14="GBP", $Q$2="GBP"), M14,
            AND(Q14="GBP", $Q$2="USD"), M14*$Z$6,
            AND(Q14="GBP", $Q$2="HKD"), M14*$Z$7,
            AND(Q14="GBP", $Q$2="HKD"), M14*$Z$8,
            AND(Q14="HKG", $Q$2="HKG"), M14,
            AND(Q14="HKD", $Q$2="USD"), M14*$Z$9,
            AND(Q14="HKD", $Q$2="GBP"), M14*$Z$10,
            AND(Q14="HKD", $Q$2="EUR"), M14*$Z$11,
            AND(Q14="EUR", $Q$2="EUR"), M14,
            AND(Q14="EUR", $Q$2="USD"), M14*$Z$12,
            AND(Q14="EUR", $Q$2="GBP"), M14*$Z$13,
            AND(Q14="EUR", $Q$2="HKD"), M14*$Z$14,
        ),
        0
    )
)</f>
        <v>192.39920000000001</v>
      </c>
      <c r="T14" s="1" t="str">
        <f t="shared" si="3"/>
        <v>1</v>
      </c>
      <c r="U14" s="9" t="str">
        <f t="shared" si="4"/>
        <v>01</v>
      </c>
      <c r="V14" s="1" t="str">
        <f t="shared" si="5"/>
        <v>2023</v>
      </c>
      <c r="W14" s="18" t="str">
        <f t="shared" si="6"/>
        <v>星期日</v>
      </c>
      <c r="Y14" s="1" t="e" vm="12">
        <v>#VALUE!</v>
      </c>
      <c r="Z14" s="2" cm="1">
        <f t="array" ref="Z14">_FV(Y14,"Price")</f>
        <v>8.4945000000000004</v>
      </c>
    </row>
    <row r="15" spans="1:26">
      <c r="A15" s="17" t="s">
        <v>22</v>
      </c>
      <c r="B15" s="1" t="s">
        <v>348</v>
      </c>
      <c r="C15" s="9">
        <v>44927</v>
      </c>
      <c r="D15" s="1" t="s">
        <v>53</v>
      </c>
      <c r="E15" s="1" t="s">
        <v>29</v>
      </c>
      <c r="F15" s="1" t="s">
        <v>349</v>
      </c>
      <c r="H15" s="1" t="s">
        <v>347</v>
      </c>
      <c r="I15" s="1">
        <v>55.93</v>
      </c>
      <c r="J15" s="27">
        <v>3.44</v>
      </c>
      <c r="M15" s="24">
        <f t="shared" si="0"/>
        <v>192.39920000000001</v>
      </c>
      <c r="N15" s="36">
        <f t="shared" si="1"/>
        <v>-192.39920000000001</v>
      </c>
      <c r="O15" s="34">
        <f>IF(ISBLANK(A15),"",SUMIFS(I$3:I15,D$3:D15,D15,H$3:H15,"Buy")+SUMIFS(I$3:I15,D$3:D15,D15,H$3:H15,"Cash Deposit")+SUMIFS(I$3:I15,D$3:D15,D15,H$3:H15,"Crypto Deposit")+SUMIFS(I$3:I15,D$3:D15,D15,H$3:H15,"Airdrop/Rewards")-SUMIFS(I$3:I15,D$3:D15,D15,H$3:H15,"Sell"))</f>
        <v>55.93</v>
      </c>
      <c r="P15" s="2" cm="1">
        <f t="array" ref="P15">IF(ISBLANK(A15),"",IFERROR(IF(OR(H15="Sell",F15="Stable Coin"),INDEX(_xlfn._xlws.FILTER(P$2:P14, D$2:D14=D15),COUNT(_xlfn._xlws.FILTER(P$2:P14, D$2:D14=D15))),(INDEX(_xlfn._xlws.FILTER(P$2:P14, D$2:D14=D15),COUNT(_xlfn._xlws.FILTER(P$2:P14, D$2:D14=D15)))*INDEX(_xlfn._xlws.FILTER(O$2:O14, D$2:D14=D15),COUNT(_xlfn._xlws.FILTER(O$2:O14, D$2:D14=D15)))-N15) / O15), J15))</f>
        <v>3.44</v>
      </c>
      <c r="Q15" s="1" t="str">
        <f t="shared" si="2"/>
        <v>USD</v>
      </c>
      <c r="R15" s="1" cm="1">
        <f t="array" ref="R15">IF(A15="", "",
    IFERROR(
        _xlfn.SWITCH(
            TRUE,
            AND(Q15="USD", $Q$2="USD"), K15,
            AND(Q15="USD", $Q$2="GBP"), K15*$Z$3,
            AND(Q15="USD", $Q$2="HKD"), K15*$Z$4,
            AND(Q15="USD", $Q$2="EUR"), K15*$Z$5,
            AND(Q15="GBP", $Q$2="GBP"), K15,
            AND(Q15="GBP", $Q$2="USD"), K15*$Z$6,
            AND(Q15="GBP", $Q$2="HKD"), K15*$Z$7,
            AND(Q15="HKG", $Q$2="HKG"), K15,
            AND(Q15="HKD", $Q$2="USD"), K15*$Z$9,
            AND(Q15="HKD", $Q$2="GBP"), K15*$Z$10,
            AND(Q15="HKD", $Q$2="EUR"), K15*$Z$11,
            AND(Q15="EUR", $Q$2="EUR"), K15,
            AND(Q15="EUR", $Q$2="USD"), K15*$Z$12,
            AND(Q15="EUR", $Q$2="GBP"), K15*$Z$13,
            AND(Q15="EUR", $Q$2="HKD"), K15*$Z$14,
        ),
        0
    )
)</f>
        <v>0</v>
      </c>
      <c r="S15" s="1" cm="1">
        <f t="array" ref="S15">IF(A15="", "",
    IFERROR(
        _xlfn.SWITCH(
            TRUE,
            AND(Q15="USD", $Q$2="USD"), M15,
            AND(Q15="USD", $Q$2="GBP"), M15*$Z$3,
            AND(Q15="USD", $Q$2="HKD"), M15*$Z$4,
            AND(Q15="USD", $Q$2="EUR"), M15*$Z$5,
            AND(Q15="GBP", $Q$2="GBP"), M15,
            AND(Q15="GBP", $Q$2="USD"), M15*$Z$6,
            AND(Q15="GBP", $Q$2="HKD"), M15*$Z$7,
            AND(Q15="GBP", $Q$2="HKD"), M15*$Z$8,
            AND(Q15="HKG", $Q$2="HKG"), M15,
            AND(Q15="HKD", $Q$2="USD"), M15*$Z$9,
            AND(Q15="HKD", $Q$2="GBP"), M15*$Z$10,
            AND(Q15="HKD", $Q$2="EUR"), M15*$Z$11,
            AND(Q15="EUR", $Q$2="EUR"), M15,
            AND(Q15="EUR", $Q$2="USD"), M15*$Z$12,
            AND(Q15="EUR", $Q$2="GBP"), M15*$Z$13,
            AND(Q15="EUR", $Q$2="HKD"), M15*$Z$14,
        ),
        0
    )
)</f>
        <v>192.39920000000001</v>
      </c>
      <c r="T15" s="1" t="str">
        <f t="shared" si="3"/>
        <v>1</v>
      </c>
      <c r="U15" s="9" t="str">
        <f t="shared" si="4"/>
        <v>01</v>
      </c>
      <c r="V15" s="1" t="str">
        <f t="shared" si="5"/>
        <v>2023</v>
      </c>
      <c r="W15" s="18" t="str">
        <f t="shared" si="6"/>
        <v>星期日</v>
      </c>
    </row>
    <row r="16" spans="1:26">
      <c r="A16" s="17" t="s">
        <v>22</v>
      </c>
      <c r="B16" s="1" t="s">
        <v>348</v>
      </c>
      <c r="C16" s="9">
        <v>44927</v>
      </c>
      <c r="D16" s="1" t="s">
        <v>364</v>
      </c>
      <c r="E16" s="1" t="s">
        <v>114</v>
      </c>
      <c r="F16" s="1" t="s">
        <v>346</v>
      </c>
      <c r="H16" s="1" t="s">
        <v>367</v>
      </c>
      <c r="I16" s="1">
        <f>I17*J17</f>
        <v>122.87700000000001</v>
      </c>
      <c r="J16" s="27">
        <v>1</v>
      </c>
      <c r="M16" s="24">
        <f t="shared" si="0"/>
        <v>122.87700000000001</v>
      </c>
      <c r="N16" s="36">
        <f t="shared" si="1"/>
        <v>122.87700000000001</v>
      </c>
      <c r="O16" s="34">
        <f>IF(ISBLANK(A16),"",SUMIFS(I$3:I16,D$3:D16,D16,H$3:H16,"Buy")+SUMIFS(I$3:I16,D$3:D16,D16,H$3:H16,"Cash Deposit")+SUMIFS(I$3:I16,D$3:D16,D16,H$3:H16,"Crypto Deposit")+SUMIFS(I$3:I16,D$3:D16,D16,H$3:H16,"Airdrop/Rewards")-SUMIFS(I$3:I16,D$3:D16,D16,H$3:H16,"Sell"))</f>
        <v>2475.9154903324061</v>
      </c>
      <c r="P16" s="2" cm="1">
        <f t="array" ref="P16">IF(ISBLANK(A16),"",IFERROR(IF(OR(H16="Sell",F16="Stable Coin"),INDEX(_xlfn._xlws.FILTER(P$2:P15, D$2:D15=D16),COUNT(_xlfn._xlws.FILTER(P$2:P15, D$2:D15=D16))),(INDEX(_xlfn._xlws.FILTER(P$2:P15, D$2:D15=D16),COUNT(_xlfn._xlws.FILTER(P$2:P15, D$2:D15=D16)))*INDEX(_xlfn._xlws.FILTER(O$2:O15, D$2:D15=D16),COUNT(_xlfn._xlws.FILTER(O$2:O15, D$2:D15=D16)))-N16) / O16), J16))</f>
        <v>1</v>
      </c>
      <c r="Q16" s="1" t="str">
        <f t="shared" si="2"/>
        <v>USD</v>
      </c>
      <c r="R16" s="1" cm="1">
        <f t="array" ref="R16">IF(A16="", "",
    IFERROR(
        _xlfn.SWITCH(
            TRUE,
            AND(Q16="USD", $Q$2="USD"), K16,
            AND(Q16="USD", $Q$2="GBP"), K16*$Z$3,
            AND(Q16="USD", $Q$2="HKD"), K16*$Z$4,
            AND(Q16="USD", $Q$2="EUR"), K16*$Z$5,
            AND(Q16="GBP", $Q$2="GBP"), K16,
            AND(Q16="GBP", $Q$2="USD"), K16*$Z$6,
            AND(Q16="GBP", $Q$2="HKD"), K16*$Z$7,
            AND(Q16="HKG", $Q$2="HKG"), K16,
            AND(Q16="HKD", $Q$2="USD"), K16*$Z$9,
            AND(Q16="HKD", $Q$2="GBP"), K16*$Z$10,
            AND(Q16="HKD", $Q$2="EUR"), K16*$Z$11,
            AND(Q16="EUR", $Q$2="EUR"), K16,
            AND(Q16="EUR", $Q$2="USD"), K16*$Z$12,
            AND(Q16="EUR", $Q$2="GBP"), K16*$Z$13,
            AND(Q16="EUR", $Q$2="HKD"), K16*$Z$14,
        ),
        0
    )
)</f>
        <v>0</v>
      </c>
      <c r="S16" s="1" cm="1">
        <f t="array" ref="S16">IF(A16="", "",
    IFERROR(
        _xlfn.SWITCH(
            TRUE,
            AND(Q16="USD", $Q$2="USD"), M16,
            AND(Q16="USD", $Q$2="GBP"), M16*$Z$3,
            AND(Q16="USD", $Q$2="HKD"), M16*$Z$4,
            AND(Q16="USD", $Q$2="EUR"), M16*$Z$5,
            AND(Q16="GBP", $Q$2="GBP"), M16,
            AND(Q16="GBP", $Q$2="USD"), M16*$Z$6,
            AND(Q16="GBP", $Q$2="HKD"), M16*$Z$7,
            AND(Q16="GBP", $Q$2="HKD"), M16*$Z$8,
            AND(Q16="HKG", $Q$2="HKG"), M16,
            AND(Q16="HKD", $Q$2="USD"), M16*$Z$9,
            AND(Q16="HKD", $Q$2="GBP"), M16*$Z$10,
            AND(Q16="HKD", $Q$2="EUR"), M16*$Z$11,
            AND(Q16="EUR", $Q$2="EUR"), M16,
            AND(Q16="EUR", $Q$2="USD"), M16*$Z$12,
            AND(Q16="EUR", $Q$2="GBP"), M16*$Z$13,
            AND(Q16="EUR", $Q$2="HKD"), M16*$Z$14,
        ),
        0
    )
)</f>
        <v>122.87700000000001</v>
      </c>
      <c r="T16" s="1" t="str">
        <f t="shared" si="3"/>
        <v>1</v>
      </c>
      <c r="U16" s="9" t="str">
        <f t="shared" si="4"/>
        <v>01</v>
      </c>
      <c r="V16" s="1" t="str">
        <f t="shared" si="5"/>
        <v>2023</v>
      </c>
      <c r="W16" s="18" t="str">
        <f t="shared" si="6"/>
        <v>星期日</v>
      </c>
    </row>
    <row r="17" spans="1:23">
      <c r="A17" s="17" t="s">
        <v>22</v>
      </c>
      <c r="B17" s="1" t="s">
        <v>348</v>
      </c>
      <c r="C17" s="9">
        <v>44927</v>
      </c>
      <c r="D17" s="1" t="s">
        <v>54</v>
      </c>
      <c r="E17" s="1" t="s">
        <v>30</v>
      </c>
      <c r="F17" s="1" t="s">
        <v>349</v>
      </c>
      <c r="H17" s="1" t="s">
        <v>347</v>
      </c>
      <c r="I17" s="1">
        <v>99.9</v>
      </c>
      <c r="J17" s="27">
        <v>1.23</v>
      </c>
      <c r="M17" s="24">
        <f t="shared" si="0"/>
        <v>122.87700000000001</v>
      </c>
      <c r="N17" s="36">
        <f t="shared" si="1"/>
        <v>-122.87700000000001</v>
      </c>
      <c r="O17" s="34">
        <f>IF(ISBLANK(A17),"",SUMIFS(I$3:I17,D$3:D17,D17,H$3:H17,"Buy")+SUMIFS(I$3:I17,D$3:D17,D17,H$3:H17,"Cash Deposit")+SUMIFS(I$3:I17,D$3:D17,D17,H$3:H17,"Crypto Deposit")+SUMIFS(I$3:I17,D$3:D17,D17,H$3:H17,"Airdrop/Rewards")-SUMIFS(I$3:I17,D$3:D17,D17,H$3:H17,"Sell"))</f>
        <v>99.9</v>
      </c>
      <c r="P17" s="2" cm="1">
        <f t="array" ref="P17">IF(ISBLANK(A17),"",IFERROR(IF(OR(H17="Sell",F17="Stable Coin"),INDEX(_xlfn._xlws.FILTER(P$2:P16, D$2:D16=D17),COUNT(_xlfn._xlws.FILTER(P$2:P16, D$2:D16=D17))),(INDEX(_xlfn._xlws.FILTER(P$2:P16, D$2:D16=D17),COUNT(_xlfn._xlws.FILTER(P$2:P16, D$2:D16=D17)))*INDEX(_xlfn._xlws.FILTER(O$2:O16, D$2:D16=D17),COUNT(_xlfn._xlws.FILTER(O$2:O16, D$2:D16=D17)))-N17) / O17), J17))</f>
        <v>1.23</v>
      </c>
      <c r="Q17" s="1" t="str">
        <f t="shared" si="2"/>
        <v>USD</v>
      </c>
      <c r="R17" s="1" cm="1">
        <f t="array" ref="R17">IF(A17="", "",
    IFERROR(
        _xlfn.SWITCH(
            TRUE,
            AND(Q17="USD", $Q$2="USD"), K17,
            AND(Q17="USD", $Q$2="GBP"), K17*$Z$3,
            AND(Q17="USD", $Q$2="HKD"), K17*$Z$4,
            AND(Q17="USD", $Q$2="EUR"), K17*$Z$5,
            AND(Q17="GBP", $Q$2="GBP"), K17,
            AND(Q17="GBP", $Q$2="USD"), K17*$Z$6,
            AND(Q17="GBP", $Q$2="HKD"), K17*$Z$7,
            AND(Q17="HKG", $Q$2="HKG"), K17,
            AND(Q17="HKD", $Q$2="USD"), K17*$Z$9,
            AND(Q17="HKD", $Q$2="GBP"), K17*$Z$10,
            AND(Q17="HKD", $Q$2="EUR"), K17*$Z$11,
            AND(Q17="EUR", $Q$2="EUR"), K17,
            AND(Q17="EUR", $Q$2="USD"), K17*$Z$12,
            AND(Q17="EUR", $Q$2="GBP"), K17*$Z$13,
            AND(Q17="EUR", $Q$2="HKD"), K17*$Z$14,
        ),
        0
    )
)</f>
        <v>0</v>
      </c>
      <c r="S17" s="1" cm="1">
        <f t="array" ref="S17">IF(A17="", "",
    IFERROR(
        _xlfn.SWITCH(
            TRUE,
            AND(Q17="USD", $Q$2="USD"), M17,
            AND(Q17="USD", $Q$2="GBP"), M17*$Z$3,
            AND(Q17="USD", $Q$2="HKD"), M17*$Z$4,
            AND(Q17="USD", $Q$2="EUR"), M17*$Z$5,
            AND(Q17="GBP", $Q$2="GBP"), M17,
            AND(Q17="GBP", $Q$2="USD"), M17*$Z$6,
            AND(Q17="GBP", $Q$2="HKD"), M17*$Z$7,
            AND(Q17="GBP", $Q$2="HKD"), M17*$Z$8,
            AND(Q17="HKG", $Q$2="HKG"), M17,
            AND(Q17="HKD", $Q$2="USD"), M17*$Z$9,
            AND(Q17="HKD", $Q$2="GBP"), M17*$Z$10,
            AND(Q17="HKD", $Q$2="EUR"), M17*$Z$11,
            AND(Q17="EUR", $Q$2="EUR"), M17,
            AND(Q17="EUR", $Q$2="USD"), M17*$Z$12,
            AND(Q17="EUR", $Q$2="GBP"), M17*$Z$13,
            AND(Q17="EUR", $Q$2="HKD"), M17*$Z$14,
        ),
        0
    )
)</f>
        <v>122.87700000000001</v>
      </c>
      <c r="T17" s="1" t="str">
        <f t="shared" si="3"/>
        <v>1</v>
      </c>
      <c r="U17" s="9" t="str">
        <f t="shared" si="4"/>
        <v>01</v>
      </c>
      <c r="V17" s="1" t="str">
        <f t="shared" si="5"/>
        <v>2023</v>
      </c>
      <c r="W17" s="18" t="str">
        <f t="shared" si="6"/>
        <v>星期日</v>
      </c>
    </row>
    <row r="18" spans="1:23">
      <c r="A18" s="17" t="s">
        <v>6</v>
      </c>
      <c r="B18" s="1" t="s">
        <v>348</v>
      </c>
      <c r="C18" s="9">
        <v>44927</v>
      </c>
      <c r="D18" s="1" t="s">
        <v>364</v>
      </c>
      <c r="E18" s="1" t="s">
        <v>114</v>
      </c>
      <c r="F18" s="1" t="s">
        <v>346</v>
      </c>
      <c r="H18" s="1" t="s">
        <v>371</v>
      </c>
      <c r="I18" s="1">
        <v>19677</v>
      </c>
      <c r="J18" s="27">
        <v>1</v>
      </c>
      <c r="M18" s="24">
        <f t="shared" si="0"/>
        <v>19677</v>
      </c>
      <c r="N18" s="36">
        <f t="shared" si="1"/>
        <v>-19677</v>
      </c>
      <c r="O18" s="34">
        <f>IF(ISBLANK(A18),"",SUMIFS(I$3:I18,D$3:D18,D18,H$3:H18,"Buy")+SUMIFS(I$3:I18,D$3:D18,D18,H$3:H18,"Cash Deposit")+SUMIFS(I$3:I18,D$3:D18,D18,H$3:H18,"Crypto Deposit")+SUMIFS(I$3:I18,D$3:D18,D18,H$3:H18,"Airdrop/Rewards")-SUMIFS(I$3:I18,D$3:D18,D18,H$3:H18,"Sell"))</f>
        <v>22152.915490332405</v>
      </c>
      <c r="P18" s="2" cm="1">
        <f t="array" ref="P18">IF(ISBLANK(A18),"",IFERROR(IF(OR(H18="Sell",F18="Stable Coin"),INDEX(_xlfn._xlws.FILTER(P$2:P17, D$2:D17=D18),COUNT(_xlfn._xlws.FILTER(P$2:P17, D$2:D17=D18))),(INDEX(_xlfn._xlws.FILTER(P$2:P17, D$2:D17=D18),COUNT(_xlfn._xlws.FILTER(P$2:P17, D$2:D17=D18)))*INDEX(_xlfn._xlws.FILTER(O$2:O17, D$2:D17=D18),COUNT(_xlfn._xlws.FILTER(O$2:O17, D$2:D17=D18)))-N18) / O18), J18))</f>
        <v>1</v>
      </c>
      <c r="Q18" s="1" t="str">
        <f t="shared" si="2"/>
        <v>USD</v>
      </c>
      <c r="R18" s="1" cm="1">
        <f t="array" ref="R18">IF(A18="", "",
    IFERROR(
        _xlfn.SWITCH(
            TRUE,
            AND(Q18="USD", $Q$2="USD"), K18,
            AND(Q18="USD", $Q$2="GBP"), K18*$Z$3,
            AND(Q18="USD", $Q$2="HKD"), K18*$Z$4,
            AND(Q18="USD", $Q$2="EUR"), K18*$Z$5,
            AND(Q18="GBP", $Q$2="GBP"), K18,
            AND(Q18="GBP", $Q$2="USD"), K18*$Z$6,
            AND(Q18="GBP", $Q$2="HKD"), K18*$Z$7,
            AND(Q18="HKG", $Q$2="HKG"), K18,
            AND(Q18="HKD", $Q$2="USD"), K18*$Z$9,
            AND(Q18="HKD", $Q$2="GBP"), K18*$Z$10,
            AND(Q18="HKD", $Q$2="EUR"), K18*$Z$11,
            AND(Q18="EUR", $Q$2="EUR"), K18,
            AND(Q18="EUR", $Q$2="USD"), K18*$Z$12,
            AND(Q18="EUR", $Q$2="GBP"), K18*$Z$13,
            AND(Q18="EUR", $Q$2="HKD"), K18*$Z$14,
        ),
        0
    )
)</f>
        <v>0</v>
      </c>
      <c r="S18" s="1" cm="1">
        <f t="array" ref="S18">IF(A18="", "",
    IFERROR(
        _xlfn.SWITCH(
            TRUE,
            AND(Q18="USD", $Q$2="USD"), M18,
            AND(Q18="USD", $Q$2="GBP"), M18*$Z$3,
            AND(Q18="USD", $Q$2="HKD"), M18*$Z$4,
            AND(Q18="USD", $Q$2="EUR"), M18*$Z$5,
            AND(Q18="GBP", $Q$2="GBP"), M18,
            AND(Q18="GBP", $Q$2="USD"), M18*$Z$6,
            AND(Q18="GBP", $Q$2="HKD"), M18*$Z$7,
            AND(Q18="GBP", $Q$2="HKD"), M18*$Z$8,
            AND(Q18="HKG", $Q$2="HKG"), M18,
            AND(Q18="HKD", $Q$2="USD"), M18*$Z$9,
            AND(Q18="HKD", $Q$2="GBP"), M18*$Z$10,
            AND(Q18="HKD", $Q$2="EUR"), M18*$Z$11,
            AND(Q18="EUR", $Q$2="EUR"), M18,
            AND(Q18="EUR", $Q$2="USD"), M18*$Z$12,
            AND(Q18="EUR", $Q$2="GBP"), M18*$Z$13,
            AND(Q18="EUR", $Q$2="HKD"), M18*$Z$14,
        ),
        0
    )
)</f>
        <v>19677</v>
      </c>
      <c r="T18" s="1" t="str">
        <f t="shared" si="3"/>
        <v>1</v>
      </c>
      <c r="U18" s="9" t="str">
        <f t="shared" si="4"/>
        <v>01</v>
      </c>
      <c r="V18" s="1" t="str">
        <f t="shared" si="5"/>
        <v>2023</v>
      </c>
      <c r="W18" s="18" t="str">
        <f t="shared" si="6"/>
        <v>星期日</v>
      </c>
    </row>
    <row r="19" spans="1:23">
      <c r="A19" s="17" t="s">
        <v>6</v>
      </c>
      <c r="B19" s="1" t="s">
        <v>348</v>
      </c>
      <c r="C19" s="9">
        <v>44927</v>
      </c>
      <c r="D19" s="1" t="s">
        <v>364</v>
      </c>
      <c r="E19" s="1" t="s">
        <v>114</v>
      </c>
      <c r="F19" s="1" t="s">
        <v>346</v>
      </c>
      <c r="H19" s="1" t="s">
        <v>367</v>
      </c>
      <c r="I19" s="1">
        <f>I20*J20</f>
        <v>7342.4179718399992</v>
      </c>
      <c r="J19" s="27">
        <v>1</v>
      </c>
      <c r="M19" s="24">
        <f t="shared" si="0"/>
        <v>7342.4179718399992</v>
      </c>
      <c r="N19" s="36">
        <f t="shared" si="1"/>
        <v>7342.4179718399992</v>
      </c>
      <c r="O19" s="34">
        <f>IF(ISBLANK(A19),"",SUMIFS(I$3:I19,D$3:D19,D19,H$3:H19,"Buy")+SUMIFS(I$3:I19,D$3:D19,D19,H$3:H19,"Cash Deposit")+SUMIFS(I$3:I19,D$3:D19,D19,H$3:H19,"Crypto Deposit")+SUMIFS(I$3:I19,D$3:D19,D19,H$3:H19,"Airdrop/Rewards")-SUMIFS(I$3:I19,D$3:D19,D19,H$3:H19,"Sell"))</f>
        <v>14810.497518492408</v>
      </c>
      <c r="P19" s="2" cm="1">
        <f t="array" ref="P19">IF(ISBLANK(A19),"",IFERROR(IF(OR(H19="Sell",F19="Stable Coin"),INDEX(_xlfn._xlws.FILTER(P$2:P18, D$2:D18=D19),COUNT(_xlfn._xlws.FILTER(P$2:P18, D$2:D18=D19))),(INDEX(_xlfn._xlws.FILTER(P$2:P18, D$2:D18=D19),COUNT(_xlfn._xlws.FILTER(P$2:P18, D$2:D18=D19)))*INDEX(_xlfn._xlws.FILTER(O$2:O18, D$2:D18=D19),COUNT(_xlfn._xlws.FILTER(O$2:O18, D$2:D18=D19)))-N19) / O19), J19))</f>
        <v>1</v>
      </c>
      <c r="Q19" s="1" t="str">
        <f t="shared" si="2"/>
        <v>USD</v>
      </c>
      <c r="R19" s="1" cm="1">
        <f t="array" ref="R19">IF(A19="", "",
    IFERROR(
        _xlfn.SWITCH(
            TRUE,
            AND(Q19="USD", $Q$2="USD"), K19,
            AND(Q19="USD", $Q$2="GBP"), K19*$Z$3,
            AND(Q19="USD", $Q$2="HKD"), K19*$Z$4,
            AND(Q19="USD", $Q$2="EUR"), K19*$Z$5,
            AND(Q19="GBP", $Q$2="GBP"), K19,
            AND(Q19="GBP", $Q$2="USD"), K19*$Z$6,
            AND(Q19="GBP", $Q$2="HKD"), K19*$Z$7,
            AND(Q19="HKG", $Q$2="HKG"), K19,
            AND(Q19="HKD", $Q$2="USD"), K19*$Z$9,
            AND(Q19="HKD", $Q$2="GBP"), K19*$Z$10,
            AND(Q19="HKD", $Q$2="EUR"), K19*$Z$11,
            AND(Q19="EUR", $Q$2="EUR"), K19,
            AND(Q19="EUR", $Q$2="USD"), K19*$Z$12,
            AND(Q19="EUR", $Q$2="GBP"), K19*$Z$13,
            AND(Q19="EUR", $Q$2="HKD"), K19*$Z$14,
        ),
        0
    )
)</f>
        <v>0</v>
      </c>
      <c r="S19" s="1" cm="1">
        <f t="array" ref="S19">IF(A19="", "",
    IFERROR(
        _xlfn.SWITCH(
            TRUE,
            AND(Q19="USD", $Q$2="USD"), M19,
            AND(Q19="USD", $Q$2="GBP"), M19*$Z$3,
            AND(Q19="USD", $Q$2="HKD"), M19*$Z$4,
            AND(Q19="USD", $Q$2="EUR"), M19*$Z$5,
            AND(Q19="GBP", $Q$2="GBP"), M19,
            AND(Q19="GBP", $Q$2="USD"), M19*$Z$6,
            AND(Q19="GBP", $Q$2="HKD"), M19*$Z$7,
            AND(Q19="GBP", $Q$2="HKD"), M19*$Z$8,
            AND(Q19="HKG", $Q$2="HKG"), M19,
            AND(Q19="HKD", $Q$2="USD"), M19*$Z$9,
            AND(Q19="HKD", $Q$2="GBP"), M19*$Z$10,
            AND(Q19="HKD", $Q$2="EUR"), M19*$Z$11,
            AND(Q19="EUR", $Q$2="EUR"), M19,
            AND(Q19="EUR", $Q$2="USD"), M19*$Z$12,
            AND(Q19="EUR", $Q$2="GBP"), M19*$Z$13,
            AND(Q19="EUR", $Q$2="HKD"), M19*$Z$14,
        ),
        0
    )
)</f>
        <v>7342.4179718399992</v>
      </c>
      <c r="T19" s="1" t="str">
        <f t="shared" si="3"/>
        <v>1</v>
      </c>
      <c r="U19" s="9" t="str">
        <f t="shared" si="4"/>
        <v>01</v>
      </c>
      <c r="V19" s="1" t="str">
        <f t="shared" si="5"/>
        <v>2023</v>
      </c>
      <c r="W19" s="18" t="str">
        <f t="shared" si="6"/>
        <v>星期日</v>
      </c>
    </row>
    <row r="20" spans="1:23">
      <c r="A20" s="17" t="s">
        <v>6</v>
      </c>
      <c r="B20" s="1" t="s">
        <v>348</v>
      </c>
      <c r="C20" s="9">
        <v>44927</v>
      </c>
      <c r="D20" s="1" t="s">
        <v>47</v>
      </c>
      <c r="E20" s="1" t="s">
        <v>4</v>
      </c>
      <c r="F20" s="1" t="s">
        <v>349</v>
      </c>
      <c r="H20" s="1" t="s">
        <v>347</v>
      </c>
      <c r="I20" s="1">
        <v>0.25056299999999998</v>
      </c>
      <c r="J20" s="27">
        <v>29303.68</v>
      </c>
      <c r="M20" s="24">
        <f t="shared" si="0"/>
        <v>7342.4179718399992</v>
      </c>
      <c r="N20" s="36">
        <f t="shared" si="1"/>
        <v>-7342.4179718399992</v>
      </c>
      <c r="O20" s="34">
        <f>IF(ISBLANK(A20),"",SUMIFS(I$3:I20,D$3:D20,D20,H$3:H20,"Buy")+SUMIFS(I$3:I20,D$3:D20,D20,H$3:H20,"Cash Deposit")+SUMIFS(I$3:I20,D$3:D20,D20,H$3:H20,"Crypto Deposit")+SUMIFS(I$3:I20,D$3:D20,D20,H$3:H20,"Airdrop/Rewards")-SUMIFS(I$3:I20,D$3:D20,D20,H$3:H20,"Sell"))</f>
        <v>0.29944682</v>
      </c>
      <c r="P20" s="2" cm="1">
        <f t="array" ref="P20">IF(ISBLANK(A20),"",IFERROR(IF(OR(H20="Sell",F20="Stable Coin"),INDEX(_xlfn._xlws.FILTER(P$2:P19, D$2:D19=D20),COUNT(_xlfn._xlws.FILTER(P$2:P19, D$2:D19=D20))),(INDEX(_xlfn._xlws.FILTER(P$2:P19, D$2:D19=D20),COUNT(_xlfn._xlws.FILTER(P$2:P19, D$2:D19=D20)))*INDEX(_xlfn._xlws.FILTER(O$2:O19, D$2:D19=D20),COUNT(_xlfn._xlws.FILTER(O$2:O19, D$2:D19=D20)))-N20) / O20), J20))</f>
        <v>31466.457352024638</v>
      </c>
      <c r="Q20" s="1" t="str">
        <f t="shared" si="2"/>
        <v>USD</v>
      </c>
      <c r="R20" s="1" cm="1">
        <f t="array" ref="R20">IF(A20="", "",
    IFERROR(
        _xlfn.SWITCH(
            TRUE,
            AND(Q20="USD", $Q$2="USD"), K20,
            AND(Q20="USD", $Q$2="GBP"), K20*$Z$3,
            AND(Q20="USD", $Q$2="HKD"), K20*$Z$4,
            AND(Q20="USD", $Q$2="EUR"), K20*$Z$5,
            AND(Q20="GBP", $Q$2="GBP"), K20,
            AND(Q20="GBP", $Q$2="USD"), K20*$Z$6,
            AND(Q20="GBP", $Q$2="HKD"), K20*$Z$7,
            AND(Q20="HKG", $Q$2="HKG"), K20,
            AND(Q20="HKD", $Q$2="USD"), K20*$Z$9,
            AND(Q20="HKD", $Q$2="GBP"), K20*$Z$10,
            AND(Q20="HKD", $Q$2="EUR"), K20*$Z$11,
            AND(Q20="EUR", $Q$2="EUR"), K20,
            AND(Q20="EUR", $Q$2="USD"), K20*$Z$12,
            AND(Q20="EUR", $Q$2="GBP"), K20*$Z$13,
            AND(Q20="EUR", $Q$2="HKD"), K20*$Z$14,
        ),
        0
    )
)</f>
        <v>0</v>
      </c>
      <c r="S20" s="1" cm="1">
        <f t="array" ref="S20">IF(A20="", "",
    IFERROR(
        _xlfn.SWITCH(
            TRUE,
            AND(Q20="USD", $Q$2="USD"), M20,
            AND(Q20="USD", $Q$2="GBP"), M20*$Z$3,
            AND(Q20="USD", $Q$2="HKD"), M20*$Z$4,
            AND(Q20="USD", $Q$2="EUR"), M20*$Z$5,
            AND(Q20="GBP", $Q$2="GBP"), M20,
            AND(Q20="GBP", $Q$2="USD"), M20*$Z$6,
            AND(Q20="GBP", $Q$2="HKD"), M20*$Z$7,
            AND(Q20="GBP", $Q$2="HKD"), M20*$Z$8,
            AND(Q20="HKG", $Q$2="HKG"), M20,
            AND(Q20="HKD", $Q$2="USD"), M20*$Z$9,
            AND(Q20="HKD", $Q$2="GBP"), M20*$Z$10,
            AND(Q20="HKD", $Q$2="EUR"), M20*$Z$11,
            AND(Q20="EUR", $Q$2="EUR"), M20,
            AND(Q20="EUR", $Q$2="USD"), M20*$Z$12,
            AND(Q20="EUR", $Q$2="GBP"), M20*$Z$13,
            AND(Q20="EUR", $Q$2="HKD"), M20*$Z$14,
        ),
        0
    )
)</f>
        <v>7342.4179718399992</v>
      </c>
      <c r="T20" s="1" t="str">
        <f t="shared" si="3"/>
        <v>1</v>
      </c>
      <c r="U20" s="9" t="str">
        <f t="shared" si="4"/>
        <v>01</v>
      </c>
      <c r="V20" s="1" t="str">
        <f t="shared" si="5"/>
        <v>2023</v>
      </c>
      <c r="W20" s="18" t="str">
        <f t="shared" si="6"/>
        <v>星期日</v>
      </c>
    </row>
    <row r="21" spans="1:23">
      <c r="A21" s="17" t="s">
        <v>6</v>
      </c>
      <c r="B21" s="1" t="s">
        <v>348</v>
      </c>
      <c r="C21" s="9">
        <v>44927</v>
      </c>
      <c r="D21" s="1" t="s">
        <v>364</v>
      </c>
      <c r="E21" s="1" t="s">
        <v>114</v>
      </c>
      <c r="F21" s="1" t="s">
        <v>346</v>
      </c>
      <c r="H21" s="1" t="s">
        <v>367</v>
      </c>
      <c r="I21" s="1">
        <f>I22*J22</f>
        <v>3518.6460759999995</v>
      </c>
      <c r="J21" s="27">
        <v>1</v>
      </c>
      <c r="M21" s="24">
        <f t="shared" si="0"/>
        <v>3518.6460759999995</v>
      </c>
      <c r="N21" s="36">
        <f t="shared" si="1"/>
        <v>3518.6460759999995</v>
      </c>
      <c r="O21" s="34">
        <f>IF(ISBLANK(A21),"",SUMIFS(I$3:I21,D$3:D21,D21,H$3:H21,"Buy")+SUMIFS(I$3:I21,D$3:D21,D21,H$3:H21,"Cash Deposit")+SUMIFS(I$3:I21,D$3:D21,D21,H$3:H21,"Crypto Deposit")+SUMIFS(I$3:I21,D$3:D21,D21,H$3:H21,"Airdrop/Rewards")-SUMIFS(I$3:I21,D$3:D21,D21,H$3:H21,"Sell"))</f>
        <v>11291.851442492407</v>
      </c>
      <c r="P21" s="2" cm="1">
        <f t="array" ref="P21">IF(ISBLANK(A21),"",IFERROR(IF(OR(H21="Sell",F21="Stable Coin"),INDEX(_xlfn._xlws.FILTER(P$2:P20, D$2:D20=D21),COUNT(_xlfn._xlws.FILTER(P$2:P20, D$2:D20=D21))),(INDEX(_xlfn._xlws.FILTER(P$2:P20, D$2:D20=D21),COUNT(_xlfn._xlws.FILTER(P$2:P20, D$2:D20=D21)))*INDEX(_xlfn._xlws.FILTER(O$2:O20, D$2:D20=D21),COUNT(_xlfn._xlws.FILTER(O$2:O20, D$2:D20=D21)))-N21) / O21), J21))</f>
        <v>1</v>
      </c>
      <c r="Q21" s="1" t="str">
        <f t="shared" si="2"/>
        <v>USD</v>
      </c>
      <c r="R21" s="1" cm="1">
        <f t="array" ref="R21">IF(A21="", "",
    IFERROR(
        _xlfn.SWITCH(
            TRUE,
            AND(Q21="USD", $Q$2="USD"), K21,
            AND(Q21="USD", $Q$2="GBP"), K21*$Z$3,
            AND(Q21="USD", $Q$2="HKD"), K21*$Z$4,
            AND(Q21="USD", $Q$2="EUR"), K21*$Z$5,
            AND(Q21="GBP", $Q$2="GBP"), K21,
            AND(Q21="GBP", $Q$2="USD"), K21*$Z$6,
            AND(Q21="GBP", $Q$2="HKD"), K21*$Z$7,
            AND(Q21="HKG", $Q$2="HKG"), K21,
            AND(Q21="HKD", $Q$2="USD"), K21*$Z$9,
            AND(Q21="HKD", $Q$2="GBP"), K21*$Z$10,
            AND(Q21="HKD", $Q$2="EUR"), K21*$Z$11,
            AND(Q21="EUR", $Q$2="EUR"), K21,
            AND(Q21="EUR", $Q$2="USD"), K21*$Z$12,
            AND(Q21="EUR", $Q$2="GBP"), K21*$Z$13,
            AND(Q21="EUR", $Q$2="HKD"), K21*$Z$14,
        ),
        0
    )
)</f>
        <v>0</v>
      </c>
      <c r="S21" s="1" cm="1">
        <f t="array" ref="S21">IF(A21="", "",
    IFERROR(
        _xlfn.SWITCH(
            TRUE,
            AND(Q21="USD", $Q$2="USD"), M21,
            AND(Q21="USD", $Q$2="GBP"), M21*$Z$3,
            AND(Q21="USD", $Q$2="HKD"), M21*$Z$4,
            AND(Q21="USD", $Q$2="EUR"), M21*$Z$5,
            AND(Q21="GBP", $Q$2="GBP"), M21,
            AND(Q21="GBP", $Q$2="USD"), M21*$Z$6,
            AND(Q21="GBP", $Q$2="HKD"), M21*$Z$7,
            AND(Q21="GBP", $Q$2="HKD"), M21*$Z$8,
            AND(Q21="HKG", $Q$2="HKG"), M21,
            AND(Q21="HKD", $Q$2="USD"), M21*$Z$9,
            AND(Q21="HKD", $Q$2="GBP"), M21*$Z$10,
            AND(Q21="HKD", $Q$2="EUR"), M21*$Z$11,
            AND(Q21="EUR", $Q$2="EUR"), M21,
            AND(Q21="EUR", $Q$2="USD"), M21*$Z$12,
            AND(Q21="EUR", $Q$2="GBP"), M21*$Z$13,
            AND(Q21="EUR", $Q$2="HKD"), M21*$Z$14,
        ),
        0
    )
)</f>
        <v>3518.6460759999995</v>
      </c>
      <c r="T21" s="1" t="str">
        <f t="shared" si="3"/>
        <v>1</v>
      </c>
      <c r="U21" s="9" t="str">
        <f t="shared" si="4"/>
        <v>01</v>
      </c>
      <c r="V21" s="1" t="str">
        <f t="shared" si="5"/>
        <v>2023</v>
      </c>
      <c r="W21" s="18" t="str">
        <f t="shared" si="6"/>
        <v>星期日</v>
      </c>
    </row>
    <row r="22" spans="1:23">
      <c r="A22" s="17" t="s">
        <v>6</v>
      </c>
      <c r="B22" s="1" t="s">
        <v>348</v>
      </c>
      <c r="C22" s="9">
        <v>44927</v>
      </c>
      <c r="D22" s="1" t="s">
        <v>10</v>
      </c>
      <c r="E22" s="1" t="s">
        <v>10</v>
      </c>
      <c r="F22" s="1" t="s">
        <v>349</v>
      </c>
      <c r="H22" s="1" t="s">
        <v>347</v>
      </c>
      <c r="I22" s="1">
        <v>10.335279999999999</v>
      </c>
      <c r="J22" s="27">
        <v>340.45</v>
      </c>
      <c r="M22" s="24">
        <f t="shared" si="0"/>
        <v>3518.6460759999995</v>
      </c>
      <c r="N22" s="36">
        <f t="shared" si="1"/>
        <v>-3518.6460759999995</v>
      </c>
      <c r="O22" s="34">
        <f>IF(ISBLANK(A22),"",SUMIFS(I$3:I22,D$3:D22,D22,H$3:H22,"Buy")+SUMIFS(I$3:I22,D$3:D22,D22,H$3:H22,"Cash Deposit")+SUMIFS(I$3:I22,D$3:D22,D22,H$3:H22,"Crypto Deposit")+SUMIFS(I$3:I22,D$3:D22,D22,H$3:H22,"Airdrop/Rewards")-SUMIFS(I$3:I22,D$3:D22,D22,H$3:H22,"Sell"))</f>
        <v>10.335279999999999</v>
      </c>
      <c r="P22" s="2" cm="1">
        <f t="array" ref="P22">IF(ISBLANK(A22),"",IFERROR(IF(OR(H22="Sell",F22="Stable Coin"),INDEX(_xlfn._xlws.FILTER(P$2:P21, D$2:D21=D22),COUNT(_xlfn._xlws.FILTER(P$2:P21, D$2:D21=D22))),(INDEX(_xlfn._xlws.FILTER(P$2:P21, D$2:D21=D22),COUNT(_xlfn._xlws.FILTER(P$2:P21, D$2:D21=D22)))*INDEX(_xlfn._xlws.FILTER(O$2:O21, D$2:D21=D22),COUNT(_xlfn._xlws.FILTER(O$2:O21, D$2:D21=D22)))-N22) / O22), J22))</f>
        <v>340.45</v>
      </c>
      <c r="Q22" s="1" t="str">
        <f t="shared" si="2"/>
        <v>USD</v>
      </c>
      <c r="R22" s="1" cm="1">
        <f t="array" ref="R22">IF(A22="", "",
    IFERROR(
        _xlfn.SWITCH(
            TRUE,
            AND(Q22="USD", $Q$2="USD"), K22,
            AND(Q22="USD", $Q$2="GBP"), K22*$Z$3,
            AND(Q22="USD", $Q$2="HKD"), K22*$Z$4,
            AND(Q22="USD", $Q$2="EUR"), K22*$Z$5,
            AND(Q22="GBP", $Q$2="GBP"), K22,
            AND(Q22="GBP", $Q$2="USD"), K22*$Z$6,
            AND(Q22="GBP", $Q$2="HKD"), K22*$Z$7,
            AND(Q22="HKG", $Q$2="HKG"), K22,
            AND(Q22="HKD", $Q$2="USD"), K22*$Z$9,
            AND(Q22="HKD", $Q$2="GBP"), K22*$Z$10,
            AND(Q22="HKD", $Q$2="EUR"), K22*$Z$11,
            AND(Q22="EUR", $Q$2="EUR"), K22,
            AND(Q22="EUR", $Q$2="USD"), K22*$Z$12,
            AND(Q22="EUR", $Q$2="GBP"), K22*$Z$13,
            AND(Q22="EUR", $Q$2="HKD"), K22*$Z$14,
        ),
        0
    )
)</f>
        <v>0</v>
      </c>
      <c r="S22" s="1" cm="1">
        <f t="array" ref="S22">IF(A22="", "",
    IFERROR(
        _xlfn.SWITCH(
            TRUE,
            AND(Q22="USD", $Q$2="USD"), M22,
            AND(Q22="USD", $Q$2="GBP"), M22*$Z$3,
            AND(Q22="USD", $Q$2="HKD"), M22*$Z$4,
            AND(Q22="USD", $Q$2="EUR"), M22*$Z$5,
            AND(Q22="GBP", $Q$2="GBP"), M22,
            AND(Q22="GBP", $Q$2="USD"), M22*$Z$6,
            AND(Q22="GBP", $Q$2="HKD"), M22*$Z$7,
            AND(Q22="GBP", $Q$2="HKD"), M22*$Z$8,
            AND(Q22="HKG", $Q$2="HKG"), M22,
            AND(Q22="HKD", $Q$2="USD"), M22*$Z$9,
            AND(Q22="HKD", $Q$2="GBP"), M22*$Z$10,
            AND(Q22="HKD", $Q$2="EUR"), M22*$Z$11,
            AND(Q22="EUR", $Q$2="EUR"), M22,
            AND(Q22="EUR", $Q$2="USD"), M22*$Z$12,
            AND(Q22="EUR", $Q$2="GBP"), M22*$Z$13,
            AND(Q22="EUR", $Q$2="HKD"), M22*$Z$14,
        ),
        0
    )
)</f>
        <v>3518.6460759999995</v>
      </c>
      <c r="T22" s="1" t="str">
        <f t="shared" si="3"/>
        <v>1</v>
      </c>
      <c r="U22" s="9" t="str">
        <f t="shared" si="4"/>
        <v>01</v>
      </c>
      <c r="V22" s="1" t="str">
        <f t="shared" si="5"/>
        <v>2023</v>
      </c>
      <c r="W22" s="18" t="str">
        <f t="shared" si="6"/>
        <v>星期日</v>
      </c>
    </row>
    <row r="23" spans="1:23">
      <c r="A23" s="17" t="s">
        <v>6</v>
      </c>
      <c r="B23" s="1" t="s">
        <v>348</v>
      </c>
      <c r="C23" s="9">
        <v>44927</v>
      </c>
      <c r="D23" s="1" t="s">
        <v>364</v>
      </c>
      <c r="E23" s="1" t="s">
        <v>114</v>
      </c>
      <c r="F23" s="1" t="s">
        <v>346</v>
      </c>
      <c r="H23" s="1" t="s">
        <v>367</v>
      </c>
      <c r="I23" s="1">
        <f>I24*J24</f>
        <v>614.20930418917294</v>
      </c>
      <c r="J23" s="27">
        <v>1</v>
      </c>
      <c r="M23" s="24">
        <f t="shared" si="0"/>
        <v>614.20930418917294</v>
      </c>
      <c r="N23" s="36">
        <f t="shared" si="1"/>
        <v>614.20930418917294</v>
      </c>
      <c r="O23" s="34">
        <f>IF(ISBLANK(A23),"",SUMIFS(I$3:I23,D$3:D23,D23,H$3:H23,"Buy")+SUMIFS(I$3:I23,D$3:D23,D23,H$3:H23,"Cash Deposit")+SUMIFS(I$3:I23,D$3:D23,D23,H$3:H23,"Crypto Deposit")+SUMIFS(I$3:I23,D$3:D23,D23,H$3:H23,"Airdrop/Rewards")-SUMIFS(I$3:I23,D$3:D23,D23,H$3:H23,"Sell"))</f>
        <v>10677.642138303236</v>
      </c>
      <c r="P23" s="2" cm="1">
        <f t="array" ref="P23">IF(ISBLANK(A23),"",IFERROR(IF(OR(H23="Sell",F23="Stable Coin"),INDEX(_xlfn._xlws.FILTER(P$2:P22, D$2:D22=D23),COUNT(_xlfn._xlws.FILTER(P$2:P22, D$2:D22=D23))),(INDEX(_xlfn._xlws.FILTER(P$2:P22, D$2:D22=D23),COUNT(_xlfn._xlws.FILTER(P$2:P22, D$2:D22=D23)))*INDEX(_xlfn._xlws.FILTER(O$2:O22, D$2:D22=D23),COUNT(_xlfn._xlws.FILTER(O$2:O22, D$2:D22=D23)))-N23) / O23), J23))</f>
        <v>1</v>
      </c>
      <c r="Q23" s="1" t="str">
        <f t="shared" si="2"/>
        <v>USD</v>
      </c>
      <c r="R23" s="1" cm="1">
        <f t="array" ref="R23">IF(A23="", "",
    IFERROR(
        _xlfn.SWITCH(
            TRUE,
            AND(Q23="USD", $Q$2="USD"), K23,
            AND(Q23="USD", $Q$2="GBP"), K23*$Z$3,
            AND(Q23="USD", $Q$2="HKD"), K23*$Z$4,
            AND(Q23="USD", $Q$2="EUR"), K23*$Z$5,
            AND(Q23="GBP", $Q$2="GBP"), K23,
            AND(Q23="GBP", $Q$2="USD"), K23*$Z$6,
            AND(Q23="GBP", $Q$2="HKD"), K23*$Z$7,
            AND(Q23="HKG", $Q$2="HKG"), K23,
            AND(Q23="HKD", $Q$2="USD"), K23*$Z$9,
            AND(Q23="HKD", $Q$2="GBP"), K23*$Z$10,
            AND(Q23="HKD", $Q$2="EUR"), K23*$Z$11,
            AND(Q23="EUR", $Q$2="EUR"), K23,
            AND(Q23="EUR", $Q$2="USD"), K23*$Z$12,
            AND(Q23="EUR", $Q$2="GBP"), K23*$Z$13,
            AND(Q23="EUR", $Q$2="HKD"), K23*$Z$14,
        ),
        0
    )
)</f>
        <v>0</v>
      </c>
      <c r="S23" s="1" cm="1">
        <f t="array" ref="S23">IF(A23="", "",
    IFERROR(
        _xlfn.SWITCH(
            TRUE,
            AND(Q23="USD", $Q$2="USD"), M23,
            AND(Q23="USD", $Q$2="GBP"), M23*$Z$3,
            AND(Q23="USD", $Q$2="HKD"), M23*$Z$4,
            AND(Q23="USD", $Q$2="EUR"), M23*$Z$5,
            AND(Q23="GBP", $Q$2="GBP"), M23,
            AND(Q23="GBP", $Q$2="USD"), M23*$Z$6,
            AND(Q23="GBP", $Q$2="HKD"), M23*$Z$7,
            AND(Q23="GBP", $Q$2="HKD"), M23*$Z$8,
            AND(Q23="HKG", $Q$2="HKG"), M23,
            AND(Q23="HKD", $Q$2="USD"), M23*$Z$9,
            AND(Q23="HKD", $Q$2="GBP"), M23*$Z$10,
            AND(Q23="HKD", $Q$2="EUR"), M23*$Z$11,
            AND(Q23="EUR", $Q$2="EUR"), M23,
            AND(Q23="EUR", $Q$2="USD"), M23*$Z$12,
            AND(Q23="EUR", $Q$2="GBP"), M23*$Z$13,
            AND(Q23="EUR", $Q$2="HKD"), M23*$Z$14,
        ),
        0
    )
)</f>
        <v>614.20930418917294</v>
      </c>
      <c r="T23" s="1" t="str">
        <f t="shared" si="3"/>
        <v>1</v>
      </c>
      <c r="U23" s="9" t="str">
        <f t="shared" si="4"/>
        <v>01</v>
      </c>
      <c r="V23" s="1" t="str">
        <f t="shared" si="5"/>
        <v>2023</v>
      </c>
      <c r="W23" s="18" t="str">
        <f t="shared" si="6"/>
        <v>星期日</v>
      </c>
    </row>
    <row r="24" spans="1:23">
      <c r="A24" s="17" t="s">
        <v>6</v>
      </c>
      <c r="B24" s="1" t="s">
        <v>348</v>
      </c>
      <c r="C24" s="9">
        <v>44927</v>
      </c>
      <c r="D24" s="1" t="s">
        <v>49</v>
      </c>
      <c r="E24" s="1" t="s">
        <v>38</v>
      </c>
      <c r="F24" s="1" t="s">
        <v>349</v>
      </c>
      <c r="H24" s="1" t="s">
        <v>347</v>
      </c>
      <c r="I24" s="1">
        <v>30.30181</v>
      </c>
      <c r="J24" s="27">
        <v>20.269723299999999</v>
      </c>
      <c r="M24" s="24">
        <f t="shared" si="0"/>
        <v>614.20930418917294</v>
      </c>
      <c r="N24" s="36">
        <f t="shared" si="1"/>
        <v>-614.20930418917294</v>
      </c>
      <c r="O24" s="34">
        <f>IF(ISBLANK(A24),"",SUMIFS(I$3:I24,D$3:D24,D24,H$3:H24,"Buy")+SUMIFS(I$3:I24,D$3:D24,D24,H$3:H24,"Cash Deposit")+SUMIFS(I$3:I24,D$3:D24,D24,H$3:H24,"Crypto Deposit")+SUMIFS(I$3:I24,D$3:D24,D24,H$3:H24,"Airdrop/Rewards")-SUMIFS(I$3:I24,D$3:D24,D24,H$3:H24,"Sell"))</f>
        <v>30.30181</v>
      </c>
      <c r="P24" s="2" cm="1">
        <f t="array" ref="P24">IF(ISBLANK(A24),"",IFERROR(IF(OR(H24="Sell",F24="Stable Coin"),INDEX(_xlfn._xlws.FILTER(P$2:P23, D$2:D23=D24),COUNT(_xlfn._xlws.FILTER(P$2:P23, D$2:D23=D24))),(INDEX(_xlfn._xlws.FILTER(P$2:P23, D$2:D23=D24),COUNT(_xlfn._xlws.FILTER(P$2:P23, D$2:D23=D24)))*INDEX(_xlfn._xlws.FILTER(O$2:O23, D$2:D23=D24),COUNT(_xlfn._xlws.FILTER(O$2:O23, D$2:D23=D24)))-N24) / O24), J24))</f>
        <v>20.269723299999999</v>
      </c>
      <c r="Q24" s="1" t="str">
        <f t="shared" si="2"/>
        <v>USD</v>
      </c>
      <c r="R24" s="1" cm="1">
        <f t="array" ref="R24">IF(A24="", "",
    IFERROR(
        _xlfn.SWITCH(
            TRUE,
            AND(Q24="USD", $Q$2="USD"), K24,
            AND(Q24="USD", $Q$2="GBP"), K24*$Z$3,
            AND(Q24="USD", $Q$2="HKD"), K24*$Z$4,
            AND(Q24="USD", $Q$2="EUR"), K24*$Z$5,
            AND(Q24="GBP", $Q$2="GBP"), K24,
            AND(Q24="GBP", $Q$2="USD"), K24*$Z$6,
            AND(Q24="GBP", $Q$2="HKD"), K24*$Z$7,
            AND(Q24="HKG", $Q$2="HKG"), K24,
            AND(Q24="HKD", $Q$2="USD"), K24*$Z$9,
            AND(Q24="HKD", $Q$2="GBP"), K24*$Z$10,
            AND(Q24="HKD", $Q$2="EUR"), K24*$Z$11,
            AND(Q24="EUR", $Q$2="EUR"), K24,
            AND(Q24="EUR", $Q$2="USD"), K24*$Z$12,
            AND(Q24="EUR", $Q$2="GBP"), K24*$Z$13,
            AND(Q24="EUR", $Q$2="HKD"), K24*$Z$14,
        ),
        0
    )
)</f>
        <v>0</v>
      </c>
      <c r="S24" s="1" cm="1">
        <f t="array" ref="S24">IF(A24="", "",
    IFERROR(
        _xlfn.SWITCH(
            TRUE,
            AND(Q24="USD", $Q$2="USD"), M24,
            AND(Q24="USD", $Q$2="GBP"), M24*$Z$3,
            AND(Q24="USD", $Q$2="HKD"), M24*$Z$4,
            AND(Q24="USD", $Q$2="EUR"), M24*$Z$5,
            AND(Q24="GBP", $Q$2="GBP"), M24,
            AND(Q24="GBP", $Q$2="USD"), M24*$Z$6,
            AND(Q24="GBP", $Q$2="HKD"), M24*$Z$7,
            AND(Q24="GBP", $Q$2="HKD"), M24*$Z$8,
            AND(Q24="HKG", $Q$2="HKG"), M24,
            AND(Q24="HKD", $Q$2="USD"), M24*$Z$9,
            AND(Q24="HKD", $Q$2="GBP"), M24*$Z$10,
            AND(Q24="HKD", $Q$2="EUR"), M24*$Z$11,
            AND(Q24="EUR", $Q$2="EUR"), M24,
            AND(Q24="EUR", $Q$2="USD"), M24*$Z$12,
            AND(Q24="EUR", $Q$2="GBP"), M24*$Z$13,
            AND(Q24="EUR", $Q$2="HKD"), M24*$Z$14,
        ),
        0
    )
)</f>
        <v>614.20930418917294</v>
      </c>
      <c r="T24" s="1" t="str">
        <f t="shared" si="3"/>
        <v>1</v>
      </c>
      <c r="U24" s="9" t="str">
        <f t="shared" si="4"/>
        <v>01</v>
      </c>
      <c r="V24" s="1" t="str">
        <f t="shared" si="5"/>
        <v>2023</v>
      </c>
      <c r="W24" s="18" t="str">
        <f t="shared" si="6"/>
        <v>星期日</v>
      </c>
    </row>
    <row r="25" spans="1:23">
      <c r="A25" s="17" t="s">
        <v>6</v>
      </c>
      <c r="B25" s="1" t="s">
        <v>348</v>
      </c>
      <c r="C25" s="9">
        <v>44927</v>
      </c>
      <c r="D25" s="1" t="s">
        <v>364</v>
      </c>
      <c r="E25" s="1" t="s">
        <v>114</v>
      </c>
      <c r="F25" s="1" t="s">
        <v>346</v>
      </c>
      <c r="H25" s="1" t="s">
        <v>367</v>
      </c>
      <c r="I25" s="1">
        <f>I26*J26</f>
        <v>2522.0846051938001</v>
      </c>
      <c r="J25" s="27">
        <v>1</v>
      </c>
      <c r="M25" s="24">
        <f t="shared" si="0"/>
        <v>2522.0846051938001</v>
      </c>
      <c r="N25" s="36">
        <f t="shared" si="1"/>
        <v>2522.0846051938001</v>
      </c>
      <c r="O25" s="34">
        <f>IF(ISBLANK(A25),"",SUMIFS(I$3:I25,D$3:D25,D25,H$3:H25,"Buy")+SUMIFS(I$3:I25,D$3:D25,D25,H$3:H25,"Cash Deposit")+SUMIFS(I$3:I25,D$3:D25,D25,H$3:H25,"Crypto Deposit")+SUMIFS(I$3:I25,D$3:D25,D25,H$3:H25,"Airdrop/Rewards")-SUMIFS(I$3:I25,D$3:D25,D25,H$3:H25,"Sell"))</f>
        <v>8155.5575331094369</v>
      </c>
      <c r="P25" s="2" cm="1">
        <f t="array" ref="P25">IF(ISBLANK(A25),"",IFERROR(IF(OR(H25="Sell",F25="Stable Coin"),INDEX(_xlfn._xlws.FILTER(P$2:P24, D$2:D24=D25),COUNT(_xlfn._xlws.FILTER(P$2:P24, D$2:D24=D25))),(INDEX(_xlfn._xlws.FILTER(P$2:P24, D$2:D24=D25),COUNT(_xlfn._xlws.FILTER(P$2:P24, D$2:D24=D25)))*INDEX(_xlfn._xlws.FILTER(O$2:O24, D$2:D24=D25),COUNT(_xlfn._xlws.FILTER(O$2:O24, D$2:D24=D25)))-N25) / O25), J25))</f>
        <v>1</v>
      </c>
      <c r="Q25" s="1" t="str">
        <f t="shared" si="2"/>
        <v>USD</v>
      </c>
      <c r="R25" s="1" cm="1">
        <f t="array" ref="R25">IF(A25="", "",
    IFERROR(
        _xlfn.SWITCH(
            TRUE,
            AND(Q25="USD", $Q$2="USD"), K25,
            AND(Q25="USD", $Q$2="GBP"), K25*$Z$3,
            AND(Q25="USD", $Q$2="HKD"), K25*$Z$4,
            AND(Q25="USD", $Q$2="EUR"), K25*$Z$5,
            AND(Q25="GBP", $Q$2="GBP"), K25,
            AND(Q25="GBP", $Q$2="USD"), K25*$Z$6,
            AND(Q25="GBP", $Q$2="HKD"), K25*$Z$7,
            AND(Q25="HKG", $Q$2="HKG"), K25,
            AND(Q25="HKD", $Q$2="USD"), K25*$Z$9,
            AND(Q25="HKD", $Q$2="GBP"), K25*$Z$10,
            AND(Q25="HKD", $Q$2="EUR"), K25*$Z$11,
            AND(Q25="EUR", $Q$2="EUR"), K25,
            AND(Q25="EUR", $Q$2="USD"), K25*$Z$12,
            AND(Q25="EUR", $Q$2="GBP"), K25*$Z$13,
            AND(Q25="EUR", $Q$2="HKD"), K25*$Z$14,
        ),
        0
    )
)</f>
        <v>0</v>
      </c>
      <c r="S25" s="1" cm="1">
        <f t="array" ref="S25">IF(A25="", "",
    IFERROR(
        _xlfn.SWITCH(
            TRUE,
            AND(Q25="USD", $Q$2="USD"), M25,
            AND(Q25="USD", $Q$2="GBP"), M25*$Z$3,
            AND(Q25="USD", $Q$2="HKD"), M25*$Z$4,
            AND(Q25="USD", $Q$2="EUR"), M25*$Z$5,
            AND(Q25="GBP", $Q$2="GBP"), M25,
            AND(Q25="GBP", $Q$2="USD"), M25*$Z$6,
            AND(Q25="GBP", $Q$2="HKD"), M25*$Z$7,
            AND(Q25="GBP", $Q$2="HKD"), M25*$Z$8,
            AND(Q25="HKG", $Q$2="HKG"), M25,
            AND(Q25="HKD", $Q$2="USD"), M25*$Z$9,
            AND(Q25="HKD", $Q$2="GBP"), M25*$Z$10,
            AND(Q25="HKD", $Q$2="EUR"), M25*$Z$11,
            AND(Q25="EUR", $Q$2="EUR"), M25,
            AND(Q25="EUR", $Q$2="USD"), M25*$Z$12,
            AND(Q25="EUR", $Q$2="GBP"), M25*$Z$13,
            AND(Q25="EUR", $Q$2="HKD"), M25*$Z$14,
        ),
        0
    )
)</f>
        <v>2522.0846051938001</v>
      </c>
      <c r="T25" s="1" t="str">
        <f t="shared" si="3"/>
        <v>1</v>
      </c>
      <c r="U25" s="9" t="str">
        <f t="shared" si="4"/>
        <v>01</v>
      </c>
      <c r="V25" s="1" t="str">
        <f t="shared" si="5"/>
        <v>2023</v>
      </c>
      <c r="W25" s="18" t="str">
        <f t="shared" si="6"/>
        <v>星期日</v>
      </c>
    </row>
    <row r="26" spans="1:23">
      <c r="A26" s="17" t="s">
        <v>6</v>
      </c>
      <c r="B26" s="1" t="s">
        <v>348</v>
      </c>
      <c r="C26" s="9">
        <v>44927</v>
      </c>
      <c r="D26" s="1" t="s">
        <v>48</v>
      </c>
      <c r="E26" s="1" t="s">
        <v>155</v>
      </c>
      <c r="F26" s="1" t="s">
        <v>349</v>
      </c>
      <c r="H26" s="1" t="s">
        <v>347</v>
      </c>
      <c r="I26" s="1">
        <v>224.98524578000001</v>
      </c>
      <c r="J26" s="27">
        <v>11.21</v>
      </c>
      <c r="M26" s="24">
        <f t="shared" si="0"/>
        <v>2522.0846051938001</v>
      </c>
      <c r="N26" s="36">
        <f t="shared" si="1"/>
        <v>-2522.0846051938001</v>
      </c>
      <c r="O26" s="34">
        <f>IF(ISBLANK(A26),"",SUMIFS(I$3:I26,D$3:D26,D26,H$3:H26,"Buy")+SUMIFS(I$3:I26,D$3:D26,D26,H$3:H26,"Cash Deposit")+SUMIFS(I$3:I26,D$3:D26,D26,H$3:H26,"Crypto Deposit")+SUMIFS(I$3:I26,D$3:D26,D26,H$3:H26,"Airdrop/Rewards")-SUMIFS(I$3:I26,D$3:D26,D26,H$3:H26,"Sell"))</f>
        <v>388.91071578000003</v>
      </c>
      <c r="P26" s="2" cm="1">
        <f t="array" ref="P26">IF(ISBLANK(A26),"",IFERROR(IF(OR(H26="Sell",F26="Stable Coin"),INDEX(_xlfn._xlws.FILTER(P$2:P25, D$2:D25=D26),COUNT(_xlfn._xlws.FILTER(P$2:P25, D$2:D25=D26))),(INDEX(_xlfn._xlws.FILTER(P$2:P25, D$2:D25=D26),COUNT(_xlfn._xlws.FILTER(P$2:P25, D$2:D25=D26)))*INDEX(_xlfn._xlws.FILTER(O$2:O25, D$2:D25=D26),COUNT(_xlfn._xlws.FILTER(O$2:O25, D$2:D25=D26)))-N26) / O26), J26))</f>
        <v>7.8430661480134543</v>
      </c>
      <c r="Q26" s="1" t="str">
        <f t="shared" si="2"/>
        <v>USD</v>
      </c>
      <c r="R26" s="1" cm="1">
        <f t="array" ref="R26">IF(A26="", "",
    IFERROR(
        _xlfn.SWITCH(
            TRUE,
            AND(Q26="USD", $Q$2="USD"), K26,
            AND(Q26="USD", $Q$2="GBP"), K26*$Z$3,
            AND(Q26="USD", $Q$2="HKD"), K26*$Z$4,
            AND(Q26="USD", $Q$2="EUR"), K26*$Z$5,
            AND(Q26="GBP", $Q$2="GBP"), K26,
            AND(Q26="GBP", $Q$2="USD"), K26*$Z$6,
            AND(Q26="GBP", $Q$2="HKD"), K26*$Z$7,
            AND(Q26="HKG", $Q$2="HKG"), K26,
            AND(Q26="HKD", $Q$2="USD"), K26*$Z$9,
            AND(Q26="HKD", $Q$2="GBP"), K26*$Z$10,
            AND(Q26="HKD", $Q$2="EUR"), K26*$Z$11,
            AND(Q26="EUR", $Q$2="EUR"), K26,
            AND(Q26="EUR", $Q$2="USD"), K26*$Z$12,
            AND(Q26="EUR", $Q$2="GBP"), K26*$Z$13,
            AND(Q26="EUR", $Q$2="HKD"), K26*$Z$14,
        ),
        0
    )
)</f>
        <v>0</v>
      </c>
      <c r="S26" s="1" cm="1">
        <f t="array" ref="S26">IF(A26="", "",
    IFERROR(
        _xlfn.SWITCH(
            TRUE,
            AND(Q26="USD", $Q$2="USD"), M26,
            AND(Q26="USD", $Q$2="GBP"), M26*$Z$3,
            AND(Q26="USD", $Q$2="HKD"), M26*$Z$4,
            AND(Q26="USD", $Q$2="EUR"), M26*$Z$5,
            AND(Q26="GBP", $Q$2="GBP"), M26,
            AND(Q26="GBP", $Q$2="USD"), M26*$Z$6,
            AND(Q26="GBP", $Q$2="HKD"), M26*$Z$7,
            AND(Q26="GBP", $Q$2="HKD"), M26*$Z$8,
            AND(Q26="HKG", $Q$2="HKG"), M26,
            AND(Q26="HKD", $Q$2="USD"), M26*$Z$9,
            AND(Q26="HKD", $Q$2="GBP"), M26*$Z$10,
            AND(Q26="HKD", $Q$2="EUR"), M26*$Z$11,
            AND(Q26="EUR", $Q$2="EUR"), M26,
            AND(Q26="EUR", $Q$2="USD"), M26*$Z$12,
            AND(Q26="EUR", $Q$2="GBP"), M26*$Z$13,
            AND(Q26="EUR", $Q$2="HKD"), M26*$Z$14,
        ),
        0
    )
)</f>
        <v>2522.0846051938001</v>
      </c>
      <c r="T26" s="1" t="str">
        <f t="shared" si="3"/>
        <v>1</v>
      </c>
      <c r="U26" s="9" t="str">
        <f t="shared" si="4"/>
        <v>01</v>
      </c>
      <c r="V26" s="1" t="str">
        <f t="shared" si="5"/>
        <v>2023</v>
      </c>
      <c r="W26" s="18" t="str">
        <f t="shared" si="6"/>
        <v>星期日</v>
      </c>
    </row>
    <row r="27" spans="1:23">
      <c r="A27" s="17" t="s">
        <v>6</v>
      </c>
      <c r="B27" s="1" t="s">
        <v>348</v>
      </c>
      <c r="C27" s="9">
        <v>44927</v>
      </c>
      <c r="D27" s="1" t="s">
        <v>364</v>
      </c>
      <c r="E27" s="1" t="s">
        <v>114</v>
      </c>
      <c r="F27" s="1" t="s">
        <v>346</v>
      </c>
      <c r="H27" s="1" t="s">
        <v>367</v>
      </c>
      <c r="I27" s="1">
        <f>I28*J28</f>
        <v>290.39399764319995</v>
      </c>
      <c r="J27" s="27">
        <v>1</v>
      </c>
      <c r="M27" s="24">
        <f t="shared" si="0"/>
        <v>290.39399764319995</v>
      </c>
      <c r="N27" s="36">
        <f t="shared" si="1"/>
        <v>290.39399764319995</v>
      </c>
      <c r="O27" s="34">
        <f>IF(ISBLANK(A27),"",SUMIFS(I$3:I27,D$3:D27,D27,H$3:H27,"Buy")+SUMIFS(I$3:I27,D$3:D27,D27,H$3:H27,"Cash Deposit")+SUMIFS(I$3:I27,D$3:D27,D27,H$3:H27,"Crypto Deposit")+SUMIFS(I$3:I27,D$3:D27,D27,H$3:H27,"Airdrop/Rewards")-SUMIFS(I$3:I27,D$3:D27,D27,H$3:H27,"Sell"))</f>
        <v>7865.1635354662358</v>
      </c>
      <c r="P27" s="2" cm="1">
        <f t="array" ref="P27">IF(ISBLANK(A27),"",IFERROR(IF(OR(H27="Sell",F27="Stable Coin"),INDEX(_xlfn._xlws.FILTER(P$2:P26, D$2:D26=D27),COUNT(_xlfn._xlws.FILTER(P$2:P26, D$2:D26=D27))),(INDEX(_xlfn._xlws.FILTER(P$2:P26, D$2:D26=D27),COUNT(_xlfn._xlws.FILTER(P$2:P26, D$2:D26=D27)))*INDEX(_xlfn._xlws.FILTER(O$2:O26, D$2:D26=D27),COUNT(_xlfn._xlws.FILTER(O$2:O26, D$2:D26=D27)))-N27) / O27), J27))</f>
        <v>1</v>
      </c>
      <c r="Q27" s="1" t="str">
        <f t="shared" si="2"/>
        <v>USD</v>
      </c>
      <c r="R27" s="1" cm="1">
        <f t="array" ref="R27">IF(A27="", "",
    IFERROR(
        _xlfn.SWITCH(
            TRUE,
            AND(Q27="USD", $Q$2="USD"), K27,
            AND(Q27="USD", $Q$2="GBP"), K27*$Z$3,
            AND(Q27="USD", $Q$2="HKD"), K27*$Z$4,
            AND(Q27="USD", $Q$2="EUR"), K27*$Z$5,
            AND(Q27="GBP", $Q$2="GBP"), K27,
            AND(Q27="GBP", $Q$2="USD"), K27*$Z$6,
            AND(Q27="GBP", $Q$2="HKD"), K27*$Z$7,
            AND(Q27="HKG", $Q$2="HKG"), K27,
            AND(Q27="HKD", $Q$2="USD"), K27*$Z$9,
            AND(Q27="HKD", $Q$2="GBP"), K27*$Z$10,
            AND(Q27="HKD", $Q$2="EUR"), K27*$Z$11,
            AND(Q27="EUR", $Q$2="EUR"), K27,
            AND(Q27="EUR", $Q$2="USD"), K27*$Z$12,
            AND(Q27="EUR", $Q$2="GBP"), K27*$Z$13,
            AND(Q27="EUR", $Q$2="HKD"), K27*$Z$14,
        ),
        0
    )
)</f>
        <v>0</v>
      </c>
      <c r="S27" s="1" cm="1">
        <f t="array" ref="S27">IF(A27="", "",
    IFERROR(
        _xlfn.SWITCH(
            TRUE,
            AND(Q27="USD", $Q$2="USD"), M27,
            AND(Q27="USD", $Q$2="GBP"), M27*$Z$3,
            AND(Q27="USD", $Q$2="HKD"), M27*$Z$4,
            AND(Q27="USD", $Q$2="EUR"), M27*$Z$5,
            AND(Q27="GBP", $Q$2="GBP"), M27,
            AND(Q27="GBP", $Q$2="USD"), M27*$Z$6,
            AND(Q27="GBP", $Q$2="HKD"), M27*$Z$7,
            AND(Q27="GBP", $Q$2="HKD"), M27*$Z$8,
            AND(Q27="HKG", $Q$2="HKG"), M27,
            AND(Q27="HKD", $Q$2="USD"), M27*$Z$9,
            AND(Q27="HKD", $Q$2="GBP"), M27*$Z$10,
            AND(Q27="HKD", $Q$2="EUR"), M27*$Z$11,
            AND(Q27="EUR", $Q$2="EUR"), M27,
            AND(Q27="EUR", $Q$2="USD"), M27*$Z$12,
            AND(Q27="EUR", $Q$2="GBP"), M27*$Z$13,
            AND(Q27="EUR", $Q$2="HKD"), M27*$Z$14,
        ),
        0
    )
)</f>
        <v>290.39399764319995</v>
      </c>
      <c r="T27" s="1" t="str">
        <f t="shared" si="3"/>
        <v>1</v>
      </c>
      <c r="U27" s="9" t="str">
        <f t="shared" si="4"/>
        <v>01</v>
      </c>
      <c r="V27" s="1" t="str">
        <f t="shared" si="5"/>
        <v>2023</v>
      </c>
      <c r="W27" s="18" t="str">
        <f t="shared" si="6"/>
        <v>星期日</v>
      </c>
    </row>
    <row r="28" spans="1:23">
      <c r="A28" s="17" t="s">
        <v>6</v>
      </c>
      <c r="B28" s="1" t="s">
        <v>348</v>
      </c>
      <c r="C28" s="9">
        <v>44927</v>
      </c>
      <c r="D28" s="1" t="s">
        <v>7</v>
      </c>
      <c r="E28" s="1" t="s">
        <v>37</v>
      </c>
      <c r="F28" s="1" t="s">
        <v>349</v>
      </c>
      <c r="H28" s="1" t="s">
        <v>347</v>
      </c>
      <c r="I28" s="1">
        <v>5.1161733199999997</v>
      </c>
      <c r="J28" s="27">
        <v>56.76</v>
      </c>
      <c r="M28" s="24">
        <f t="shared" si="0"/>
        <v>290.39399764319995</v>
      </c>
      <c r="N28" s="36">
        <f t="shared" si="1"/>
        <v>-290.39399764319995</v>
      </c>
      <c r="O28" s="34">
        <f>IF(ISBLANK(A28),"",SUMIFS(I$3:I28,D$3:D28,D28,H$3:H28,"Buy")+SUMIFS(I$3:I28,D$3:D28,D28,H$3:H28,"Cash Deposit")+SUMIFS(I$3:I28,D$3:D28,D28,H$3:H28,"Crypto Deposit")+SUMIFS(I$3:I28,D$3:D28,D28,H$3:H28,"Airdrop/Rewards")-SUMIFS(I$3:I28,D$3:D28,D28,H$3:H28,"Sell"))</f>
        <v>5.1161733199999997</v>
      </c>
      <c r="P28" s="2" cm="1">
        <f t="array" ref="P28">IF(ISBLANK(A28),"",IFERROR(IF(OR(H28="Sell",F28="Stable Coin"),INDEX(_xlfn._xlws.FILTER(P$2:P27, D$2:D27=D28),COUNT(_xlfn._xlws.FILTER(P$2:P27, D$2:D27=D28))),(INDEX(_xlfn._xlws.FILTER(P$2:P27, D$2:D27=D28),COUNT(_xlfn._xlws.FILTER(P$2:P27, D$2:D27=D28)))*INDEX(_xlfn._xlws.FILTER(O$2:O27, D$2:D27=D28),COUNT(_xlfn._xlws.FILTER(O$2:O27, D$2:D27=D28)))-N28) / O28), J28))</f>
        <v>56.76</v>
      </c>
      <c r="Q28" s="1" t="str">
        <f t="shared" si="2"/>
        <v>USD</v>
      </c>
      <c r="R28" s="1" cm="1">
        <f t="array" ref="R28">IF(A28="", "",
    IFERROR(
        _xlfn.SWITCH(
            TRUE,
            AND(Q28="USD", $Q$2="USD"), K28,
            AND(Q28="USD", $Q$2="GBP"), K28*$Z$3,
            AND(Q28="USD", $Q$2="HKD"), K28*$Z$4,
            AND(Q28="USD", $Q$2="EUR"), K28*$Z$5,
            AND(Q28="GBP", $Q$2="GBP"), K28,
            AND(Q28="GBP", $Q$2="USD"), K28*$Z$6,
            AND(Q28="GBP", $Q$2="HKD"), K28*$Z$7,
            AND(Q28="HKG", $Q$2="HKG"), K28,
            AND(Q28="HKD", $Q$2="USD"), K28*$Z$9,
            AND(Q28="HKD", $Q$2="GBP"), K28*$Z$10,
            AND(Q28="HKD", $Q$2="EUR"), K28*$Z$11,
            AND(Q28="EUR", $Q$2="EUR"), K28,
            AND(Q28="EUR", $Q$2="USD"), K28*$Z$12,
            AND(Q28="EUR", $Q$2="GBP"), K28*$Z$13,
            AND(Q28="EUR", $Q$2="HKD"), K28*$Z$14,
        ),
        0
    )
)</f>
        <v>0</v>
      </c>
      <c r="S28" s="1" cm="1">
        <f t="array" ref="S28">IF(A28="", "",
    IFERROR(
        _xlfn.SWITCH(
            TRUE,
            AND(Q28="USD", $Q$2="USD"), M28,
            AND(Q28="USD", $Q$2="GBP"), M28*$Z$3,
            AND(Q28="USD", $Q$2="HKD"), M28*$Z$4,
            AND(Q28="USD", $Q$2="EUR"), M28*$Z$5,
            AND(Q28="GBP", $Q$2="GBP"), M28,
            AND(Q28="GBP", $Q$2="USD"), M28*$Z$6,
            AND(Q28="GBP", $Q$2="HKD"), M28*$Z$7,
            AND(Q28="GBP", $Q$2="HKD"), M28*$Z$8,
            AND(Q28="HKG", $Q$2="HKG"), M28,
            AND(Q28="HKD", $Q$2="USD"), M28*$Z$9,
            AND(Q28="HKD", $Q$2="GBP"), M28*$Z$10,
            AND(Q28="HKD", $Q$2="EUR"), M28*$Z$11,
            AND(Q28="EUR", $Q$2="EUR"), M28,
            AND(Q28="EUR", $Q$2="USD"), M28*$Z$12,
            AND(Q28="EUR", $Q$2="GBP"), M28*$Z$13,
            AND(Q28="EUR", $Q$2="HKD"), M28*$Z$14,
        ),
        0
    )
)</f>
        <v>290.39399764319995</v>
      </c>
      <c r="T28" s="1" t="str">
        <f t="shared" si="3"/>
        <v>1</v>
      </c>
      <c r="U28" s="9" t="str">
        <f t="shared" si="4"/>
        <v>01</v>
      </c>
      <c r="V28" s="1" t="str">
        <f t="shared" si="5"/>
        <v>2023</v>
      </c>
      <c r="W28" s="18" t="str">
        <f t="shared" si="6"/>
        <v>星期日</v>
      </c>
    </row>
    <row r="29" spans="1:23">
      <c r="A29" s="17" t="s">
        <v>6</v>
      </c>
      <c r="B29" s="1" t="s">
        <v>348</v>
      </c>
      <c r="C29" s="9">
        <v>44927</v>
      </c>
      <c r="D29" s="1" t="s">
        <v>364</v>
      </c>
      <c r="E29" s="1" t="s">
        <v>114</v>
      </c>
      <c r="F29" s="1" t="s">
        <v>346</v>
      </c>
      <c r="H29" s="1" t="s">
        <v>367</v>
      </c>
      <c r="I29" s="1">
        <f>I30*J30</f>
        <v>414.73052000000001</v>
      </c>
      <c r="J29" s="27">
        <v>1</v>
      </c>
      <c r="M29" s="24">
        <f t="shared" si="0"/>
        <v>414.73052000000001</v>
      </c>
      <c r="N29" s="36">
        <f t="shared" si="1"/>
        <v>414.73052000000001</v>
      </c>
      <c r="O29" s="34">
        <f>IF(ISBLANK(A29),"",SUMIFS(I$3:I29,D$3:D29,D29,H$3:H29,"Buy")+SUMIFS(I$3:I29,D$3:D29,D29,H$3:H29,"Cash Deposit")+SUMIFS(I$3:I29,D$3:D29,D29,H$3:H29,"Crypto Deposit")+SUMIFS(I$3:I29,D$3:D29,D29,H$3:H29,"Airdrop/Rewards")-SUMIFS(I$3:I29,D$3:D29,D29,H$3:H29,"Sell"))</f>
        <v>7450.4330154662348</v>
      </c>
      <c r="P29" s="2" cm="1">
        <f t="array" ref="P29">IF(ISBLANK(A29),"",IFERROR(IF(OR(H29="Sell",F29="Stable Coin"),INDEX(_xlfn._xlws.FILTER(P$2:P28, D$2:D28=D29),COUNT(_xlfn._xlws.FILTER(P$2:P28, D$2:D28=D29))),(INDEX(_xlfn._xlws.FILTER(P$2:P28, D$2:D28=D29),COUNT(_xlfn._xlws.FILTER(P$2:P28, D$2:D28=D29)))*INDEX(_xlfn._xlws.FILTER(O$2:O28, D$2:D28=D29),COUNT(_xlfn._xlws.FILTER(O$2:O28, D$2:D28=D29)))-N29) / O29), J29))</f>
        <v>1</v>
      </c>
      <c r="Q29" s="1" t="str">
        <f t="shared" si="2"/>
        <v>USD</v>
      </c>
      <c r="R29" s="1" cm="1">
        <f t="array" ref="R29">IF(A29="", "",
    IFERROR(
        _xlfn.SWITCH(
            TRUE,
            AND(Q29="USD", $Q$2="USD"), K29,
            AND(Q29="USD", $Q$2="GBP"), K29*$Z$3,
            AND(Q29="USD", $Q$2="HKD"), K29*$Z$4,
            AND(Q29="USD", $Q$2="EUR"), K29*$Z$5,
            AND(Q29="GBP", $Q$2="GBP"), K29,
            AND(Q29="GBP", $Q$2="USD"), K29*$Z$6,
            AND(Q29="GBP", $Q$2="HKD"), K29*$Z$7,
            AND(Q29="HKG", $Q$2="HKG"), K29,
            AND(Q29="HKD", $Q$2="USD"), K29*$Z$9,
            AND(Q29="HKD", $Q$2="GBP"), K29*$Z$10,
            AND(Q29="HKD", $Q$2="EUR"), K29*$Z$11,
            AND(Q29="EUR", $Q$2="EUR"), K29,
            AND(Q29="EUR", $Q$2="USD"), K29*$Z$12,
            AND(Q29="EUR", $Q$2="GBP"), K29*$Z$13,
            AND(Q29="EUR", $Q$2="HKD"), K29*$Z$14,
        ),
        0
    )
)</f>
        <v>0</v>
      </c>
      <c r="S29" s="1" cm="1">
        <f t="array" ref="S29">IF(A29="", "",
    IFERROR(
        _xlfn.SWITCH(
            TRUE,
            AND(Q29="USD", $Q$2="USD"), M29,
            AND(Q29="USD", $Q$2="GBP"), M29*$Z$3,
            AND(Q29="USD", $Q$2="HKD"), M29*$Z$4,
            AND(Q29="USD", $Q$2="EUR"), M29*$Z$5,
            AND(Q29="GBP", $Q$2="GBP"), M29,
            AND(Q29="GBP", $Q$2="USD"), M29*$Z$6,
            AND(Q29="GBP", $Q$2="HKD"), M29*$Z$7,
            AND(Q29="GBP", $Q$2="HKD"), M29*$Z$8,
            AND(Q29="HKG", $Q$2="HKG"), M29,
            AND(Q29="HKD", $Q$2="USD"), M29*$Z$9,
            AND(Q29="HKD", $Q$2="GBP"), M29*$Z$10,
            AND(Q29="HKD", $Q$2="EUR"), M29*$Z$11,
            AND(Q29="EUR", $Q$2="EUR"), M29,
            AND(Q29="EUR", $Q$2="USD"), M29*$Z$12,
            AND(Q29="EUR", $Q$2="GBP"), M29*$Z$13,
            AND(Q29="EUR", $Q$2="HKD"), M29*$Z$14,
        ),
        0
    )
)</f>
        <v>414.73052000000001</v>
      </c>
      <c r="T29" s="1" t="str">
        <f t="shared" si="3"/>
        <v>1</v>
      </c>
      <c r="U29" s="9" t="str">
        <f t="shared" si="4"/>
        <v>01</v>
      </c>
      <c r="V29" s="1" t="str">
        <f t="shared" si="5"/>
        <v>2023</v>
      </c>
      <c r="W29" s="18" t="str">
        <f t="shared" si="6"/>
        <v>星期日</v>
      </c>
    </row>
    <row r="30" spans="1:23">
      <c r="A30" s="17" t="s">
        <v>6</v>
      </c>
      <c r="B30" s="1" t="s">
        <v>348</v>
      </c>
      <c r="C30" s="9">
        <v>44927</v>
      </c>
      <c r="D30" s="1" t="s">
        <v>51</v>
      </c>
      <c r="E30" s="1" t="s">
        <v>40</v>
      </c>
      <c r="F30" s="1" t="s">
        <v>349</v>
      </c>
      <c r="H30" s="1" t="s">
        <v>347</v>
      </c>
      <c r="I30" s="1">
        <v>2000</v>
      </c>
      <c r="J30" s="27">
        <v>0.20736526</v>
      </c>
      <c r="M30" s="24">
        <f t="shared" si="0"/>
        <v>414.73052000000001</v>
      </c>
      <c r="N30" s="36">
        <f t="shared" si="1"/>
        <v>-414.73052000000001</v>
      </c>
      <c r="O30" s="34">
        <f>IF(ISBLANK(A30),"",SUMIFS(I$3:I30,D$3:D30,D30,H$3:H30,"Buy")+SUMIFS(I$3:I30,D$3:D30,D30,H$3:H30,"Cash Deposit")+SUMIFS(I$3:I30,D$3:D30,D30,H$3:H30,"Crypto Deposit")+SUMIFS(I$3:I30,D$3:D30,D30,H$3:H30,"Airdrop/Rewards")-SUMIFS(I$3:I30,D$3:D30,D30,H$3:H30,"Sell"))</f>
        <v>2000</v>
      </c>
      <c r="P30" s="2" cm="1">
        <f t="array" ref="P30">IF(ISBLANK(A30),"",IFERROR(IF(OR(H30="Sell",F30="Stable Coin"),INDEX(_xlfn._xlws.FILTER(P$2:P29, D$2:D29=D30),COUNT(_xlfn._xlws.FILTER(P$2:P29, D$2:D29=D30))),(INDEX(_xlfn._xlws.FILTER(P$2:P29, D$2:D29=D30),COUNT(_xlfn._xlws.FILTER(P$2:P29, D$2:D29=D30)))*INDEX(_xlfn._xlws.FILTER(O$2:O29, D$2:D29=D30),COUNT(_xlfn._xlws.FILTER(O$2:O29, D$2:D29=D30)))-N30) / O30), J30))</f>
        <v>0.20736526</v>
      </c>
      <c r="Q30" s="1" t="str">
        <f t="shared" si="2"/>
        <v>USD</v>
      </c>
      <c r="R30" s="1" cm="1">
        <f t="array" ref="R30">IF(A30="", "",
    IFERROR(
        _xlfn.SWITCH(
            TRUE,
            AND(Q30="USD", $Q$2="USD"), K30,
            AND(Q30="USD", $Q$2="GBP"), K30*$Z$3,
            AND(Q30="USD", $Q$2="HKD"), K30*$Z$4,
            AND(Q30="USD", $Q$2="EUR"), K30*$Z$5,
            AND(Q30="GBP", $Q$2="GBP"), K30,
            AND(Q30="GBP", $Q$2="USD"), K30*$Z$6,
            AND(Q30="GBP", $Q$2="HKD"), K30*$Z$7,
            AND(Q30="HKG", $Q$2="HKG"), K30,
            AND(Q30="HKD", $Q$2="USD"), K30*$Z$9,
            AND(Q30="HKD", $Q$2="GBP"), K30*$Z$10,
            AND(Q30="HKD", $Q$2="EUR"), K30*$Z$11,
            AND(Q30="EUR", $Q$2="EUR"), K30,
            AND(Q30="EUR", $Q$2="USD"), K30*$Z$12,
            AND(Q30="EUR", $Q$2="GBP"), K30*$Z$13,
            AND(Q30="EUR", $Q$2="HKD"), K30*$Z$14,
        ),
        0
    )
)</f>
        <v>0</v>
      </c>
      <c r="S30" s="1" cm="1">
        <f t="array" ref="S30">IF(A30="", "",
    IFERROR(
        _xlfn.SWITCH(
            TRUE,
            AND(Q30="USD", $Q$2="USD"), M30,
            AND(Q30="USD", $Q$2="GBP"), M30*$Z$3,
            AND(Q30="USD", $Q$2="HKD"), M30*$Z$4,
            AND(Q30="USD", $Q$2="EUR"), M30*$Z$5,
            AND(Q30="GBP", $Q$2="GBP"), M30,
            AND(Q30="GBP", $Q$2="USD"), M30*$Z$6,
            AND(Q30="GBP", $Q$2="HKD"), M30*$Z$7,
            AND(Q30="GBP", $Q$2="HKD"), M30*$Z$8,
            AND(Q30="HKG", $Q$2="HKG"), M30,
            AND(Q30="HKD", $Q$2="USD"), M30*$Z$9,
            AND(Q30="HKD", $Q$2="GBP"), M30*$Z$10,
            AND(Q30="HKD", $Q$2="EUR"), M30*$Z$11,
            AND(Q30="EUR", $Q$2="EUR"), M30,
            AND(Q30="EUR", $Q$2="USD"), M30*$Z$12,
            AND(Q30="EUR", $Q$2="GBP"), M30*$Z$13,
            AND(Q30="EUR", $Q$2="HKD"), M30*$Z$14,
        ),
        0
    )
)</f>
        <v>414.73052000000001</v>
      </c>
      <c r="T30" s="1" t="str">
        <f t="shared" si="3"/>
        <v>1</v>
      </c>
      <c r="U30" s="9" t="str">
        <f t="shared" si="4"/>
        <v>01</v>
      </c>
      <c r="V30" s="1" t="str">
        <f t="shared" si="5"/>
        <v>2023</v>
      </c>
      <c r="W30" s="18" t="str">
        <f t="shared" si="6"/>
        <v>星期日</v>
      </c>
    </row>
    <row r="31" spans="1:23">
      <c r="A31" s="17" t="s">
        <v>6</v>
      </c>
      <c r="B31" s="1" t="s">
        <v>348</v>
      </c>
      <c r="C31" s="9">
        <v>44927</v>
      </c>
      <c r="D31" s="1" t="s">
        <v>364</v>
      </c>
      <c r="E31" s="1" t="s">
        <v>114</v>
      </c>
      <c r="F31" s="1" t="s">
        <v>346</v>
      </c>
      <c r="H31" s="1" t="s">
        <v>367</v>
      </c>
      <c r="I31" s="1">
        <f>I32*J32</f>
        <v>227.99999999999997</v>
      </c>
      <c r="J31" s="27">
        <v>1</v>
      </c>
      <c r="M31" s="24">
        <f t="shared" si="0"/>
        <v>227.99999999999997</v>
      </c>
      <c r="N31" s="36">
        <f t="shared" si="1"/>
        <v>227.99999999999997</v>
      </c>
      <c r="O31" s="34">
        <f>IF(ISBLANK(A31),"",SUMIFS(I$3:I31,D$3:D31,D31,H$3:H31,"Buy")+SUMIFS(I$3:I31,D$3:D31,D31,H$3:H31,"Cash Deposit")+SUMIFS(I$3:I31,D$3:D31,D31,H$3:H31,"Crypto Deposit")+SUMIFS(I$3:I31,D$3:D31,D31,H$3:H31,"Airdrop/Rewards")-SUMIFS(I$3:I31,D$3:D31,D31,H$3:H31,"Sell"))</f>
        <v>7222.4330154662348</v>
      </c>
      <c r="P31" s="2" cm="1">
        <f t="array" ref="P31">IF(ISBLANK(A31),"",IFERROR(IF(OR(H31="Sell",F31="Stable Coin"),INDEX(_xlfn._xlws.FILTER(P$2:P30, D$2:D30=D31),COUNT(_xlfn._xlws.FILTER(P$2:P30, D$2:D30=D31))),(INDEX(_xlfn._xlws.FILTER(P$2:P30, D$2:D30=D31),COUNT(_xlfn._xlws.FILTER(P$2:P30, D$2:D30=D31)))*INDEX(_xlfn._xlws.FILTER(O$2:O30, D$2:D30=D31),COUNT(_xlfn._xlws.FILTER(O$2:O30, D$2:D30=D31)))-N31) / O31), J31))</f>
        <v>1</v>
      </c>
      <c r="Q31" s="1" t="str">
        <f t="shared" si="2"/>
        <v>USD</v>
      </c>
      <c r="R31" s="1" cm="1">
        <f t="array" ref="R31">IF(A31="", "",
    IFERROR(
        _xlfn.SWITCH(
            TRUE,
            AND(Q31="USD", $Q$2="USD"), K31,
            AND(Q31="USD", $Q$2="GBP"), K31*$Z$3,
            AND(Q31="USD", $Q$2="HKD"), K31*$Z$4,
            AND(Q31="USD", $Q$2="EUR"), K31*$Z$5,
            AND(Q31="GBP", $Q$2="GBP"), K31,
            AND(Q31="GBP", $Q$2="USD"), K31*$Z$6,
            AND(Q31="GBP", $Q$2="HKD"), K31*$Z$7,
            AND(Q31="HKG", $Q$2="HKG"), K31,
            AND(Q31="HKD", $Q$2="USD"), K31*$Z$9,
            AND(Q31="HKD", $Q$2="GBP"), K31*$Z$10,
            AND(Q31="HKD", $Q$2="EUR"), K31*$Z$11,
            AND(Q31="EUR", $Q$2="EUR"), K31,
            AND(Q31="EUR", $Q$2="USD"), K31*$Z$12,
            AND(Q31="EUR", $Q$2="GBP"), K31*$Z$13,
            AND(Q31="EUR", $Q$2="HKD"), K31*$Z$14,
        ),
        0
    )
)</f>
        <v>0</v>
      </c>
      <c r="S31" s="1" cm="1">
        <f t="array" ref="S31">IF(A31="", "",
    IFERROR(
        _xlfn.SWITCH(
            TRUE,
            AND(Q31="USD", $Q$2="USD"), M31,
            AND(Q31="USD", $Q$2="GBP"), M31*$Z$3,
            AND(Q31="USD", $Q$2="HKD"), M31*$Z$4,
            AND(Q31="USD", $Q$2="EUR"), M31*$Z$5,
            AND(Q31="GBP", $Q$2="GBP"), M31,
            AND(Q31="GBP", $Q$2="USD"), M31*$Z$6,
            AND(Q31="GBP", $Q$2="HKD"), M31*$Z$7,
            AND(Q31="GBP", $Q$2="HKD"), M31*$Z$8,
            AND(Q31="HKG", $Q$2="HKG"), M31,
            AND(Q31="HKD", $Q$2="USD"), M31*$Z$9,
            AND(Q31="HKD", $Q$2="GBP"), M31*$Z$10,
            AND(Q31="HKD", $Q$2="EUR"), M31*$Z$11,
            AND(Q31="EUR", $Q$2="EUR"), M31,
            AND(Q31="EUR", $Q$2="USD"), M31*$Z$12,
            AND(Q31="EUR", $Q$2="GBP"), M31*$Z$13,
            AND(Q31="EUR", $Q$2="HKD"), M31*$Z$14,
        ),
        0
    )
)</f>
        <v>227.99999999999997</v>
      </c>
      <c r="T31" s="1" t="str">
        <f t="shared" si="3"/>
        <v>1</v>
      </c>
      <c r="U31" s="9" t="str">
        <f t="shared" si="4"/>
        <v>01</v>
      </c>
      <c r="V31" s="1" t="str">
        <f t="shared" si="5"/>
        <v>2023</v>
      </c>
      <c r="W31" s="18" t="str">
        <f t="shared" si="6"/>
        <v>星期日</v>
      </c>
    </row>
    <row r="32" spans="1:23">
      <c r="A32" s="17" t="s">
        <v>6</v>
      </c>
      <c r="B32" s="1" t="s">
        <v>348</v>
      </c>
      <c r="C32" s="9">
        <v>44927</v>
      </c>
      <c r="D32" s="1" t="s">
        <v>50</v>
      </c>
      <c r="E32" s="1" t="s">
        <v>39</v>
      </c>
      <c r="F32" s="1" t="s">
        <v>349</v>
      </c>
      <c r="H32" s="1" t="s">
        <v>347</v>
      </c>
      <c r="I32" s="1">
        <v>200</v>
      </c>
      <c r="J32" s="27">
        <v>1.1399999999999999</v>
      </c>
      <c r="M32" s="24">
        <f t="shared" si="0"/>
        <v>227.99999999999997</v>
      </c>
      <c r="N32" s="36">
        <f t="shared" si="1"/>
        <v>-227.99999999999997</v>
      </c>
      <c r="O32" s="34">
        <f>IF(ISBLANK(A32),"",SUMIFS(I$3:I32,D$3:D32,D32,H$3:H32,"Buy")+SUMIFS(I$3:I32,D$3:D32,D32,H$3:H32,"Cash Deposit")+SUMIFS(I$3:I32,D$3:D32,D32,H$3:H32,"Crypto Deposit")+SUMIFS(I$3:I32,D$3:D32,D32,H$3:H32,"Airdrop/Rewards")-SUMIFS(I$3:I32,D$3:D32,D32,H$3:H32,"Sell"))</f>
        <v>200</v>
      </c>
      <c r="P32" s="2" cm="1">
        <f t="array" ref="P32">IF(ISBLANK(A32),"",IFERROR(IF(OR(H32="Sell",F32="Stable Coin"),INDEX(_xlfn._xlws.FILTER(P$2:P31, D$2:D31=D32),COUNT(_xlfn._xlws.FILTER(P$2:P31, D$2:D31=D32))),(INDEX(_xlfn._xlws.FILTER(P$2:P31, D$2:D31=D32),COUNT(_xlfn._xlws.FILTER(P$2:P31, D$2:D31=D32)))*INDEX(_xlfn._xlws.FILTER(O$2:O31, D$2:D31=D32),COUNT(_xlfn._xlws.FILTER(O$2:O31, D$2:D31=D32)))-N32) / O32), J32))</f>
        <v>1.1399999999999999</v>
      </c>
      <c r="Q32" s="1" t="str">
        <f t="shared" si="2"/>
        <v>USD</v>
      </c>
      <c r="R32" s="1" cm="1">
        <f t="array" ref="R32">IF(A32="", "",
    IFERROR(
        _xlfn.SWITCH(
            TRUE,
            AND(Q32="USD", $Q$2="USD"), K32,
            AND(Q32="USD", $Q$2="GBP"), K32*$Z$3,
            AND(Q32="USD", $Q$2="HKD"), K32*$Z$4,
            AND(Q32="USD", $Q$2="EUR"), K32*$Z$5,
            AND(Q32="GBP", $Q$2="GBP"), K32,
            AND(Q32="GBP", $Q$2="USD"), K32*$Z$6,
            AND(Q32="GBP", $Q$2="HKD"), K32*$Z$7,
            AND(Q32="HKG", $Q$2="HKG"), K32,
            AND(Q32="HKD", $Q$2="USD"), K32*$Z$9,
            AND(Q32="HKD", $Q$2="GBP"), K32*$Z$10,
            AND(Q32="HKD", $Q$2="EUR"), K32*$Z$11,
            AND(Q32="EUR", $Q$2="EUR"), K32,
            AND(Q32="EUR", $Q$2="USD"), K32*$Z$12,
            AND(Q32="EUR", $Q$2="GBP"), K32*$Z$13,
            AND(Q32="EUR", $Q$2="HKD"), K32*$Z$14,
        ),
        0
    )
)</f>
        <v>0</v>
      </c>
      <c r="S32" s="1" cm="1">
        <f t="array" ref="S32">IF(A32="", "",
    IFERROR(
        _xlfn.SWITCH(
            TRUE,
            AND(Q32="USD", $Q$2="USD"), M32,
            AND(Q32="USD", $Q$2="GBP"), M32*$Z$3,
            AND(Q32="USD", $Q$2="HKD"), M32*$Z$4,
            AND(Q32="USD", $Q$2="EUR"), M32*$Z$5,
            AND(Q32="GBP", $Q$2="GBP"), M32,
            AND(Q32="GBP", $Q$2="USD"), M32*$Z$6,
            AND(Q32="GBP", $Q$2="HKD"), M32*$Z$7,
            AND(Q32="GBP", $Q$2="HKD"), M32*$Z$8,
            AND(Q32="HKG", $Q$2="HKG"), M32,
            AND(Q32="HKD", $Q$2="USD"), M32*$Z$9,
            AND(Q32="HKD", $Q$2="GBP"), M32*$Z$10,
            AND(Q32="HKD", $Q$2="EUR"), M32*$Z$11,
            AND(Q32="EUR", $Q$2="EUR"), M32,
            AND(Q32="EUR", $Q$2="USD"), M32*$Z$12,
            AND(Q32="EUR", $Q$2="GBP"), M32*$Z$13,
            AND(Q32="EUR", $Q$2="HKD"), M32*$Z$14,
        ),
        0
    )
)</f>
        <v>227.99999999999997</v>
      </c>
      <c r="T32" s="1" t="str">
        <f t="shared" si="3"/>
        <v>1</v>
      </c>
      <c r="U32" s="9" t="str">
        <f t="shared" si="4"/>
        <v>01</v>
      </c>
      <c r="V32" s="1" t="str">
        <f t="shared" si="5"/>
        <v>2023</v>
      </c>
      <c r="W32" s="18" t="str">
        <f t="shared" si="6"/>
        <v>星期日</v>
      </c>
    </row>
    <row r="33" spans="1:23">
      <c r="A33" s="17" t="s">
        <v>6</v>
      </c>
      <c r="B33" s="1" t="s">
        <v>348</v>
      </c>
      <c r="C33" s="9">
        <v>44927</v>
      </c>
      <c r="D33" s="1" t="s">
        <v>364</v>
      </c>
      <c r="E33" s="1" t="s">
        <v>114</v>
      </c>
      <c r="F33" s="1" t="s">
        <v>346</v>
      </c>
      <c r="H33" s="1" t="s">
        <v>367</v>
      </c>
      <c r="I33" s="1">
        <f>I34*J34</f>
        <v>440.87108657905441</v>
      </c>
      <c r="J33" s="27">
        <v>1</v>
      </c>
      <c r="M33" s="24">
        <f t="shared" si="0"/>
        <v>440.87108657905441</v>
      </c>
      <c r="N33" s="36">
        <f t="shared" si="1"/>
        <v>440.87108657905441</v>
      </c>
      <c r="O33" s="34">
        <f>IF(ISBLANK(A33),"",SUMIFS(I$3:I33,D$3:D33,D33,H$3:H33,"Buy")+SUMIFS(I$3:I33,D$3:D33,D33,H$3:H33,"Cash Deposit")+SUMIFS(I$3:I33,D$3:D33,D33,H$3:H33,"Crypto Deposit")+SUMIFS(I$3:I33,D$3:D33,D33,H$3:H33,"Airdrop/Rewards")-SUMIFS(I$3:I33,D$3:D33,D33,H$3:H33,"Sell"))</f>
        <v>6781.5619288871821</v>
      </c>
      <c r="P33" s="2" cm="1">
        <f t="array" ref="P33">IF(ISBLANK(A33),"",IFERROR(IF(OR(H33="Sell",F33="Stable Coin"),INDEX(_xlfn._xlws.FILTER(P$2:P32, D$2:D32=D33),COUNT(_xlfn._xlws.FILTER(P$2:P32, D$2:D32=D33))),(INDEX(_xlfn._xlws.FILTER(P$2:P32, D$2:D32=D33),COUNT(_xlfn._xlws.FILTER(P$2:P32, D$2:D32=D33)))*INDEX(_xlfn._xlws.FILTER(O$2:O32, D$2:D32=D33),COUNT(_xlfn._xlws.FILTER(O$2:O32, D$2:D32=D33)))-N33) / O33), J33))</f>
        <v>1</v>
      </c>
      <c r="Q33" s="1" t="str">
        <f t="shared" si="2"/>
        <v>USD</v>
      </c>
      <c r="R33" s="1" cm="1">
        <f t="array" ref="R33">IF(A33="", "",
    IFERROR(
        _xlfn.SWITCH(
            TRUE,
            AND(Q33="USD", $Q$2="USD"), K33,
            AND(Q33="USD", $Q$2="GBP"), K33*$Z$3,
            AND(Q33="USD", $Q$2="HKD"), K33*$Z$4,
            AND(Q33="USD", $Q$2="EUR"), K33*$Z$5,
            AND(Q33="GBP", $Q$2="GBP"), K33,
            AND(Q33="GBP", $Q$2="USD"), K33*$Z$6,
            AND(Q33="GBP", $Q$2="HKD"), K33*$Z$7,
            AND(Q33="HKG", $Q$2="HKG"), K33,
            AND(Q33="HKD", $Q$2="USD"), K33*$Z$9,
            AND(Q33="HKD", $Q$2="GBP"), K33*$Z$10,
            AND(Q33="HKD", $Q$2="EUR"), K33*$Z$11,
            AND(Q33="EUR", $Q$2="EUR"), K33,
            AND(Q33="EUR", $Q$2="USD"), K33*$Z$12,
            AND(Q33="EUR", $Q$2="GBP"), K33*$Z$13,
            AND(Q33="EUR", $Q$2="HKD"), K33*$Z$14,
        ),
        0
    )
)</f>
        <v>0</v>
      </c>
      <c r="S33" s="1" cm="1">
        <f t="array" ref="S33">IF(A33="", "",
    IFERROR(
        _xlfn.SWITCH(
            TRUE,
            AND(Q33="USD", $Q$2="USD"), M33,
            AND(Q33="USD", $Q$2="GBP"), M33*$Z$3,
            AND(Q33="USD", $Q$2="HKD"), M33*$Z$4,
            AND(Q33="USD", $Q$2="EUR"), M33*$Z$5,
            AND(Q33="GBP", $Q$2="GBP"), M33,
            AND(Q33="GBP", $Q$2="USD"), M33*$Z$6,
            AND(Q33="GBP", $Q$2="HKD"), M33*$Z$7,
            AND(Q33="GBP", $Q$2="HKD"), M33*$Z$8,
            AND(Q33="HKG", $Q$2="HKG"), M33,
            AND(Q33="HKD", $Q$2="USD"), M33*$Z$9,
            AND(Q33="HKD", $Q$2="GBP"), M33*$Z$10,
            AND(Q33="HKD", $Q$2="EUR"), M33*$Z$11,
            AND(Q33="EUR", $Q$2="EUR"), M33,
            AND(Q33="EUR", $Q$2="USD"), M33*$Z$12,
            AND(Q33="EUR", $Q$2="GBP"), M33*$Z$13,
            AND(Q33="EUR", $Q$2="HKD"), M33*$Z$14,
        ),
        0
    )
)</f>
        <v>440.87108657905441</v>
      </c>
      <c r="T33" s="1" t="str">
        <f t="shared" si="3"/>
        <v>1</v>
      </c>
      <c r="U33" s="9" t="str">
        <f t="shared" si="4"/>
        <v>01</v>
      </c>
      <c r="V33" s="1" t="str">
        <f t="shared" si="5"/>
        <v>2023</v>
      </c>
      <c r="W33" s="18" t="str">
        <f t="shared" si="6"/>
        <v>星期日</v>
      </c>
    </row>
    <row r="34" spans="1:23">
      <c r="A34" s="17" t="s">
        <v>6</v>
      </c>
      <c r="B34" s="1" t="s">
        <v>348</v>
      </c>
      <c r="C34" s="9">
        <v>44927</v>
      </c>
      <c r="D34" s="1" t="s">
        <v>8</v>
      </c>
      <c r="E34" s="1" t="s">
        <v>283</v>
      </c>
      <c r="F34" s="1" t="s">
        <v>349</v>
      </c>
      <c r="H34" s="1" t="s">
        <v>347</v>
      </c>
      <c r="I34" s="1">
        <v>543.56054468000002</v>
      </c>
      <c r="J34" s="27">
        <v>0.81108000000000002</v>
      </c>
      <c r="M34" s="24">
        <f t="shared" si="0"/>
        <v>440.87108657905441</v>
      </c>
      <c r="N34" s="36">
        <f t="shared" si="1"/>
        <v>-440.87108657905441</v>
      </c>
      <c r="O34" s="34">
        <f>IF(ISBLANK(A34),"",SUMIFS(I$3:I34,D$3:D34,D34,H$3:H34,"Buy")+SUMIFS(I$3:I34,D$3:D34,D34,H$3:H34,"Cash Deposit")+SUMIFS(I$3:I34,D$3:D34,D34,H$3:H34,"Crypto Deposit")+SUMIFS(I$3:I34,D$3:D34,D34,H$3:H34,"Airdrop/Rewards")-SUMIFS(I$3:I34,D$3:D34,D34,H$3:H34,"Sell"))</f>
        <v>543.56054468000002</v>
      </c>
      <c r="P34" s="2" cm="1">
        <f t="array" ref="P34">IF(ISBLANK(A34),"",IFERROR(IF(OR(H34="Sell",F34="Stable Coin"),INDEX(_xlfn._xlws.FILTER(P$2:P33, D$2:D33=D34),COUNT(_xlfn._xlws.FILTER(P$2:P33, D$2:D33=D34))),(INDEX(_xlfn._xlws.FILTER(P$2:P33, D$2:D33=D34),COUNT(_xlfn._xlws.FILTER(P$2:P33, D$2:D33=D34)))*INDEX(_xlfn._xlws.FILTER(O$2:O33, D$2:D33=D34),COUNT(_xlfn._xlws.FILTER(O$2:O33, D$2:D33=D34)))-N34) / O34), J34))</f>
        <v>0.81108000000000002</v>
      </c>
      <c r="Q34" s="1" t="str">
        <f t="shared" si="2"/>
        <v>USD</v>
      </c>
      <c r="R34" s="1" cm="1">
        <f t="array" ref="R34">IF(A34="", "",
    IFERROR(
        _xlfn.SWITCH(
            TRUE,
            AND(Q34="USD", $Q$2="USD"), K34,
            AND(Q34="USD", $Q$2="GBP"), K34*$Z$3,
            AND(Q34="USD", $Q$2="HKD"), K34*$Z$4,
            AND(Q34="USD", $Q$2="EUR"), K34*$Z$5,
            AND(Q34="GBP", $Q$2="GBP"), K34,
            AND(Q34="GBP", $Q$2="USD"), K34*$Z$6,
            AND(Q34="GBP", $Q$2="HKD"), K34*$Z$7,
            AND(Q34="HKG", $Q$2="HKG"), K34,
            AND(Q34="HKD", $Q$2="USD"), K34*$Z$9,
            AND(Q34="HKD", $Q$2="GBP"), K34*$Z$10,
            AND(Q34="HKD", $Q$2="EUR"), K34*$Z$11,
            AND(Q34="EUR", $Q$2="EUR"), K34,
            AND(Q34="EUR", $Q$2="USD"), K34*$Z$12,
            AND(Q34="EUR", $Q$2="GBP"), K34*$Z$13,
            AND(Q34="EUR", $Q$2="HKD"), K34*$Z$14,
        ),
        0
    )
)</f>
        <v>0</v>
      </c>
      <c r="S34" s="1" cm="1">
        <f t="array" ref="S34">IF(A34="", "",
    IFERROR(
        _xlfn.SWITCH(
            TRUE,
            AND(Q34="USD", $Q$2="USD"), M34,
            AND(Q34="USD", $Q$2="GBP"), M34*$Z$3,
            AND(Q34="USD", $Q$2="HKD"), M34*$Z$4,
            AND(Q34="USD", $Q$2="EUR"), M34*$Z$5,
            AND(Q34="GBP", $Q$2="GBP"), M34,
            AND(Q34="GBP", $Q$2="USD"), M34*$Z$6,
            AND(Q34="GBP", $Q$2="HKD"), M34*$Z$7,
            AND(Q34="GBP", $Q$2="HKD"), M34*$Z$8,
            AND(Q34="HKG", $Q$2="HKG"), M34,
            AND(Q34="HKD", $Q$2="USD"), M34*$Z$9,
            AND(Q34="HKD", $Q$2="GBP"), M34*$Z$10,
            AND(Q34="HKD", $Q$2="EUR"), M34*$Z$11,
            AND(Q34="EUR", $Q$2="EUR"), M34,
            AND(Q34="EUR", $Q$2="USD"), M34*$Z$12,
            AND(Q34="EUR", $Q$2="GBP"), M34*$Z$13,
            AND(Q34="EUR", $Q$2="HKD"), M34*$Z$14,
        ),
        0
    )
)</f>
        <v>440.87108657905441</v>
      </c>
      <c r="T34" s="1" t="str">
        <f t="shared" si="3"/>
        <v>1</v>
      </c>
      <c r="U34" s="9" t="str">
        <f t="shared" si="4"/>
        <v>01</v>
      </c>
      <c r="V34" s="1" t="str">
        <f t="shared" si="5"/>
        <v>2023</v>
      </c>
      <c r="W34" s="18" t="str">
        <f t="shared" si="6"/>
        <v>星期日</v>
      </c>
    </row>
    <row r="35" spans="1:23">
      <c r="A35" s="17" t="s">
        <v>6</v>
      </c>
      <c r="B35" s="1" t="s">
        <v>348</v>
      </c>
      <c r="C35" s="9">
        <v>44927</v>
      </c>
      <c r="D35" s="1" t="s">
        <v>364</v>
      </c>
      <c r="E35" s="1" t="s">
        <v>114</v>
      </c>
      <c r="F35" s="1" t="s">
        <v>346</v>
      </c>
      <c r="H35" s="1" t="s">
        <v>367</v>
      </c>
      <c r="I35" s="1">
        <f>I36*J36</f>
        <v>352.32732587800001</v>
      </c>
      <c r="J35" s="27">
        <v>1</v>
      </c>
      <c r="M35" s="24">
        <f t="shared" si="0"/>
        <v>352.32732587800001</v>
      </c>
      <c r="N35" s="36">
        <f t="shared" si="1"/>
        <v>352.32732587800001</v>
      </c>
      <c r="O35" s="34">
        <f>IF(ISBLANK(A35),"",SUMIFS(I$3:I35,D$3:D35,D35,H$3:H35,"Buy")+SUMIFS(I$3:I35,D$3:D35,D35,H$3:H35,"Cash Deposit")+SUMIFS(I$3:I35,D$3:D35,D35,H$3:H35,"Crypto Deposit")+SUMIFS(I$3:I35,D$3:D35,D35,H$3:H35,"Airdrop/Rewards")-SUMIFS(I$3:I35,D$3:D35,D35,H$3:H35,"Sell"))</f>
        <v>6429.234603009183</v>
      </c>
      <c r="P35" s="2" cm="1">
        <f t="array" ref="P35">IF(ISBLANK(A35),"",IFERROR(IF(OR(H35="Sell",F35="Stable Coin"),INDEX(_xlfn._xlws.FILTER(P$2:P34, D$2:D34=D35),COUNT(_xlfn._xlws.FILTER(P$2:P34, D$2:D34=D35))),(INDEX(_xlfn._xlws.FILTER(P$2:P34, D$2:D34=D35),COUNT(_xlfn._xlws.FILTER(P$2:P34, D$2:D34=D35)))*INDEX(_xlfn._xlws.FILTER(O$2:O34, D$2:D34=D35),COUNT(_xlfn._xlws.FILTER(O$2:O34, D$2:D34=D35)))-N35) / O35), J35))</f>
        <v>1</v>
      </c>
      <c r="Q35" s="1" t="str">
        <f t="shared" si="2"/>
        <v>USD</v>
      </c>
      <c r="R35" s="1" cm="1">
        <f t="array" ref="R35">IF(A35="", "",
    IFERROR(
        _xlfn.SWITCH(
            TRUE,
            AND(Q35="USD", $Q$2="USD"), K35,
            AND(Q35="USD", $Q$2="GBP"), K35*$Z$3,
            AND(Q35="USD", $Q$2="HKD"), K35*$Z$4,
            AND(Q35="USD", $Q$2="EUR"), K35*$Z$5,
            AND(Q35="GBP", $Q$2="GBP"), K35,
            AND(Q35="GBP", $Q$2="USD"), K35*$Z$6,
            AND(Q35="GBP", $Q$2="HKD"), K35*$Z$7,
            AND(Q35="HKG", $Q$2="HKG"), K35,
            AND(Q35="HKD", $Q$2="USD"), K35*$Z$9,
            AND(Q35="HKD", $Q$2="GBP"), K35*$Z$10,
            AND(Q35="HKD", $Q$2="EUR"), K35*$Z$11,
            AND(Q35="EUR", $Q$2="EUR"), K35,
            AND(Q35="EUR", $Q$2="USD"), K35*$Z$12,
            AND(Q35="EUR", $Q$2="GBP"), K35*$Z$13,
            AND(Q35="EUR", $Q$2="HKD"), K35*$Z$14,
        ),
        0
    )
)</f>
        <v>0</v>
      </c>
      <c r="S35" s="1" cm="1">
        <f t="array" ref="S35">IF(A35="", "",
    IFERROR(
        _xlfn.SWITCH(
            TRUE,
            AND(Q35="USD", $Q$2="USD"), M35,
            AND(Q35="USD", $Q$2="GBP"), M35*$Z$3,
            AND(Q35="USD", $Q$2="HKD"), M35*$Z$4,
            AND(Q35="USD", $Q$2="EUR"), M35*$Z$5,
            AND(Q35="GBP", $Q$2="GBP"), M35,
            AND(Q35="GBP", $Q$2="USD"), M35*$Z$6,
            AND(Q35="GBP", $Q$2="HKD"), M35*$Z$7,
            AND(Q35="GBP", $Q$2="HKD"), M35*$Z$8,
            AND(Q35="HKG", $Q$2="HKG"), M35,
            AND(Q35="HKD", $Q$2="USD"), M35*$Z$9,
            AND(Q35="HKD", $Q$2="GBP"), M35*$Z$10,
            AND(Q35="HKD", $Q$2="EUR"), M35*$Z$11,
            AND(Q35="EUR", $Q$2="EUR"), M35,
            AND(Q35="EUR", $Q$2="USD"), M35*$Z$12,
            AND(Q35="EUR", $Q$2="GBP"), M35*$Z$13,
            AND(Q35="EUR", $Q$2="HKD"), M35*$Z$14,
        ),
        0
    )
)</f>
        <v>352.32732587800001</v>
      </c>
      <c r="T35" s="1" t="str">
        <f t="shared" si="3"/>
        <v>1</v>
      </c>
      <c r="U35" s="9" t="str">
        <f t="shared" si="4"/>
        <v>01</v>
      </c>
      <c r="V35" s="1" t="str">
        <f t="shared" si="5"/>
        <v>2023</v>
      </c>
      <c r="W35" s="18" t="str">
        <f t="shared" si="6"/>
        <v>星期日</v>
      </c>
    </row>
    <row r="36" spans="1:23">
      <c r="A36" s="17" t="s">
        <v>6</v>
      </c>
      <c r="B36" s="1" t="s">
        <v>348</v>
      </c>
      <c r="C36" s="9">
        <v>44927</v>
      </c>
      <c r="D36" s="1" t="s">
        <v>52</v>
      </c>
      <c r="E36" s="1" t="s">
        <v>150</v>
      </c>
      <c r="F36" s="1" t="s">
        <v>349</v>
      </c>
      <c r="H36" s="1" t="s">
        <v>347</v>
      </c>
      <c r="I36" s="1">
        <v>11.9880002</v>
      </c>
      <c r="J36" s="27">
        <v>29.39</v>
      </c>
      <c r="M36" s="24">
        <f t="shared" si="0"/>
        <v>352.32732587800001</v>
      </c>
      <c r="N36" s="36">
        <f t="shared" si="1"/>
        <v>-352.32732587800001</v>
      </c>
      <c r="O36" s="34">
        <f>IF(ISBLANK(A36),"",SUMIFS(I$3:I36,D$3:D36,D36,H$3:H36,"Buy")+SUMIFS(I$3:I36,D$3:D36,D36,H$3:H36,"Cash Deposit")+SUMIFS(I$3:I36,D$3:D36,D36,H$3:H36,"Crypto Deposit")+SUMIFS(I$3:I36,D$3:D36,D36,H$3:H36,"Airdrop/Rewards")-SUMIFS(I$3:I36,D$3:D36,D36,H$3:H36,"Sell"))</f>
        <v>11.9880002</v>
      </c>
      <c r="P36" s="2" cm="1">
        <f t="array" ref="P36">IF(ISBLANK(A36),"",IFERROR(IF(OR(H36="Sell",F36="Stable Coin"),INDEX(_xlfn._xlws.FILTER(P$2:P35, D$2:D35=D36),COUNT(_xlfn._xlws.FILTER(P$2:P35, D$2:D35=D36))),(INDEX(_xlfn._xlws.FILTER(P$2:P35, D$2:D35=D36),COUNT(_xlfn._xlws.FILTER(P$2:P35, D$2:D35=D36)))*INDEX(_xlfn._xlws.FILTER(O$2:O35, D$2:D35=D36),COUNT(_xlfn._xlws.FILTER(O$2:O35, D$2:D35=D36)))-N36) / O36), J36))</f>
        <v>29.39</v>
      </c>
      <c r="Q36" s="1" t="str">
        <f t="shared" si="2"/>
        <v>USD</v>
      </c>
      <c r="R36" s="1" cm="1">
        <f t="array" ref="R36">IF(A36="", "",
    IFERROR(
        _xlfn.SWITCH(
            TRUE,
            AND(Q36="USD", $Q$2="USD"), K36,
            AND(Q36="USD", $Q$2="GBP"), K36*$Z$3,
            AND(Q36="USD", $Q$2="HKD"), K36*$Z$4,
            AND(Q36="USD", $Q$2="EUR"), K36*$Z$5,
            AND(Q36="GBP", $Q$2="GBP"), K36,
            AND(Q36="GBP", $Q$2="USD"), K36*$Z$6,
            AND(Q36="GBP", $Q$2="HKD"), K36*$Z$7,
            AND(Q36="HKG", $Q$2="HKG"), K36,
            AND(Q36="HKD", $Q$2="USD"), K36*$Z$9,
            AND(Q36="HKD", $Q$2="GBP"), K36*$Z$10,
            AND(Q36="HKD", $Q$2="EUR"), K36*$Z$11,
            AND(Q36="EUR", $Q$2="EUR"), K36,
            AND(Q36="EUR", $Q$2="USD"), K36*$Z$12,
            AND(Q36="EUR", $Q$2="GBP"), K36*$Z$13,
            AND(Q36="EUR", $Q$2="HKD"), K36*$Z$14,
        ),
        0
    )
)</f>
        <v>0</v>
      </c>
      <c r="S36" s="1" cm="1">
        <f t="array" ref="S36">IF(A36="", "",
    IFERROR(
        _xlfn.SWITCH(
            TRUE,
            AND(Q36="USD", $Q$2="USD"), M36,
            AND(Q36="USD", $Q$2="GBP"), M36*$Z$3,
            AND(Q36="USD", $Q$2="HKD"), M36*$Z$4,
            AND(Q36="USD", $Q$2="EUR"), M36*$Z$5,
            AND(Q36="GBP", $Q$2="GBP"), M36,
            AND(Q36="GBP", $Q$2="USD"), M36*$Z$6,
            AND(Q36="GBP", $Q$2="HKD"), M36*$Z$7,
            AND(Q36="GBP", $Q$2="HKD"), M36*$Z$8,
            AND(Q36="HKG", $Q$2="HKG"), M36,
            AND(Q36="HKD", $Q$2="USD"), M36*$Z$9,
            AND(Q36="HKD", $Q$2="GBP"), M36*$Z$10,
            AND(Q36="HKD", $Q$2="EUR"), M36*$Z$11,
            AND(Q36="EUR", $Q$2="EUR"), M36,
            AND(Q36="EUR", $Q$2="USD"), M36*$Z$12,
            AND(Q36="EUR", $Q$2="GBP"), M36*$Z$13,
            AND(Q36="EUR", $Q$2="HKD"), M36*$Z$14,
        ),
        0
    )
)</f>
        <v>352.32732587800001</v>
      </c>
      <c r="T36" s="1" t="str">
        <f t="shared" si="3"/>
        <v>1</v>
      </c>
      <c r="U36" s="9" t="str">
        <f t="shared" si="4"/>
        <v>01</v>
      </c>
      <c r="V36" s="1" t="str">
        <f t="shared" si="5"/>
        <v>2023</v>
      </c>
      <c r="W36" s="18" t="str">
        <f t="shared" si="6"/>
        <v>星期日</v>
      </c>
    </row>
    <row r="37" spans="1:23">
      <c r="A37" s="17" t="s">
        <v>6</v>
      </c>
      <c r="B37" s="1" t="s">
        <v>348</v>
      </c>
      <c r="C37" s="9">
        <v>44927</v>
      </c>
      <c r="D37" s="1" t="s">
        <v>364</v>
      </c>
      <c r="E37" s="1" t="s">
        <v>114</v>
      </c>
      <c r="F37" s="1" t="s">
        <v>346</v>
      </c>
      <c r="H37" s="1" t="s">
        <v>367</v>
      </c>
      <c r="I37" s="1">
        <f>I38*J38</f>
        <v>302.80735884179995</v>
      </c>
      <c r="J37" s="27">
        <v>1</v>
      </c>
      <c r="M37" s="24">
        <f t="shared" si="0"/>
        <v>302.80735884179995</v>
      </c>
      <c r="N37" s="36">
        <f t="shared" si="1"/>
        <v>302.80735884179995</v>
      </c>
      <c r="O37" s="34">
        <f>IF(ISBLANK(A37),"",SUMIFS(I$3:I37,D$3:D37,D37,H$3:H37,"Buy")+SUMIFS(I$3:I37,D$3:D37,D37,H$3:H37,"Cash Deposit")+SUMIFS(I$3:I37,D$3:D37,D37,H$3:H37,"Crypto Deposit")+SUMIFS(I$3:I37,D$3:D37,D37,H$3:H37,"Airdrop/Rewards")-SUMIFS(I$3:I37,D$3:D37,D37,H$3:H37,"Sell"))</f>
        <v>6126.427244167382</v>
      </c>
      <c r="P37" s="2" cm="1">
        <f t="array" ref="P37">IF(ISBLANK(A37),"",IFERROR(IF(OR(H37="Sell",F37="Stable Coin"),INDEX(_xlfn._xlws.FILTER(P$2:P36, D$2:D36=D37),COUNT(_xlfn._xlws.FILTER(P$2:P36, D$2:D36=D37))),(INDEX(_xlfn._xlws.FILTER(P$2:P36, D$2:D36=D37),COUNT(_xlfn._xlws.FILTER(P$2:P36, D$2:D36=D37)))*INDEX(_xlfn._xlws.FILTER(O$2:O36, D$2:D36=D37),COUNT(_xlfn._xlws.FILTER(O$2:O36, D$2:D36=D37)))-N37) / O37), J37))</f>
        <v>1</v>
      </c>
      <c r="Q37" s="1" t="str">
        <f t="shared" si="2"/>
        <v>USD</v>
      </c>
      <c r="R37" s="1" cm="1">
        <f t="array" ref="R37">IF(A37="", "",
    IFERROR(
        _xlfn.SWITCH(
            TRUE,
            AND(Q37="USD", $Q$2="USD"), K37,
            AND(Q37="USD", $Q$2="GBP"), K37*$Z$3,
            AND(Q37="USD", $Q$2="HKD"), K37*$Z$4,
            AND(Q37="USD", $Q$2="EUR"), K37*$Z$5,
            AND(Q37="GBP", $Q$2="GBP"), K37,
            AND(Q37="GBP", $Q$2="USD"), K37*$Z$6,
            AND(Q37="GBP", $Q$2="HKD"), K37*$Z$7,
            AND(Q37="HKG", $Q$2="HKG"), K37,
            AND(Q37="HKD", $Q$2="USD"), K37*$Z$9,
            AND(Q37="HKD", $Q$2="GBP"), K37*$Z$10,
            AND(Q37="HKD", $Q$2="EUR"), K37*$Z$11,
            AND(Q37="EUR", $Q$2="EUR"), K37,
            AND(Q37="EUR", $Q$2="USD"), K37*$Z$12,
            AND(Q37="EUR", $Q$2="GBP"), K37*$Z$13,
            AND(Q37="EUR", $Q$2="HKD"), K37*$Z$14,
        ),
        0
    )
)</f>
        <v>0</v>
      </c>
      <c r="S37" s="1" cm="1">
        <f t="array" ref="S37">IF(A37="", "",
    IFERROR(
        _xlfn.SWITCH(
            TRUE,
            AND(Q37="USD", $Q$2="USD"), M37,
            AND(Q37="USD", $Q$2="GBP"), M37*$Z$3,
            AND(Q37="USD", $Q$2="HKD"), M37*$Z$4,
            AND(Q37="USD", $Q$2="EUR"), M37*$Z$5,
            AND(Q37="GBP", $Q$2="GBP"), M37,
            AND(Q37="GBP", $Q$2="USD"), M37*$Z$6,
            AND(Q37="GBP", $Q$2="HKD"), M37*$Z$7,
            AND(Q37="GBP", $Q$2="HKD"), M37*$Z$8,
            AND(Q37="HKG", $Q$2="HKG"), M37,
            AND(Q37="HKD", $Q$2="USD"), M37*$Z$9,
            AND(Q37="HKD", $Q$2="GBP"), M37*$Z$10,
            AND(Q37="HKD", $Q$2="EUR"), M37*$Z$11,
            AND(Q37="EUR", $Q$2="EUR"), M37,
            AND(Q37="EUR", $Q$2="USD"), M37*$Z$12,
            AND(Q37="EUR", $Q$2="GBP"), M37*$Z$13,
            AND(Q37="EUR", $Q$2="HKD"), M37*$Z$14,
        ),
        0
    )
)</f>
        <v>302.80735884179995</v>
      </c>
      <c r="T37" s="1" t="str">
        <f t="shared" si="3"/>
        <v>1</v>
      </c>
      <c r="U37" s="9" t="str">
        <f t="shared" si="4"/>
        <v>01</v>
      </c>
      <c r="V37" s="1" t="str">
        <f t="shared" si="5"/>
        <v>2023</v>
      </c>
      <c r="W37" s="18" t="str">
        <f t="shared" si="6"/>
        <v>星期日</v>
      </c>
    </row>
    <row r="38" spans="1:23">
      <c r="A38" s="17" t="s">
        <v>6</v>
      </c>
      <c r="B38" s="1" t="s">
        <v>348</v>
      </c>
      <c r="C38" s="9">
        <v>44927</v>
      </c>
      <c r="D38" s="1" t="s">
        <v>9</v>
      </c>
      <c r="E38" s="1" t="s">
        <v>284</v>
      </c>
      <c r="F38" s="1" t="s">
        <v>349</v>
      </c>
      <c r="H38" s="1" t="s">
        <v>347</v>
      </c>
      <c r="I38" s="1">
        <v>49.968211029999999</v>
      </c>
      <c r="J38" s="27">
        <v>6.06</v>
      </c>
      <c r="M38" s="24">
        <f t="shared" si="0"/>
        <v>302.80735884179995</v>
      </c>
      <c r="N38" s="36">
        <f t="shared" si="1"/>
        <v>-302.80735884179995</v>
      </c>
      <c r="O38" s="34">
        <f>IF(ISBLANK(A38),"",SUMIFS(I$3:I38,D$3:D38,D38,H$3:H38,"Buy")+SUMIFS(I$3:I38,D$3:D38,D38,H$3:H38,"Cash Deposit")+SUMIFS(I$3:I38,D$3:D38,D38,H$3:H38,"Crypto Deposit")+SUMIFS(I$3:I38,D$3:D38,D38,H$3:H38,"Airdrop/Rewards")-SUMIFS(I$3:I38,D$3:D38,D38,H$3:H38,"Sell"))</f>
        <v>49.968211029999999</v>
      </c>
      <c r="P38" s="2" cm="1">
        <f t="array" ref="P38">IF(ISBLANK(A38),"",IFERROR(IF(OR(H38="Sell",F38="Stable Coin"),INDEX(_xlfn._xlws.FILTER(P$2:P37, D$2:D37=D38),COUNT(_xlfn._xlws.FILTER(P$2:P37, D$2:D37=D38))),(INDEX(_xlfn._xlws.FILTER(P$2:P37, D$2:D37=D38),COUNT(_xlfn._xlws.FILTER(P$2:P37, D$2:D37=D38)))*INDEX(_xlfn._xlws.FILTER(O$2:O37, D$2:D37=D38),COUNT(_xlfn._xlws.FILTER(O$2:O37, D$2:D37=D38)))-N38) / O38), J38))</f>
        <v>6.06</v>
      </c>
      <c r="Q38" s="1" t="str">
        <f t="shared" si="2"/>
        <v>USD</v>
      </c>
      <c r="R38" s="1" cm="1">
        <f t="array" ref="R38">IF(A38="", "",
    IFERROR(
        _xlfn.SWITCH(
            TRUE,
            AND(Q38="USD", $Q$2="USD"), K38,
            AND(Q38="USD", $Q$2="GBP"), K38*$Z$3,
            AND(Q38="USD", $Q$2="HKD"), K38*$Z$4,
            AND(Q38="USD", $Q$2="EUR"), K38*$Z$5,
            AND(Q38="GBP", $Q$2="GBP"), K38,
            AND(Q38="GBP", $Q$2="USD"), K38*$Z$6,
            AND(Q38="GBP", $Q$2="HKD"), K38*$Z$7,
            AND(Q38="HKG", $Q$2="HKG"), K38,
            AND(Q38="HKD", $Q$2="USD"), K38*$Z$9,
            AND(Q38="HKD", $Q$2="GBP"), K38*$Z$10,
            AND(Q38="HKD", $Q$2="EUR"), K38*$Z$11,
            AND(Q38="EUR", $Q$2="EUR"), K38,
            AND(Q38="EUR", $Q$2="USD"), K38*$Z$12,
            AND(Q38="EUR", $Q$2="GBP"), K38*$Z$13,
            AND(Q38="EUR", $Q$2="HKD"), K38*$Z$14,
        ),
        0
    )
)</f>
        <v>0</v>
      </c>
      <c r="S38" s="1" cm="1">
        <f t="array" ref="S38">IF(A38="", "",
    IFERROR(
        _xlfn.SWITCH(
            TRUE,
            AND(Q38="USD", $Q$2="USD"), M38,
            AND(Q38="USD", $Q$2="GBP"), M38*$Z$3,
            AND(Q38="USD", $Q$2="HKD"), M38*$Z$4,
            AND(Q38="USD", $Q$2="EUR"), M38*$Z$5,
            AND(Q38="GBP", $Q$2="GBP"), M38,
            AND(Q38="GBP", $Q$2="USD"), M38*$Z$6,
            AND(Q38="GBP", $Q$2="HKD"), M38*$Z$7,
            AND(Q38="GBP", $Q$2="HKD"), M38*$Z$8,
            AND(Q38="HKG", $Q$2="HKG"), M38,
            AND(Q38="HKD", $Q$2="USD"), M38*$Z$9,
            AND(Q38="HKD", $Q$2="GBP"), M38*$Z$10,
            AND(Q38="HKD", $Q$2="EUR"), M38*$Z$11,
            AND(Q38="EUR", $Q$2="EUR"), M38,
            AND(Q38="EUR", $Q$2="USD"), M38*$Z$12,
            AND(Q38="EUR", $Q$2="GBP"), M38*$Z$13,
            AND(Q38="EUR", $Q$2="HKD"), M38*$Z$14,
        ),
        0
    )
)</f>
        <v>302.80735884179995</v>
      </c>
      <c r="T38" s="1" t="str">
        <f t="shared" si="3"/>
        <v>1</v>
      </c>
      <c r="U38" s="9" t="str">
        <f t="shared" si="4"/>
        <v>01</v>
      </c>
      <c r="V38" s="1" t="str">
        <f t="shared" si="5"/>
        <v>2023</v>
      </c>
      <c r="W38" s="18" t="str">
        <f t="shared" si="6"/>
        <v>星期日</v>
      </c>
    </row>
    <row r="39" spans="1:23">
      <c r="A39" s="17" t="s">
        <v>6</v>
      </c>
      <c r="B39" s="1" t="s">
        <v>348</v>
      </c>
      <c r="C39" s="9">
        <v>44927</v>
      </c>
      <c r="D39" s="1" t="s">
        <v>364</v>
      </c>
      <c r="E39" s="1" t="s">
        <v>114</v>
      </c>
      <c r="F39" s="1" t="s">
        <v>346</v>
      </c>
      <c r="H39" s="1" t="s">
        <v>367</v>
      </c>
      <c r="I39" s="1">
        <f>I40*J40</f>
        <v>122.35079999999999</v>
      </c>
      <c r="J39" s="27">
        <v>1</v>
      </c>
      <c r="M39" s="24">
        <f t="shared" si="0"/>
        <v>122.35079999999999</v>
      </c>
      <c r="N39" s="36">
        <f t="shared" si="1"/>
        <v>122.35079999999999</v>
      </c>
      <c r="O39" s="34">
        <f>IF(ISBLANK(A39),"",SUMIFS(I$3:I39,D$3:D39,D39,H$3:H39,"Buy")+SUMIFS(I$3:I39,D$3:D39,D39,H$3:H39,"Cash Deposit")+SUMIFS(I$3:I39,D$3:D39,D39,H$3:H39,"Crypto Deposit")+SUMIFS(I$3:I39,D$3:D39,D39,H$3:H39,"Airdrop/Rewards")-SUMIFS(I$3:I39,D$3:D39,D39,H$3:H39,"Sell"))</f>
        <v>6004.0764441673819</v>
      </c>
      <c r="P39" s="2" cm="1">
        <f t="array" ref="P39">IF(ISBLANK(A39),"",IFERROR(IF(OR(H39="Sell",F39="Stable Coin"),INDEX(_xlfn._xlws.FILTER(P$2:P38, D$2:D38=D39),COUNT(_xlfn._xlws.FILTER(P$2:P38, D$2:D38=D39))),(INDEX(_xlfn._xlws.FILTER(P$2:P38, D$2:D38=D39),COUNT(_xlfn._xlws.FILTER(P$2:P38, D$2:D38=D39)))*INDEX(_xlfn._xlws.FILTER(O$2:O38, D$2:D38=D39),COUNT(_xlfn._xlws.FILTER(O$2:O38, D$2:D38=D39)))-N39) / O39), J39))</f>
        <v>1</v>
      </c>
      <c r="Q39" s="1" t="str">
        <f t="shared" si="2"/>
        <v>USD</v>
      </c>
      <c r="R39" s="1" cm="1">
        <f t="array" ref="R39">IF(A39="", "",
    IFERROR(
        _xlfn.SWITCH(
            TRUE,
            AND(Q39="USD", $Q$2="USD"), K39,
            AND(Q39="USD", $Q$2="GBP"), K39*$Z$3,
            AND(Q39="USD", $Q$2="HKD"), K39*$Z$4,
            AND(Q39="USD", $Q$2="EUR"), K39*$Z$5,
            AND(Q39="GBP", $Q$2="GBP"), K39,
            AND(Q39="GBP", $Q$2="USD"), K39*$Z$6,
            AND(Q39="GBP", $Q$2="HKD"), K39*$Z$7,
            AND(Q39="HKG", $Q$2="HKG"), K39,
            AND(Q39="HKD", $Q$2="USD"), K39*$Z$9,
            AND(Q39="HKD", $Q$2="GBP"), K39*$Z$10,
            AND(Q39="HKD", $Q$2="EUR"), K39*$Z$11,
            AND(Q39="EUR", $Q$2="EUR"), K39,
            AND(Q39="EUR", $Q$2="USD"), K39*$Z$12,
            AND(Q39="EUR", $Q$2="GBP"), K39*$Z$13,
            AND(Q39="EUR", $Q$2="HKD"), K39*$Z$14,
        ),
        0
    )
)</f>
        <v>0</v>
      </c>
      <c r="S39" s="1" cm="1">
        <f t="array" ref="S39">IF(A39="", "",
    IFERROR(
        _xlfn.SWITCH(
            TRUE,
            AND(Q39="USD", $Q$2="USD"), M39,
            AND(Q39="USD", $Q$2="GBP"), M39*$Z$3,
            AND(Q39="USD", $Q$2="HKD"), M39*$Z$4,
            AND(Q39="USD", $Q$2="EUR"), M39*$Z$5,
            AND(Q39="GBP", $Q$2="GBP"), M39,
            AND(Q39="GBP", $Q$2="USD"), M39*$Z$6,
            AND(Q39="GBP", $Q$2="HKD"), M39*$Z$7,
            AND(Q39="GBP", $Q$2="HKD"), M39*$Z$8,
            AND(Q39="HKG", $Q$2="HKG"), M39,
            AND(Q39="HKD", $Q$2="USD"), M39*$Z$9,
            AND(Q39="HKD", $Q$2="GBP"), M39*$Z$10,
            AND(Q39="HKD", $Q$2="EUR"), M39*$Z$11,
            AND(Q39="EUR", $Q$2="EUR"), M39,
            AND(Q39="EUR", $Q$2="USD"), M39*$Z$12,
            AND(Q39="EUR", $Q$2="GBP"), M39*$Z$13,
            AND(Q39="EUR", $Q$2="HKD"), M39*$Z$14,
        ),
        0
    )
)</f>
        <v>122.35079999999999</v>
      </c>
      <c r="T39" s="1" t="str">
        <f t="shared" si="3"/>
        <v>1</v>
      </c>
      <c r="U39" s="9" t="str">
        <f t="shared" si="4"/>
        <v>01</v>
      </c>
      <c r="V39" s="1" t="str">
        <f t="shared" si="5"/>
        <v>2023</v>
      </c>
      <c r="W39" s="18" t="str">
        <f t="shared" si="6"/>
        <v>星期日</v>
      </c>
    </row>
    <row r="40" spans="1:23">
      <c r="A40" s="17" t="s">
        <v>6</v>
      </c>
      <c r="B40" s="1" t="s">
        <v>348</v>
      </c>
      <c r="C40" s="9">
        <v>44927</v>
      </c>
      <c r="D40" s="1" t="s">
        <v>11</v>
      </c>
      <c r="E40" s="1" t="s">
        <v>216</v>
      </c>
      <c r="F40" s="1" t="s">
        <v>349</v>
      </c>
      <c r="H40" s="1" t="s">
        <v>347</v>
      </c>
      <c r="I40" s="1">
        <v>156</v>
      </c>
      <c r="J40" s="27">
        <v>0.7843</v>
      </c>
      <c r="M40" s="24">
        <f t="shared" si="0"/>
        <v>122.35079999999999</v>
      </c>
      <c r="N40" s="36">
        <f t="shared" si="1"/>
        <v>-122.35079999999999</v>
      </c>
      <c r="O40" s="34">
        <f>IF(ISBLANK(A40),"",SUMIFS(I$3:I40,D$3:D40,D40,H$3:H40,"Buy")+SUMIFS(I$3:I40,D$3:D40,D40,H$3:H40,"Cash Deposit")+SUMIFS(I$3:I40,D$3:D40,D40,H$3:H40,"Crypto Deposit")+SUMIFS(I$3:I40,D$3:D40,D40,H$3:H40,"Airdrop/Rewards")-SUMIFS(I$3:I40,D$3:D40,D40,H$3:H40,"Sell"))</f>
        <v>156</v>
      </c>
      <c r="P40" s="2" cm="1">
        <f t="array" ref="P40">IF(ISBLANK(A40),"",IFERROR(IF(OR(H40="Sell",F40="Stable Coin"),INDEX(_xlfn._xlws.FILTER(P$2:P39, D$2:D39=D40),COUNT(_xlfn._xlws.FILTER(P$2:P39, D$2:D39=D40))),(INDEX(_xlfn._xlws.FILTER(P$2:P39, D$2:D39=D40),COUNT(_xlfn._xlws.FILTER(P$2:P39, D$2:D39=D40)))*INDEX(_xlfn._xlws.FILTER(O$2:O39, D$2:D39=D40),COUNT(_xlfn._xlws.FILTER(O$2:O39, D$2:D39=D40)))-N40) / O40), J40))</f>
        <v>0.7843</v>
      </c>
      <c r="Q40" s="1" t="str">
        <f t="shared" si="2"/>
        <v>USD</v>
      </c>
      <c r="R40" s="1" cm="1">
        <f t="array" ref="R40">IF(A40="", "",
    IFERROR(
        _xlfn.SWITCH(
            TRUE,
            AND(Q40="USD", $Q$2="USD"), K40,
            AND(Q40="USD", $Q$2="GBP"), K40*$Z$3,
            AND(Q40="USD", $Q$2="HKD"), K40*$Z$4,
            AND(Q40="USD", $Q$2="EUR"), K40*$Z$5,
            AND(Q40="GBP", $Q$2="GBP"), K40,
            AND(Q40="GBP", $Q$2="USD"), K40*$Z$6,
            AND(Q40="GBP", $Q$2="HKD"), K40*$Z$7,
            AND(Q40="HKG", $Q$2="HKG"), K40,
            AND(Q40="HKD", $Q$2="USD"), K40*$Z$9,
            AND(Q40="HKD", $Q$2="GBP"), K40*$Z$10,
            AND(Q40="HKD", $Q$2="EUR"), K40*$Z$11,
            AND(Q40="EUR", $Q$2="EUR"), K40,
            AND(Q40="EUR", $Q$2="USD"), K40*$Z$12,
            AND(Q40="EUR", $Q$2="GBP"), K40*$Z$13,
            AND(Q40="EUR", $Q$2="HKD"), K40*$Z$14,
        ),
        0
    )
)</f>
        <v>0</v>
      </c>
      <c r="S40" s="1" cm="1">
        <f t="array" ref="S40">IF(A40="", "",
    IFERROR(
        _xlfn.SWITCH(
            TRUE,
            AND(Q40="USD", $Q$2="USD"), M40,
            AND(Q40="USD", $Q$2="GBP"), M40*$Z$3,
            AND(Q40="USD", $Q$2="HKD"), M40*$Z$4,
            AND(Q40="USD", $Q$2="EUR"), M40*$Z$5,
            AND(Q40="GBP", $Q$2="GBP"), M40,
            AND(Q40="GBP", $Q$2="USD"), M40*$Z$6,
            AND(Q40="GBP", $Q$2="HKD"), M40*$Z$7,
            AND(Q40="GBP", $Q$2="HKD"), M40*$Z$8,
            AND(Q40="HKG", $Q$2="HKG"), M40,
            AND(Q40="HKD", $Q$2="USD"), M40*$Z$9,
            AND(Q40="HKD", $Q$2="GBP"), M40*$Z$10,
            AND(Q40="HKD", $Q$2="EUR"), M40*$Z$11,
            AND(Q40="EUR", $Q$2="EUR"), M40,
            AND(Q40="EUR", $Q$2="USD"), M40*$Z$12,
            AND(Q40="EUR", $Q$2="GBP"), M40*$Z$13,
            AND(Q40="EUR", $Q$2="HKD"), M40*$Z$14,
        ),
        0
    )
)</f>
        <v>122.35079999999999</v>
      </c>
      <c r="T40" s="1" t="str">
        <f t="shared" si="3"/>
        <v>1</v>
      </c>
      <c r="U40" s="9" t="str">
        <f t="shared" si="4"/>
        <v>01</v>
      </c>
      <c r="V40" s="1" t="str">
        <f t="shared" si="5"/>
        <v>2023</v>
      </c>
      <c r="W40" s="18" t="str">
        <f t="shared" si="6"/>
        <v>星期日</v>
      </c>
    </row>
    <row r="41" spans="1:23">
      <c r="A41" s="17" t="s">
        <v>6</v>
      </c>
      <c r="B41" s="1" t="s">
        <v>348</v>
      </c>
      <c r="C41" s="9">
        <v>44927</v>
      </c>
      <c r="D41" s="1" t="s">
        <v>364</v>
      </c>
      <c r="E41" s="1" t="s">
        <v>114</v>
      </c>
      <c r="F41" s="1" t="s">
        <v>346</v>
      </c>
      <c r="H41" s="1" t="s">
        <v>367</v>
      </c>
      <c r="I41" s="1">
        <f>I42*J42</f>
        <v>82.68</v>
      </c>
      <c r="J41" s="27">
        <v>1</v>
      </c>
      <c r="M41" s="24">
        <f t="shared" si="0"/>
        <v>82.68</v>
      </c>
      <c r="N41" s="36">
        <f t="shared" si="1"/>
        <v>82.68</v>
      </c>
      <c r="O41" s="34">
        <f>IF(ISBLANK(A41),"",SUMIFS(I$3:I41,D$3:D41,D41,H$3:H41,"Buy")+SUMIFS(I$3:I41,D$3:D41,D41,H$3:H41,"Cash Deposit")+SUMIFS(I$3:I41,D$3:D41,D41,H$3:H41,"Crypto Deposit")+SUMIFS(I$3:I41,D$3:D41,D41,H$3:H41,"Airdrop/Rewards")-SUMIFS(I$3:I41,D$3:D41,D41,H$3:H41,"Sell"))</f>
        <v>5921.3964441673816</v>
      </c>
      <c r="P41" s="2" cm="1">
        <f t="array" ref="P41">IF(ISBLANK(A41),"",IFERROR(IF(OR(H41="Sell",F41="Stable Coin"),INDEX(_xlfn._xlws.FILTER(P$2:P40, D$2:D40=D41),COUNT(_xlfn._xlws.FILTER(P$2:P40, D$2:D40=D41))),(INDEX(_xlfn._xlws.FILTER(P$2:P40, D$2:D40=D41),COUNT(_xlfn._xlws.FILTER(P$2:P40, D$2:D40=D41)))*INDEX(_xlfn._xlws.FILTER(O$2:O40, D$2:D40=D41),COUNT(_xlfn._xlws.FILTER(O$2:O40, D$2:D40=D41)))-N41) / O41), J41))</f>
        <v>1</v>
      </c>
      <c r="Q41" s="1" t="str">
        <f t="shared" si="2"/>
        <v>USD</v>
      </c>
      <c r="R41" s="1" cm="1">
        <f t="array" ref="R41">IF(A41="", "",
    IFERROR(
        _xlfn.SWITCH(
            TRUE,
            AND(Q41="USD", $Q$2="USD"), K41,
            AND(Q41="USD", $Q$2="GBP"), K41*$Z$3,
            AND(Q41="USD", $Q$2="HKD"), K41*$Z$4,
            AND(Q41="USD", $Q$2="EUR"), K41*$Z$5,
            AND(Q41="GBP", $Q$2="GBP"), K41,
            AND(Q41="GBP", $Q$2="USD"), K41*$Z$6,
            AND(Q41="GBP", $Q$2="HKD"), K41*$Z$7,
            AND(Q41="HKG", $Q$2="HKG"), K41,
            AND(Q41="HKD", $Q$2="USD"), K41*$Z$9,
            AND(Q41="HKD", $Q$2="GBP"), K41*$Z$10,
            AND(Q41="HKD", $Q$2="EUR"), K41*$Z$11,
            AND(Q41="EUR", $Q$2="EUR"), K41,
            AND(Q41="EUR", $Q$2="USD"), K41*$Z$12,
            AND(Q41="EUR", $Q$2="GBP"), K41*$Z$13,
            AND(Q41="EUR", $Q$2="HKD"), K41*$Z$14,
        ),
        0
    )
)</f>
        <v>0</v>
      </c>
      <c r="S41" s="1" cm="1">
        <f t="array" ref="S41">IF(A41="", "",
    IFERROR(
        _xlfn.SWITCH(
            TRUE,
            AND(Q41="USD", $Q$2="USD"), M41,
            AND(Q41="USD", $Q$2="GBP"), M41*$Z$3,
            AND(Q41="USD", $Q$2="HKD"), M41*$Z$4,
            AND(Q41="USD", $Q$2="EUR"), M41*$Z$5,
            AND(Q41="GBP", $Q$2="GBP"), M41,
            AND(Q41="GBP", $Q$2="USD"), M41*$Z$6,
            AND(Q41="GBP", $Q$2="HKD"), M41*$Z$7,
            AND(Q41="GBP", $Q$2="HKD"), M41*$Z$8,
            AND(Q41="HKG", $Q$2="HKG"), M41,
            AND(Q41="HKD", $Q$2="USD"), M41*$Z$9,
            AND(Q41="HKD", $Q$2="GBP"), M41*$Z$10,
            AND(Q41="HKD", $Q$2="EUR"), M41*$Z$11,
            AND(Q41="EUR", $Q$2="EUR"), M41,
            AND(Q41="EUR", $Q$2="USD"), M41*$Z$12,
            AND(Q41="EUR", $Q$2="GBP"), M41*$Z$13,
            AND(Q41="EUR", $Q$2="HKD"), M41*$Z$14,
        ),
        0
    )
)</f>
        <v>82.68</v>
      </c>
      <c r="T41" s="1" t="str">
        <f t="shared" si="3"/>
        <v>1</v>
      </c>
      <c r="U41" s="9" t="str">
        <f t="shared" si="4"/>
        <v>01</v>
      </c>
      <c r="V41" s="1" t="str">
        <f t="shared" si="5"/>
        <v>2023</v>
      </c>
      <c r="W41" s="18" t="str">
        <f t="shared" si="6"/>
        <v>星期日</v>
      </c>
    </row>
    <row r="42" spans="1:23">
      <c r="A42" s="17" t="s">
        <v>6</v>
      </c>
      <c r="B42" s="1" t="s">
        <v>348</v>
      </c>
      <c r="C42" s="9">
        <v>44927</v>
      </c>
      <c r="D42" s="1" t="s">
        <v>12</v>
      </c>
      <c r="E42" s="1" t="s">
        <v>163</v>
      </c>
      <c r="F42" s="1" t="s">
        <v>349</v>
      </c>
      <c r="H42" s="1" t="s">
        <v>347</v>
      </c>
      <c r="I42" s="1">
        <v>13</v>
      </c>
      <c r="J42" s="27">
        <v>6.36</v>
      </c>
      <c r="M42" s="24">
        <f t="shared" si="0"/>
        <v>82.68</v>
      </c>
      <c r="N42" s="36">
        <f t="shared" si="1"/>
        <v>-82.68</v>
      </c>
      <c r="O42" s="34">
        <f>IF(ISBLANK(A42),"",SUMIFS(I$3:I42,D$3:D42,D42,H$3:H42,"Buy")+SUMIFS(I$3:I42,D$3:D42,D42,H$3:H42,"Cash Deposit")+SUMIFS(I$3:I42,D$3:D42,D42,H$3:H42,"Crypto Deposit")+SUMIFS(I$3:I42,D$3:D42,D42,H$3:H42,"Airdrop/Rewards")-SUMIFS(I$3:I42,D$3:D42,D42,H$3:H42,"Sell"))</f>
        <v>13</v>
      </c>
      <c r="P42" s="2" cm="1">
        <f t="array" ref="P42">IF(ISBLANK(A42),"",IFERROR(IF(OR(H42="Sell",F42="Stable Coin"),INDEX(_xlfn._xlws.FILTER(P$2:P41, D$2:D41=D42),COUNT(_xlfn._xlws.FILTER(P$2:P41, D$2:D41=D42))),(INDEX(_xlfn._xlws.FILTER(P$2:P41, D$2:D41=D42),COUNT(_xlfn._xlws.FILTER(P$2:P41, D$2:D41=D42)))*INDEX(_xlfn._xlws.FILTER(O$2:O41, D$2:D41=D42),COUNT(_xlfn._xlws.FILTER(O$2:O41, D$2:D41=D42)))-N42) / O42), J42))</f>
        <v>6.36</v>
      </c>
      <c r="Q42" s="1" t="str">
        <f t="shared" si="2"/>
        <v>USD</v>
      </c>
      <c r="R42" s="1" cm="1">
        <f t="array" ref="R42">IF(A42="", "",
    IFERROR(
        _xlfn.SWITCH(
            TRUE,
            AND(Q42="USD", $Q$2="USD"), K42,
            AND(Q42="USD", $Q$2="GBP"), K42*$Z$3,
            AND(Q42="USD", $Q$2="HKD"), K42*$Z$4,
            AND(Q42="USD", $Q$2="EUR"), K42*$Z$5,
            AND(Q42="GBP", $Q$2="GBP"), K42,
            AND(Q42="GBP", $Q$2="USD"), K42*$Z$6,
            AND(Q42="GBP", $Q$2="HKD"), K42*$Z$7,
            AND(Q42="HKG", $Q$2="HKG"), K42,
            AND(Q42="HKD", $Q$2="USD"), K42*$Z$9,
            AND(Q42="HKD", $Q$2="GBP"), K42*$Z$10,
            AND(Q42="HKD", $Q$2="EUR"), K42*$Z$11,
            AND(Q42="EUR", $Q$2="EUR"), K42,
            AND(Q42="EUR", $Q$2="USD"), K42*$Z$12,
            AND(Q42="EUR", $Q$2="GBP"), K42*$Z$13,
            AND(Q42="EUR", $Q$2="HKD"), K42*$Z$14,
        ),
        0
    )
)</f>
        <v>0</v>
      </c>
      <c r="S42" s="1" cm="1">
        <f t="array" ref="S42">IF(A42="", "",
    IFERROR(
        _xlfn.SWITCH(
            TRUE,
            AND(Q42="USD", $Q$2="USD"), M42,
            AND(Q42="USD", $Q$2="GBP"), M42*$Z$3,
            AND(Q42="USD", $Q$2="HKD"), M42*$Z$4,
            AND(Q42="USD", $Q$2="EUR"), M42*$Z$5,
            AND(Q42="GBP", $Q$2="GBP"), M42,
            AND(Q42="GBP", $Q$2="USD"), M42*$Z$6,
            AND(Q42="GBP", $Q$2="HKD"), M42*$Z$7,
            AND(Q42="GBP", $Q$2="HKD"), M42*$Z$8,
            AND(Q42="HKG", $Q$2="HKG"), M42,
            AND(Q42="HKD", $Q$2="USD"), M42*$Z$9,
            AND(Q42="HKD", $Q$2="GBP"), M42*$Z$10,
            AND(Q42="HKD", $Q$2="EUR"), M42*$Z$11,
            AND(Q42="EUR", $Q$2="EUR"), M42,
            AND(Q42="EUR", $Q$2="USD"), M42*$Z$12,
            AND(Q42="EUR", $Q$2="GBP"), M42*$Z$13,
            AND(Q42="EUR", $Q$2="HKD"), M42*$Z$14,
        ),
        0
    )
)</f>
        <v>82.68</v>
      </c>
      <c r="T42" s="1" t="str">
        <f t="shared" si="3"/>
        <v>1</v>
      </c>
      <c r="U42" s="9" t="str">
        <f t="shared" si="4"/>
        <v>01</v>
      </c>
      <c r="V42" s="1" t="str">
        <f t="shared" si="5"/>
        <v>2023</v>
      </c>
      <c r="W42" s="18" t="str">
        <f t="shared" si="6"/>
        <v>星期日</v>
      </c>
    </row>
    <row r="43" spans="1:23">
      <c r="A43" s="17" t="s">
        <v>6</v>
      </c>
      <c r="B43" s="1" t="s">
        <v>348</v>
      </c>
      <c r="C43" s="9">
        <v>44927</v>
      </c>
      <c r="D43" s="1" t="s">
        <v>364</v>
      </c>
      <c r="E43" s="1" t="s">
        <v>114</v>
      </c>
      <c r="F43" s="1" t="s">
        <v>346</v>
      </c>
      <c r="H43" s="1" t="s">
        <v>367</v>
      </c>
      <c r="I43" s="1">
        <f>I44*J44</f>
        <v>200.0514178</v>
      </c>
      <c r="J43" s="27">
        <v>1</v>
      </c>
      <c r="M43" s="24">
        <f t="shared" si="0"/>
        <v>200.0514178</v>
      </c>
      <c r="N43" s="36">
        <f t="shared" si="1"/>
        <v>200.0514178</v>
      </c>
      <c r="O43" s="34">
        <f>IF(ISBLANK(A43),"",SUMIFS(I$3:I43,D$3:D43,D43,H$3:H43,"Buy")+SUMIFS(I$3:I43,D$3:D43,D43,H$3:H43,"Cash Deposit")+SUMIFS(I$3:I43,D$3:D43,D43,H$3:H43,"Crypto Deposit")+SUMIFS(I$3:I43,D$3:D43,D43,H$3:H43,"Airdrop/Rewards")-SUMIFS(I$3:I43,D$3:D43,D43,H$3:H43,"Sell"))</f>
        <v>5721.3450263673803</v>
      </c>
      <c r="P43" s="2" cm="1">
        <f t="array" ref="P43">IF(ISBLANK(A43),"",IFERROR(IF(OR(H43="Sell",F43="Stable Coin"),INDEX(_xlfn._xlws.FILTER(P$2:P42, D$2:D42=D43),COUNT(_xlfn._xlws.FILTER(P$2:P42, D$2:D42=D43))),(INDEX(_xlfn._xlws.FILTER(P$2:P42, D$2:D42=D43),COUNT(_xlfn._xlws.FILTER(P$2:P42, D$2:D42=D43)))*INDEX(_xlfn._xlws.FILTER(O$2:O42, D$2:D42=D43),COUNT(_xlfn._xlws.FILTER(O$2:O42, D$2:D42=D43)))-N43) / O43), J43))</f>
        <v>1</v>
      </c>
      <c r="Q43" s="1" t="str">
        <f t="shared" si="2"/>
        <v>USD</v>
      </c>
      <c r="R43" s="1" cm="1">
        <f t="array" ref="R43">IF(A43="", "",
    IFERROR(
        _xlfn.SWITCH(
            TRUE,
            AND(Q43="USD", $Q$2="USD"), K43,
            AND(Q43="USD", $Q$2="GBP"), K43*$Z$3,
            AND(Q43="USD", $Q$2="HKD"), K43*$Z$4,
            AND(Q43="USD", $Q$2="EUR"), K43*$Z$5,
            AND(Q43="GBP", $Q$2="GBP"), K43,
            AND(Q43="GBP", $Q$2="USD"), K43*$Z$6,
            AND(Q43="GBP", $Q$2="HKD"), K43*$Z$7,
            AND(Q43="HKG", $Q$2="HKG"), K43,
            AND(Q43="HKD", $Q$2="USD"), K43*$Z$9,
            AND(Q43="HKD", $Q$2="GBP"), K43*$Z$10,
            AND(Q43="HKD", $Q$2="EUR"), K43*$Z$11,
            AND(Q43="EUR", $Q$2="EUR"), K43,
            AND(Q43="EUR", $Q$2="USD"), K43*$Z$12,
            AND(Q43="EUR", $Q$2="GBP"), K43*$Z$13,
            AND(Q43="EUR", $Q$2="HKD"), K43*$Z$14,
        ),
        0
    )
)</f>
        <v>0</v>
      </c>
      <c r="S43" s="1" cm="1">
        <f t="array" ref="S43">IF(A43="", "",
    IFERROR(
        _xlfn.SWITCH(
            TRUE,
            AND(Q43="USD", $Q$2="USD"), M43,
            AND(Q43="USD", $Q$2="GBP"), M43*$Z$3,
            AND(Q43="USD", $Q$2="HKD"), M43*$Z$4,
            AND(Q43="USD", $Q$2="EUR"), M43*$Z$5,
            AND(Q43="GBP", $Q$2="GBP"), M43,
            AND(Q43="GBP", $Q$2="USD"), M43*$Z$6,
            AND(Q43="GBP", $Q$2="HKD"), M43*$Z$7,
            AND(Q43="GBP", $Q$2="HKD"), M43*$Z$8,
            AND(Q43="HKG", $Q$2="HKG"), M43,
            AND(Q43="HKD", $Q$2="USD"), M43*$Z$9,
            AND(Q43="HKD", $Q$2="GBP"), M43*$Z$10,
            AND(Q43="HKD", $Q$2="EUR"), M43*$Z$11,
            AND(Q43="EUR", $Q$2="EUR"), M43,
            AND(Q43="EUR", $Q$2="USD"), M43*$Z$12,
            AND(Q43="EUR", $Q$2="GBP"), M43*$Z$13,
            AND(Q43="EUR", $Q$2="HKD"), M43*$Z$14,
        ),
        0
    )
)</f>
        <v>200.0514178</v>
      </c>
      <c r="T43" s="1" t="str">
        <f t="shared" si="3"/>
        <v>1</v>
      </c>
      <c r="U43" s="9" t="str">
        <f t="shared" si="4"/>
        <v>01</v>
      </c>
      <c r="V43" s="1" t="str">
        <f t="shared" si="5"/>
        <v>2023</v>
      </c>
      <c r="W43" s="18" t="str">
        <f t="shared" si="6"/>
        <v>星期日</v>
      </c>
    </row>
    <row r="44" spans="1:23">
      <c r="A44" s="17" t="s">
        <v>6</v>
      </c>
      <c r="B44" s="1" t="s">
        <v>348</v>
      </c>
      <c r="C44" s="9">
        <v>44927</v>
      </c>
      <c r="D44" s="1" t="s">
        <v>13</v>
      </c>
      <c r="E44" s="1" t="s">
        <v>184</v>
      </c>
      <c r="F44" s="1" t="s">
        <v>349</v>
      </c>
      <c r="H44" s="1" t="s">
        <v>347</v>
      </c>
      <c r="I44" s="1">
        <v>1690</v>
      </c>
      <c r="J44" s="27">
        <v>0.11837362</v>
      </c>
      <c r="M44" s="24">
        <f t="shared" si="0"/>
        <v>200.0514178</v>
      </c>
      <c r="N44" s="36">
        <f t="shared" si="1"/>
        <v>-200.0514178</v>
      </c>
      <c r="O44" s="34">
        <f>IF(ISBLANK(A44),"",SUMIFS(I$3:I44,D$3:D44,D44,H$3:H44,"Buy")+SUMIFS(I$3:I44,D$3:D44,D44,H$3:H44,"Cash Deposit")+SUMIFS(I$3:I44,D$3:D44,D44,H$3:H44,"Crypto Deposit")+SUMIFS(I$3:I44,D$3:D44,D44,H$3:H44,"Airdrop/Rewards")-SUMIFS(I$3:I44,D$3:D44,D44,H$3:H44,"Sell"))</f>
        <v>1690</v>
      </c>
      <c r="P44" s="2" cm="1">
        <f t="array" ref="P44">IF(ISBLANK(A44),"",IFERROR(IF(OR(H44="Sell",F44="Stable Coin"),INDEX(_xlfn._xlws.FILTER(P$2:P43, D$2:D43=D44),COUNT(_xlfn._xlws.FILTER(P$2:P43, D$2:D43=D44))),(INDEX(_xlfn._xlws.FILTER(P$2:P43, D$2:D43=D44),COUNT(_xlfn._xlws.FILTER(P$2:P43, D$2:D43=D44)))*INDEX(_xlfn._xlws.FILTER(O$2:O43, D$2:D43=D44),COUNT(_xlfn._xlws.FILTER(O$2:O43, D$2:D43=D44)))-N44) / O44), J44))</f>
        <v>0.11837362</v>
      </c>
      <c r="Q44" s="1" t="str">
        <f t="shared" si="2"/>
        <v>USD</v>
      </c>
      <c r="R44" s="1" cm="1">
        <f t="array" ref="R44">IF(A44="", "",
    IFERROR(
        _xlfn.SWITCH(
            TRUE,
            AND(Q44="USD", $Q$2="USD"), K44,
            AND(Q44="USD", $Q$2="GBP"), K44*$Z$3,
            AND(Q44="USD", $Q$2="HKD"), K44*$Z$4,
            AND(Q44="USD", $Q$2="EUR"), K44*$Z$5,
            AND(Q44="GBP", $Q$2="GBP"), K44,
            AND(Q44="GBP", $Q$2="USD"), K44*$Z$6,
            AND(Q44="GBP", $Q$2="HKD"), K44*$Z$7,
            AND(Q44="HKG", $Q$2="HKG"), K44,
            AND(Q44="HKD", $Q$2="USD"), K44*$Z$9,
            AND(Q44="HKD", $Q$2="GBP"), K44*$Z$10,
            AND(Q44="HKD", $Q$2="EUR"), K44*$Z$11,
            AND(Q44="EUR", $Q$2="EUR"), K44,
            AND(Q44="EUR", $Q$2="USD"), K44*$Z$12,
            AND(Q44="EUR", $Q$2="GBP"), K44*$Z$13,
            AND(Q44="EUR", $Q$2="HKD"), K44*$Z$14,
        ),
        0
    )
)</f>
        <v>0</v>
      </c>
      <c r="S44" s="1" cm="1">
        <f t="array" ref="S44">IF(A44="", "",
    IFERROR(
        _xlfn.SWITCH(
            TRUE,
            AND(Q44="USD", $Q$2="USD"), M44,
            AND(Q44="USD", $Q$2="GBP"), M44*$Z$3,
            AND(Q44="USD", $Q$2="HKD"), M44*$Z$4,
            AND(Q44="USD", $Q$2="EUR"), M44*$Z$5,
            AND(Q44="GBP", $Q$2="GBP"), M44,
            AND(Q44="GBP", $Q$2="USD"), M44*$Z$6,
            AND(Q44="GBP", $Q$2="HKD"), M44*$Z$7,
            AND(Q44="GBP", $Q$2="HKD"), M44*$Z$8,
            AND(Q44="HKG", $Q$2="HKG"), M44,
            AND(Q44="HKD", $Q$2="USD"), M44*$Z$9,
            AND(Q44="HKD", $Q$2="GBP"), M44*$Z$10,
            AND(Q44="HKD", $Q$2="EUR"), M44*$Z$11,
            AND(Q44="EUR", $Q$2="EUR"), M44,
            AND(Q44="EUR", $Q$2="USD"), M44*$Z$12,
            AND(Q44="EUR", $Q$2="GBP"), M44*$Z$13,
            AND(Q44="EUR", $Q$2="HKD"), M44*$Z$14,
        ),
        0
    )
)</f>
        <v>200.0514178</v>
      </c>
      <c r="T44" s="1" t="str">
        <f t="shared" si="3"/>
        <v>1</v>
      </c>
      <c r="U44" s="9" t="str">
        <f t="shared" si="4"/>
        <v>01</v>
      </c>
      <c r="V44" s="1" t="str">
        <f t="shared" si="5"/>
        <v>2023</v>
      </c>
      <c r="W44" s="18" t="str">
        <f t="shared" si="6"/>
        <v>星期日</v>
      </c>
    </row>
    <row r="45" spans="1:23">
      <c r="A45" s="17" t="s">
        <v>6</v>
      </c>
      <c r="B45" s="1" t="s">
        <v>348</v>
      </c>
      <c r="C45" s="9">
        <v>44927</v>
      </c>
      <c r="D45" s="1" t="s">
        <v>364</v>
      </c>
      <c r="E45" s="1" t="s">
        <v>114</v>
      </c>
      <c r="F45" s="1" t="s">
        <v>346</v>
      </c>
      <c r="H45" s="1" t="s">
        <v>367</v>
      </c>
      <c r="I45" s="1">
        <f>I46*J46</f>
        <v>129.34504279000001</v>
      </c>
      <c r="J45" s="27">
        <v>1</v>
      </c>
      <c r="M45" s="24">
        <f t="shared" si="0"/>
        <v>129.34504279000001</v>
      </c>
      <c r="N45" s="36">
        <f t="shared" si="1"/>
        <v>129.34504279000001</v>
      </c>
      <c r="O45" s="34">
        <f>IF(ISBLANK(A45),"",SUMIFS(I$3:I45,D$3:D45,D45,H$3:H45,"Buy")+SUMIFS(I$3:I45,D$3:D45,D45,H$3:H45,"Cash Deposit")+SUMIFS(I$3:I45,D$3:D45,D45,H$3:H45,"Crypto Deposit")+SUMIFS(I$3:I45,D$3:D45,D45,H$3:H45,"Airdrop/Rewards")-SUMIFS(I$3:I45,D$3:D45,D45,H$3:H45,"Sell"))</f>
        <v>5591.9999835773815</v>
      </c>
      <c r="P45" s="2" cm="1">
        <f t="array" ref="P45">IF(ISBLANK(A45),"",IFERROR(IF(OR(H45="Sell",F45="Stable Coin"),INDEX(_xlfn._xlws.FILTER(P$2:P44, D$2:D44=D45),COUNT(_xlfn._xlws.FILTER(P$2:P44, D$2:D44=D45))),(INDEX(_xlfn._xlws.FILTER(P$2:P44, D$2:D44=D45),COUNT(_xlfn._xlws.FILTER(P$2:P44, D$2:D44=D45)))*INDEX(_xlfn._xlws.FILTER(O$2:O44, D$2:D44=D45),COUNT(_xlfn._xlws.FILTER(O$2:O44, D$2:D44=D45)))-N45) / O45), J45))</f>
        <v>1</v>
      </c>
      <c r="Q45" s="1" t="str">
        <f t="shared" si="2"/>
        <v>USD</v>
      </c>
      <c r="R45" s="1" cm="1">
        <f t="array" ref="R45">IF(A45="", "",
    IFERROR(
        _xlfn.SWITCH(
            TRUE,
            AND(Q45="USD", $Q$2="USD"), K45,
            AND(Q45="USD", $Q$2="GBP"), K45*$Z$3,
            AND(Q45="USD", $Q$2="HKD"), K45*$Z$4,
            AND(Q45="USD", $Q$2="EUR"), K45*$Z$5,
            AND(Q45="GBP", $Q$2="GBP"), K45,
            AND(Q45="GBP", $Q$2="USD"), K45*$Z$6,
            AND(Q45="GBP", $Q$2="HKD"), K45*$Z$7,
            AND(Q45="HKG", $Q$2="HKG"), K45,
            AND(Q45="HKD", $Q$2="USD"), K45*$Z$9,
            AND(Q45="HKD", $Q$2="GBP"), K45*$Z$10,
            AND(Q45="HKD", $Q$2="EUR"), K45*$Z$11,
            AND(Q45="EUR", $Q$2="EUR"), K45,
            AND(Q45="EUR", $Q$2="USD"), K45*$Z$12,
            AND(Q45="EUR", $Q$2="GBP"), K45*$Z$13,
            AND(Q45="EUR", $Q$2="HKD"), K45*$Z$14,
        ),
        0
    )
)</f>
        <v>0</v>
      </c>
      <c r="S45" s="1" cm="1">
        <f t="array" ref="S45">IF(A45="", "",
    IFERROR(
        _xlfn.SWITCH(
            TRUE,
            AND(Q45="USD", $Q$2="USD"), M45,
            AND(Q45="USD", $Q$2="GBP"), M45*$Z$3,
            AND(Q45="USD", $Q$2="HKD"), M45*$Z$4,
            AND(Q45="USD", $Q$2="EUR"), M45*$Z$5,
            AND(Q45="GBP", $Q$2="GBP"), M45,
            AND(Q45="GBP", $Q$2="USD"), M45*$Z$6,
            AND(Q45="GBP", $Q$2="HKD"), M45*$Z$7,
            AND(Q45="GBP", $Q$2="HKD"), M45*$Z$8,
            AND(Q45="HKG", $Q$2="HKG"), M45,
            AND(Q45="HKD", $Q$2="USD"), M45*$Z$9,
            AND(Q45="HKD", $Q$2="GBP"), M45*$Z$10,
            AND(Q45="HKD", $Q$2="EUR"), M45*$Z$11,
            AND(Q45="EUR", $Q$2="EUR"), M45,
            AND(Q45="EUR", $Q$2="USD"), M45*$Z$12,
            AND(Q45="EUR", $Q$2="GBP"), M45*$Z$13,
            AND(Q45="EUR", $Q$2="HKD"), M45*$Z$14,
        ),
        0
    )
)</f>
        <v>129.34504279000001</v>
      </c>
      <c r="T45" s="1" t="str">
        <f t="shared" si="3"/>
        <v>1</v>
      </c>
      <c r="U45" s="9" t="str">
        <f t="shared" si="4"/>
        <v>01</v>
      </c>
      <c r="V45" s="1" t="str">
        <f t="shared" si="5"/>
        <v>2023</v>
      </c>
      <c r="W45" s="18" t="str">
        <f t="shared" si="6"/>
        <v>星期日</v>
      </c>
    </row>
    <row r="46" spans="1:23">
      <c r="A46" s="17" t="s">
        <v>6</v>
      </c>
      <c r="B46" s="1" t="s">
        <v>348</v>
      </c>
      <c r="C46" s="9">
        <v>44927</v>
      </c>
      <c r="D46" s="1" t="s">
        <v>14</v>
      </c>
      <c r="E46" s="1" t="s">
        <v>14</v>
      </c>
      <c r="F46" s="1" t="s">
        <v>349</v>
      </c>
      <c r="H46" s="1" t="s">
        <v>347</v>
      </c>
      <c r="I46" s="1">
        <v>1811</v>
      </c>
      <c r="J46" s="27">
        <v>7.1421890000000002E-2</v>
      </c>
      <c r="M46" s="24">
        <f t="shared" si="0"/>
        <v>129.34504279000001</v>
      </c>
      <c r="N46" s="36">
        <f t="shared" si="1"/>
        <v>-129.34504279000001</v>
      </c>
      <c r="O46" s="34">
        <f>IF(ISBLANK(A46),"",SUMIFS(I$3:I46,D$3:D46,D46,H$3:H46,"Buy")+SUMIFS(I$3:I46,D$3:D46,D46,H$3:H46,"Cash Deposit")+SUMIFS(I$3:I46,D$3:D46,D46,H$3:H46,"Crypto Deposit")+SUMIFS(I$3:I46,D$3:D46,D46,H$3:H46,"Airdrop/Rewards")-SUMIFS(I$3:I46,D$3:D46,D46,H$3:H46,"Sell"))</f>
        <v>1811</v>
      </c>
      <c r="P46" s="2" cm="1">
        <f t="array" ref="P46">IF(ISBLANK(A46),"",IFERROR(IF(OR(H46="Sell",F46="Stable Coin"),INDEX(_xlfn._xlws.FILTER(P$2:P45, D$2:D45=D46),COUNT(_xlfn._xlws.FILTER(P$2:P45, D$2:D45=D46))),(INDEX(_xlfn._xlws.FILTER(P$2:P45, D$2:D45=D46),COUNT(_xlfn._xlws.FILTER(P$2:P45, D$2:D45=D46)))*INDEX(_xlfn._xlws.FILTER(O$2:O45, D$2:D45=D46),COUNT(_xlfn._xlws.FILTER(O$2:O45, D$2:D45=D46)))-N46) / O46), J46))</f>
        <v>7.1421890000000002E-2</v>
      </c>
      <c r="Q46" s="1" t="str">
        <f t="shared" si="2"/>
        <v>USD</v>
      </c>
      <c r="R46" s="1" cm="1">
        <f t="array" ref="R46">IF(A46="", "",
    IFERROR(
        _xlfn.SWITCH(
            TRUE,
            AND(Q46="USD", $Q$2="USD"), K46,
            AND(Q46="USD", $Q$2="GBP"), K46*$Z$3,
            AND(Q46="USD", $Q$2="HKD"), K46*$Z$4,
            AND(Q46="USD", $Q$2="EUR"), K46*$Z$5,
            AND(Q46="GBP", $Q$2="GBP"), K46,
            AND(Q46="GBP", $Q$2="USD"), K46*$Z$6,
            AND(Q46="GBP", $Q$2="HKD"), K46*$Z$7,
            AND(Q46="HKG", $Q$2="HKG"), K46,
            AND(Q46="HKD", $Q$2="USD"), K46*$Z$9,
            AND(Q46="HKD", $Q$2="GBP"), K46*$Z$10,
            AND(Q46="HKD", $Q$2="EUR"), K46*$Z$11,
            AND(Q46="EUR", $Q$2="EUR"), K46,
            AND(Q46="EUR", $Q$2="USD"), K46*$Z$12,
            AND(Q46="EUR", $Q$2="GBP"), K46*$Z$13,
            AND(Q46="EUR", $Q$2="HKD"), K46*$Z$14,
        ),
        0
    )
)</f>
        <v>0</v>
      </c>
      <c r="S46" s="1" cm="1">
        <f t="array" ref="S46">IF(A46="", "",
    IFERROR(
        _xlfn.SWITCH(
            TRUE,
            AND(Q46="USD", $Q$2="USD"), M46,
            AND(Q46="USD", $Q$2="GBP"), M46*$Z$3,
            AND(Q46="USD", $Q$2="HKD"), M46*$Z$4,
            AND(Q46="USD", $Q$2="EUR"), M46*$Z$5,
            AND(Q46="GBP", $Q$2="GBP"), M46,
            AND(Q46="GBP", $Q$2="USD"), M46*$Z$6,
            AND(Q46="GBP", $Q$2="HKD"), M46*$Z$7,
            AND(Q46="GBP", $Q$2="HKD"), M46*$Z$8,
            AND(Q46="HKG", $Q$2="HKG"), M46,
            AND(Q46="HKD", $Q$2="USD"), M46*$Z$9,
            AND(Q46="HKD", $Q$2="GBP"), M46*$Z$10,
            AND(Q46="HKD", $Q$2="EUR"), M46*$Z$11,
            AND(Q46="EUR", $Q$2="EUR"), M46,
            AND(Q46="EUR", $Q$2="USD"), M46*$Z$12,
            AND(Q46="EUR", $Q$2="GBP"), M46*$Z$13,
            AND(Q46="EUR", $Q$2="HKD"), M46*$Z$14,
        ),
        0
    )
)</f>
        <v>129.34504279000001</v>
      </c>
      <c r="T46" s="1" t="str">
        <f t="shared" si="3"/>
        <v>1</v>
      </c>
      <c r="U46" s="9" t="str">
        <f t="shared" si="4"/>
        <v>01</v>
      </c>
      <c r="V46" s="1" t="str">
        <f t="shared" si="5"/>
        <v>2023</v>
      </c>
      <c r="W46" s="18" t="str">
        <f t="shared" si="6"/>
        <v>星期日</v>
      </c>
    </row>
    <row r="47" spans="1:23">
      <c r="A47" s="17" t="s">
        <v>6</v>
      </c>
      <c r="B47" s="1" t="s">
        <v>348</v>
      </c>
      <c r="C47" s="9">
        <v>44927</v>
      </c>
      <c r="D47" s="1" t="s">
        <v>364</v>
      </c>
      <c r="E47" s="1" t="s">
        <v>114</v>
      </c>
      <c r="F47" s="1" t="s">
        <v>346</v>
      </c>
      <c r="H47" s="1" t="s">
        <v>367</v>
      </c>
      <c r="I47" s="1">
        <f>I48*J48</f>
        <v>147.518351897</v>
      </c>
      <c r="J47" s="27">
        <v>1</v>
      </c>
      <c r="M47" s="24">
        <f t="shared" si="0"/>
        <v>147.518351897</v>
      </c>
      <c r="N47" s="36">
        <f t="shared" si="1"/>
        <v>147.518351897</v>
      </c>
      <c r="O47" s="34">
        <f>IF(ISBLANK(A47),"",SUMIFS(I$3:I47,D$3:D47,D47,H$3:H47,"Buy")+SUMIFS(I$3:I47,D$3:D47,D47,H$3:H47,"Cash Deposit")+SUMIFS(I$3:I47,D$3:D47,D47,H$3:H47,"Crypto Deposit")+SUMIFS(I$3:I47,D$3:D47,D47,H$3:H47,"Airdrop/Rewards")-SUMIFS(I$3:I47,D$3:D47,D47,H$3:H47,"Sell"))</f>
        <v>5444.4816316803808</v>
      </c>
      <c r="P47" s="2" cm="1">
        <f t="array" ref="P47">IF(ISBLANK(A47),"",IFERROR(IF(OR(H47="Sell",F47="Stable Coin"),INDEX(_xlfn._xlws.FILTER(P$2:P46, D$2:D46=D47),COUNT(_xlfn._xlws.FILTER(P$2:P46, D$2:D46=D47))),(INDEX(_xlfn._xlws.FILTER(P$2:P46, D$2:D46=D47),COUNT(_xlfn._xlws.FILTER(P$2:P46, D$2:D46=D47)))*INDEX(_xlfn._xlws.FILTER(O$2:O46, D$2:D46=D47),COUNT(_xlfn._xlws.FILTER(O$2:O46, D$2:D46=D47)))-N47) / O47), J47))</f>
        <v>1</v>
      </c>
      <c r="Q47" s="1" t="str">
        <f t="shared" si="2"/>
        <v>USD</v>
      </c>
      <c r="R47" s="1" cm="1">
        <f t="array" ref="R47">IF(A47="", "",
    IFERROR(
        _xlfn.SWITCH(
            TRUE,
            AND(Q47="USD", $Q$2="USD"), K47,
            AND(Q47="USD", $Q$2="GBP"), K47*$Z$3,
            AND(Q47="USD", $Q$2="HKD"), K47*$Z$4,
            AND(Q47="USD", $Q$2="EUR"), K47*$Z$5,
            AND(Q47="GBP", $Q$2="GBP"), K47,
            AND(Q47="GBP", $Q$2="USD"), K47*$Z$6,
            AND(Q47="GBP", $Q$2="HKD"), K47*$Z$7,
            AND(Q47="HKG", $Q$2="HKG"), K47,
            AND(Q47="HKD", $Q$2="USD"), K47*$Z$9,
            AND(Q47="HKD", $Q$2="GBP"), K47*$Z$10,
            AND(Q47="HKD", $Q$2="EUR"), K47*$Z$11,
            AND(Q47="EUR", $Q$2="EUR"), K47,
            AND(Q47="EUR", $Q$2="USD"), K47*$Z$12,
            AND(Q47="EUR", $Q$2="GBP"), K47*$Z$13,
            AND(Q47="EUR", $Q$2="HKD"), K47*$Z$14,
        ),
        0
    )
)</f>
        <v>0</v>
      </c>
      <c r="S47" s="1" cm="1">
        <f t="array" ref="S47">IF(A47="", "",
    IFERROR(
        _xlfn.SWITCH(
            TRUE,
            AND(Q47="USD", $Q$2="USD"), M47,
            AND(Q47="USD", $Q$2="GBP"), M47*$Z$3,
            AND(Q47="USD", $Q$2="HKD"), M47*$Z$4,
            AND(Q47="USD", $Q$2="EUR"), M47*$Z$5,
            AND(Q47="GBP", $Q$2="GBP"), M47,
            AND(Q47="GBP", $Q$2="USD"), M47*$Z$6,
            AND(Q47="GBP", $Q$2="HKD"), M47*$Z$7,
            AND(Q47="GBP", $Q$2="HKD"), M47*$Z$8,
            AND(Q47="HKG", $Q$2="HKG"), M47,
            AND(Q47="HKD", $Q$2="USD"), M47*$Z$9,
            AND(Q47="HKD", $Q$2="GBP"), M47*$Z$10,
            AND(Q47="HKD", $Q$2="EUR"), M47*$Z$11,
            AND(Q47="EUR", $Q$2="EUR"), M47,
            AND(Q47="EUR", $Q$2="USD"), M47*$Z$12,
            AND(Q47="EUR", $Q$2="GBP"), M47*$Z$13,
            AND(Q47="EUR", $Q$2="HKD"), M47*$Z$14,
        ),
        0
    )
)</f>
        <v>147.518351897</v>
      </c>
      <c r="T47" s="1" t="str">
        <f t="shared" si="3"/>
        <v>1</v>
      </c>
      <c r="U47" s="9" t="str">
        <f t="shared" si="4"/>
        <v>01</v>
      </c>
      <c r="V47" s="1" t="str">
        <f t="shared" si="5"/>
        <v>2023</v>
      </c>
      <c r="W47" s="18" t="str">
        <f t="shared" si="6"/>
        <v>星期日</v>
      </c>
    </row>
    <row r="48" spans="1:23">
      <c r="A48" s="17" t="s">
        <v>6</v>
      </c>
      <c r="B48" s="1" t="s">
        <v>348</v>
      </c>
      <c r="C48" s="9">
        <v>44927</v>
      </c>
      <c r="D48" s="1" t="s">
        <v>15</v>
      </c>
      <c r="E48" s="1" t="s">
        <v>133</v>
      </c>
      <c r="F48" s="1" t="s">
        <v>349</v>
      </c>
      <c r="H48" s="1" t="s">
        <v>347</v>
      </c>
      <c r="I48" s="1">
        <v>5.0571941000000002</v>
      </c>
      <c r="J48" s="27">
        <v>29.17</v>
      </c>
      <c r="M48" s="24">
        <f t="shared" si="0"/>
        <v>147.518351897</v>
      </c>
      <c r="N48" s="36">
        <f t="shared" si="1"/>
        <v>-147.518351897</v>
      </c>
      <c r="O48" s="34">
        <f>IF(ISBLANK(A48),"",SUMIFS(I$3:I48,D$3:D48,D48,H$3:H48,"Buy")+SUMIFS(I$3:I48,D$3:D48,D48,H$3:H48,"Cash Deposit")+SUMIFS(I$3:I48,D$3:D48,D48,H$3:H48,"Crypto Deposit")+SUMIFS(I$3:I48,D$3:D48,D48,H$3:H48,"Airdrop/Rewards")-SUMIFS(I$3:I48,D$3:D48,D48,H$3:H48,"Sell"))</f>
        <v>5.0571941000000002</v>
      </c>
      <c r="P48" s="2" cm="1">
        <f t="array" ref="P48">IF(ISBLANK(A48),"",IFERROR(IF(OR(H48="Sell",F48="Stable Coin"),INDEX(_xlfn._xlws.FILTER(P$2:P47, D$2:D47=D48),COUNT(_xlfn._xlws.FILTER(P$2:P47, D$2:D47=D48))),(INDEX(_xlfn._xlws.FILTER(P$2:P47, D$2:D47=D48),COUNT(_xlfn._xlws.FILTER(P$2:P47, D$2:D47=D48)))*INDEX(_xlfn._xlws.FILTER(O$2:O47, D$2:D47=D48),COUNT(_xlfn._xlws.FILTER(O$2:O47, D$2:D47=D48)))-N48) / O48), J48))</f>
        <v>29.17</v>
      </c>
      <c r="Q48" s="1" t="str">
        <f t="shared" si="2"/>
        <v>USD</v>
      </c>
      <c r="R48" s="1" cm="1">
        <f t="array" ref="R48">IF(A48="", "",
    IFERROR(
        _xlfn.SWITCH(
            TRUE,
            AND(Q48="USD", $Q$2="USD"), K48,
            AND(Q48="USD", $Q$2="GBP"), K48*$Z$3,
            AND(Q48="USD", $Q$2="HKD"), K48*$Z$4,
            AND(Q48="USD", $Q$2="EUR"), K48*$Z$5,
            AND(Q48="GBP", $Q$2="GBP"), K48,
            AND(Q48="GBP", $Q$2="USD"), K48*$Z$6,
            AND(Q48="GBP", $Q$2="HKD"), K48*$Z$7,
            AND(Q48="HKG", $Q$2="HKG"), K48,
            AND(Q48="HKD", $Q$2="USD"), K48*$Z$9,
            AND(Q48="HKD", $Q$2="GBP"), K48*$Z$10,
            AND(Q48="HKD", $Q$2="EUR"), K48*$Z$11,
            AND(Q48="EUR", $Q$2="EUR"), K48,
            AND(Q48="EUR", $Q$2="USD"), K48*$Z$12,
            AND(Q48="EUR", $Q$2="GBP"), K48*$Z$13,
            AND(Q48="EUR", $Q$2="HKD"), K48*$Z$14,
        ),
        0
    )
)</f>
        <v>0</v>
      </c>
      <c r="S48" s="1" cm="1">
        <f t="array" ref="S48">IF(A48="", "",
    IFERROR(
        _xlfn.SWITCH(
            TRUE,
            AND(Q48="USD", $Q$2="USD"), M48,
            AND(Q48="USD", $Q$2="GBP"), M48*$Z$3,
            AND(Q48="USD", $Q$2="HKD"), M48*$Z$4,
            AND(Q48="USD", $Q$2="EUR"), M48*$Z$5,
            AND(Q48="GBP", $Q$2="GBP"), M48,
            AND(Q48="GBP", $Q$2="USD"), M48*$Z$6,
            AND(Q48="GBP", $Q$2="HKD"), M48*$Z$7,
            AND(Q48="GBP", $Q$2="HKD"), M48*$Z$8,
            AND(Q48="HKG", $Q$2="HKG"), M48,
            AND(Q48="HKD", $Q$2="USD"), M48*$Z$9,
            AND(Q48="HKD", $Q$2="GBP"), M48*$Z$10,
            AND(Q48="HKD", $Q$2="EUR"), M48*$Z$11,
            AND(Q48="EUR", $Q$2="EUR"), M48,
            AND(Q48="EUR", $Q$2="USD"), M48*$Z$12,
            AND(Q48="EUR", $Q$2="GBP"), M48*$Z$13,
            AND(Q48="EUR", $Q$2="HKD"), M48*$Z$14,
        ),
        0
    )
)</f>
        <v>147.518351897</v>
      </c>
      <c r="T48" s="1" t="str">
        <f t="shared" si="3"/>
        <v>1</v>
      </c>
      <c r="U48" s="9" t="str">
        <f t="shared" si="4"/>
        <v>01</v>
      </c>
      <c r="V48" s="1" t="str">
        <f t="shared" si="5"/>
        <v>2023</v>
      </c>
      <c r="W48" s="18" t="str">
        <f t="shared" si="6"/>
        <v>星期日</v>
      </c>
    </row>
    <row r="49" spans="1:23">
      <c r="A49" s="17" t="s">
        <v>6</v>
      </c>
      <c r="B49" s="1" t="s">
        <v>348</v>
      </c>
      <c r="C49" s="9">
        <v>44927</v>
      </c>
      <c r="D49" s="1" t="s">
        <v>364</v>
      </c>
      <c r="E49" s="1" t="s">
        <v>114</v>
      </c>
      <c r="F49" s="1" t="s">
        <v>346</v>
      </c>
      <c r="H49" s="1" t="s">
        <v>367</v>
      </c>
      <c r="I49" s="1">
        <f>I50*J50</f>
        <v>1289.57</v>
      </c>
      <c r="J49" s="27">
        <v>1</v>
      </c>
      <c r="M49" s="24">
        <f t="shared" si="0"/>
        <v>1289.57</v>
      </c>
      <c r="N49" s="36">
        <f t="shared" si="1"/>
        <v>1289.57</v>
      </c>
      <c r="O49" s="34">
        <f>IF(ISBLANK(A49),"",SUMIFS(I$3:I49,D$3:D49,D49,H$3:H49,"Buy")+SUMIFS(I$3:I49,D$3:D49,D49,H$3:H49,"Cash Deposit")+SUMIFS(I$3:I49,D$3:D49,D49,H$3:H49,"Crypto Deposit")+SUMIFS(I$3:I49,D$3:D49,D49,H$3:H49,"Airdrop/Rewards")-SUMIFS(I$3:I49,D$3:D49,D49,H$3:H49,"Sell"))</f>
        <v>4154.9116316803811</v>
      </c>
      <c r="P49" s="2" cm="1">
        <f t="array" ref="P49">IF(ISBLANK(A49),"",IFERROR(IF(OR(H49="Sell",F49="Stable Coin"),INDEX(_xlfn._xlws.FILTER(P$2:P48, D$2:D48=D49),COUNT(_xlfn._xlws.FILTER(P$2:P48, D$2:D48=D49))),(INDEX(_xlfn._xlws.FILTER(P$2:P48, D$2:D48=D49),COUNT(_xlfn._xlws.FILTER(P$2:P48, D$2:D48=D49)))*INDEX(_xlfn._xlws.FILTER(O$2:O48, D$2:D48=D49),COUNT(_xlfn._xlws.FILTER(O$2:O48, D$2:D48=D49)))-N49) / O49), J49))</f>
        <v>1</v>
      </c>
      <c r="Q49" s="1" t="str">
        <f t="shared" si="2"/>
        <v>USD</v>
      </c>
      <c r="R49" s="1" cm="1">
        <f t="array" ref="R49">IF(A49="", "",
    IFERROR(
        _xlfn.SWITCH(
            TRUE,
            AND(Q49="USD", $Q$2="USD"), K49,
            AND(Q49="USD", $Q$2="GBP"), K49*$Z$3,
            AND(Q49="USD", $Q$2="HKD"), K49*$Z$4,
            AND(Q49="USD", $Q$2="EUR"), K49*$Z$5,
            AND(Q49="GBP", $Q$2="GBP"), K49,
            AND(Q49="GBP", $Q$2="USD"), K49*$Z$6,
            AND(Q49="GBP", $Q$2="HKD"), K49*$Z$7,
            AND(Q49="HKG", $Q$2="HKG"), K49,
            AND(Q49="HKD", $Q$2="USD"), K49*$Z$9,
            AND(Q49="HKD", $Q$2="GBP"), K49*$Z$10,
            AND(Q49="HKD", $Q$2="EUR"), K49*$Z$11,
            AND(Q49="EUR", $Q$2="EUR"), K49,
            AND(Q49="EUR", $Q$2="USD"), K49*$Z$12,
            AND(Q49="EUR", $Q$2="GBP"), K49*$Z$13,
            AND(Q49="EUR", $Q$2="HKD"), K49*$Z$14,
        ),
        0
    )
)</f>
        <v>0</v>
      </c>
      <c r="S49" s="1" cm="1">
        <f t="array" ref="S49">IF(A49="", "",
    IFERROR(
        _xlfn.SWITCH(
            TRUE,
            AND(Q49="USD", $Q$2="USD"), M49,
            AND(Q49="USD", $Q$2="GBP"), M49*$Z$3,
            AND(Q49="USD", $Q$2="HKD"), M49*$Z$4,
            AND(Q49="USD", $Q$2="EUR"), M49*$Z$5,
            AND(Q49="GBP", $Q$2="GBP"), M49,
            AND(Q49="GBP", $Q$2="USD"), M49*$Z$6,
            AND(Q49="GBP", $Q$2="HKD"), M49*$Z$7,
            AND(Q49="GBP", $Q$2="HKD"), M49*$Z$8,
            AND(Q49="HKG", $Q$2="HKG"), M49,
            AND(Q49="HKD", $Q$2="USD"), M49*$Z$9,
            AND(Q49="HKD", $Q$2="GBP"), M49*$Z$10,
            AND(Q49="HKD", $Q$2="EUR"), M49*$Z$11,
            AND(Q49="EUR", $Q$2="EUR"), M49,
            AND(Q49="EUR", $Q$2="USD"), M49*$Z$12,
            AND(Q49="EUR", $Q$2="GBP"), M49*$Z$13,
            AND(Q49="EUR", $Q$2="HKD"), M49*$Z$14,
        ),
        0
    )
)</f>
        <v>1289.57</v>
      </c>
      <c r="T49" s="1" t="str">
        <f t="shared" si="3"/>
        <v>1</v>
      </c>
      <c r="U49" s="9" t="str">
        <f t="shared" si="4"/>
        <v>01</v>
      </c>
      <c r="V49" s="1" t="str">
        <f t="shared" si="5"/>
        <v>2023</v>
      </c>
      <c r="W49" s="18" t="str">
        <f t="shared" si="6"/>
        <v>星期日</v>
      </c>
    </row>
    <row r="50" spans="1:23">
      <c r="A50" s="17" t="s">
        <v>6</v>
      </c>
      <c r="B50" s="1" t="s">
        <v>348</v>
      </c>
      <c r="C50" s="9">
        <v>44927</v>
      </c>
      <c r="D50" s="1" t="s">
        <v>55</v>
      </c>
      <c r="E50" s="1" t="s">
        <v>31</v>
      </c>
      <c r="F50" s="1" t="s">
        <v>349</v>
      </c>
      <c r="H50" s="1" t="s">
        <v>347</v>
      </c>
      <c r="I50" s="1">
        <v>2999</v>
      </c>
      <c r="J50" s="27">
        <v>0.43</v>
      </c>
      <c r="M50" s="24">
        <f t="shared" si="0"/>
        <v>1289.57</v>
      </c>
      <c r="N50" s="36">
        <f t="shared" si="1"/>
        <v>-1289.57</v>
      </c>
      <c r="O50" s="34">
        <f>IF(ISBLANK(A50),"",SUMIFS(I$3:I50,D$3:D50,D50,H$3:H50,"Buy")+SUMIFS(I$3:I50,D$3:D50,D50,H$3:H50,"Cash Deposit")+SUMIFS(I$3:I50,D$3:D50,D50,H$3:H50,"Crypto Deposit")+SUMIFS(I$3:I50,D$3:D50,D50,H$3:H50,"Airdrop/Rewards")-SUMIFS(I$3:I50,D$3:D50,D50,H$3:H50,"Sell"))</f>
        <v>2999</v>
      </c>
      <c r="P50" s="2" cm="1">
        <f t="array" ref="P50">IF(ISBLANK(A50),"",IFERROR(IF(OR(H50="Sell",F50="Stable Coin"),INDEX(_xlfn._xlws.FILTER(P$2:P49, D$2:D49=D50),COUNT(_xlfn._xlws.FILTER(P$2:P49, D$2:D49=D50))),(INDEX(_xlfn._xlws.FILTER(P$2:P49, D$2:D49=D50),COUNT(_xlfn._xlws.FILTER(P$2:P49, D$2:D49=D50)))*INDEX(_xlfn._xlws.FILTER(O$2:O49, D$2:D49=D50),COUNT(_xlfn._xlws.FILTER(O$2:O49, D$2:D49=D50)))-N50) / O50), J50))</f>
        <v>0.43</v>
      </c>
      <c r="Q50" s="1" t="str">
        <f t="shared" si="2"/>
        <v>USD</v>
      </c>
      <c r="R50" s="1" cm="1">
        <f t="array" ref="R50">IF(A50="", "",
    IFERROR(
        _xlfn.SWITCH(
            TRUE,
            AND(Q50="USD", $Q$2="USD"), K50,
            AND(Q50="USD", $Q$2="GBP"), K50*$Z$3,
            AND(Q50="USD", $Q$2="HKD"), K50*$Z$4,
            AND(Q50="USD", $Q$2="EUR"), K50*$Z$5,
            AND(Q50="GBP", $Q$2="GBP"), K50,
            AND(Q50="GBP", $Q$2="USD"), K50*$Z$6,
            AND(Q50="GBP", $Q$2="HKD"), K50*$Z$7,
            AND(Q50="HKG", $Q$2="HKG"), K50,
            AND(Q50="HKD", $Q$2="USD"), K50*$Z$9,
            AND(Q50="HKD", $Q$2="GBP"), K50*$Z$10,
            AND(Q50="HKD", $Q$2="EUR"), K50*$Z$11,
            AND(Q50="EUR", $Q$2="EUR"), K50,
            AND(Q50="EUR", $Q$2="USD"), K50*$Z$12,
            AND(Q50="EUR", $Q$2="GBP"), K50*$Z$13,
            AND(Q50="EUR", $Q$2="HKD"), K50*$Z$14,
        ),
        0
    )
)</f>
        <v>0</v>
      </c>
      <c r="S50" s="1" cm="1">
        <f t="array" ref="S50">IF(A50="", "",
    IFERROR(
        _xlfn.SWITCH(
            TRUE,
            AND(Q50="USD", $Q$2="USD"), M50,
            AND(Q50="USD", $Q$2="GBP"), M50*$Z$3,
            AND(Q50="USD", $Q$2="HKD"), M50*$Z$4,
            AND(Q50="USD", $Q$2="EUR"), M50*$Z$5,
            AND(Q50="GBP", $Q$2="GBP"), M50,
            AND(Q50="GBP", $Q$2="USD"), M50*$Z$6,
            AND(Q50="GBP", $Q$2="HKD"), M50*$Z$7,
            AND(Q50="GBP", $Q$2="HKD"), M50*$Z$8,
            AND(Q50="HKG", $Q$2="HKG"), M50,
            AND(Q50="HKD", $Q$2="USD"), M50*$Z$9,
            AND(Q50="HKD", $Q$2="GBP"), M50*$Z$10,
            AND(Q50="HKD", $Q$2="EUR"), M50*$Z$11,
            AND(Q50="EUR", $Q$2="EUR"), M50,
            AND(Q50="EUR", $Q$2="USD"), M50*$Z$12,
            AND(Q50="EUR", $Q$2="GBP"), M50*$Z$13,
            AND(Q50="EUR", $Q$2="HKD"), M50*$Z$14,
        ),
        0
    )
)</f>
        <v>1289.57</v>
      </c>
      <c r="T50" s="1" t="str">
        <f t="shared" si="3"/>
        <v>1</v>
      </c>
      <c r="U50" s="9" t="str">
        <f t="shared" si="4"/>
        <v>01</v>
      </c>
      <c r="V50" s="1" t="str">
        <f t="shared" si="5"/>
        <v>2023</v>
      </c>
      <c r="W50" s="18" t="str">
        <f t="shared" si="6"/>
        <v>星期日</v>
      </c>
    </row>
    <row r="51" spans="1:23">
      <c r="A51" s="17" t="s">
        <v>6</v>
      </c>
      <c r="B51" s="1" t="s">
        <v>348</v>
      </c>
      <c r="C51" s="9">
        <v>44927</v>
      </c>
      <c r="D51" s="1" t="s">
        <v>364</v>
      </c>
      <c r="E51" s="1" t="s">
        <v>114</v>
      </c>
      <c r="F51" s="1" t="s">
        <v>346</v>
      </c>
      <c r="H51" s="1" t="s">
        <v>367</v>
      </c>
      <c r="I51" s="1">
        <f>I52*J52</f>
        <v>1450.6652134999999</v>
      </c>
      <c r="J51" s="27">
        <v>1</v>
      </c>
      <c r="M51" s="24">
        <f t="shared" si="0"/>
        <v>1450.6652134999999</v>
      </c>
      <c r="N51" s="36">
        <f t="shared" si="1"/>
        <v>1450.6652134999999</v>
      </c>
      <c r="O51" s="34">
        <f>IF(ISBLANK(A51),"",SUMIFS(I$3:I51,D$3:D51,D51,H$3:H51,"Buy")+SUMIFS(I$3:I51,D$3:D51,D51,H$3:H51,"Cash Deposit")+SUMIFS(I$3:I51,D$3:D51,D51,H$3:H51,"Crypto Deposit")+SUMIFS(I$3:I51,D$3:D51,D51,H$3:H51,"Airdrop/Rewards")-SUMIFS(I$3:I51,D$3:D51,D51,H$3:H51,"Sell"))</f>
        <v>2704.2464181803807</v>
      </c>
      <c r="P51" s="2" cm="1">
        <f t="array" ref="P51">IF(ISBLANK(A51),"",IFERROR(IF(OR(H51="Sell",F51="Stable Coin"),INDEX(_xlfn._xlws.FILTER(P$2:P50, D$2:D50=D51),COUNT(_xlfn._xlws.FILTER(P$2:P50, D$2:D50=D51))),(INDEX(_xlfn._xlws.FILTER(P$2:P50, D$2:D50=D51),COUNT(_xlfn._xlws.FILTER(P$2:P50, D$2:D50=D51)))*INDEX(_xlfn._xlws.FILTER(O$2:O50, D$2:D50=D51),COUNT(_xlfn._xlws.FILTER(O$2:O50, D$2:D50=D51)))-N51) / O51), J51))</f>
        <v>1</v>
      </c>
      <c r="Q51" s="1" t="str">
        <f t="shared" si="2"/>
        <v>USD</v>
      </c>
      <c r="R51" s="1" cm="1">
        <f t="array" ref="R51">IF(A51="", "",
    IFERROR(
        _xlfn.SWITCH(
            TRUE,
            AND(Q51="USD", $Q$2="USD"), K51,
            AND(Q51="USD", $Q$2="GBP"), K51*$Z$3,
            AND(Q51="USD", $Q$2="HKD"), K51*$Z$4,
            AND(Q51="USD", $Q$2="EUR"), K51*$Z$5,
            AND(Q51="GBP", $Q$2="GBP"), K51,
            AND(Q51="GBP", $Q$2="USD"), K51*$Z$6,
            AND(Q51="GBP", $Q$2="HKD"), K51*$Z$7,
            AND(Q51="HKG", $Q$2="HKG"), K51,
            AND(Q51="HKD", $Q$2="USD"), K51*$Z$9,
            AND(Q51="HKD", $Q$2="GBP"), K51*$Z$10,
            AND(Q51="HKD", $Q$2="EUR"), K51*$Z$11,
            AND(Q51="EUR", $Q$2="EUR"), K51,
            AND(Q51="EUR", $Q$2="USD"), K51*$Z$12,
            AND(Q51="EUR", $Q$2="GBP"), K51*$Z$13,
            AND(Q51="EUR", $Q$2="HKD"), K51*$Z$14,
        ),
        0
    )
)</f>
        <v>0</v>
      </c>
      <c r="S51" s="1" cm="1">
        <f t="array" ref="S51">IF(A51="", "",
    IFERROR(
        _xlfn.SWITCH(
            TRUE,
            AND(Q51="USD", $Q$2="USD"), M51,
            AND(Q51="USD", $Q$2="GBP"), M51*$Z$3,
            AND(Q51="USD", $Q$2="HKD"), M51*$Z$4,
            AND(Q51="USD", $Q$2="EUR"), M51*$Z$5,
            AND(Q51="GBP", $Q$2="GBP"), M51,
            AND(Q51="GBP", $Q$2="USD"), M51*$Z$6,
            AND(Q51="GBP", $Q$2="HKD"), M51*$Z$7,
            AND(Q51="GBP", $Q$2="HKD"), M51*$Z$8,
            AND(Q51="HKG", $Q$2="HKG"), M51,
            AND(Q51="HKD", $Q$2="USD"), M51*$Z$9,
            AND(Q51="HKD", $Q$2="GBP"), M51*$Z$10,
            AND(Q51="HKD", $Q$2="EUR"), M51*$Z$11,
            AND(Q51="EUR", $Q$2="EUR"), M51,
            AND(Q51="EUR", $Q$2="USD"), M51*$Z$12,
            AND(Q51="EUR", $Q$2="GBP"), M51*$Z$13,
            AND(Q51="EUR", $Q$2="HKD"), M51*$Z$14,
        ),
        0
    )
)</f>
        <v>1450.6652134999999</v>
      </c>
      <c r="T51" s="1" t="str">
        <f t="shared" si="3"/>
        <v>1</v>
      </c>
      <c r="U51" s="9" t="str">
        <f t="shared" si="4"/>
        <v>01</v>
      </c>
      <c r="V51" s="1" t="str">
        <f t="shared" si="5"/>
        <v>2023</v>
      </c>
      <c r="W51" s="18" t="str">
        <f t="shared" si="6"/>
        <v>星期日</v>
      </c>
    </row>
    <row r="52" spans="1:23">
      <c r="A52" s="17" t="s">
        <v>6</v>
      </c>
      <c r="B52" s="1" t="s">
        <v>348</v>
      </c>
      <c r="C52" s="9">
        <v>44927</v>
      </c>
      <c r="D52" s="1" t="s">
        <v>57</v>
      </c>
      <c r="E52" s="1" t="s">
        <v>43</v>
      </c>
      <c r="F52" s="1" t="s">
        <v>349</v>
      </c>
      <c r="H52" s="1" t="s">
        <v>347</v>
      </c>
      <c r="I52" s="1">
        <v>1298.7155</v>
      </c>
      <c r="J52" s="27">
        <v>1.117</v>
      </c>
      <c r="M52" s="24">
        <f t="shared" si="0"/>
        <v>1450.6652134999999</v>
      </c>
      <c r="N52" s="36">
        <f t="shared" si="1"/>
        <v>-1450.6652134999999</v>
      </c>
      <c r="O52" s="34">
        <f>IF(ISBLANK(A52),"",SUMIFS(I$3:I52,D$3:D52,D52,H$3:H52,"Buy")+SUMIFS(I$3:I52,D$3:D52,D52,H$3:H52,"Cash Deposit")+SUMIFS(I$3:I52,D$3:D52,D52,H$3:H52,"Crypto Deposit")+SUMIFS(I$3:I52,D$3:D52,D52,H$3:H52,"Airdrop/Rewards")-SUMIFS(I$3:I52,D$3:D52,D52,H$3:H52,"Sell"))</f>
        <v>1298.7155</v>
      </c>
      <c r="P52" s="2" cm="1">
        <f t="array" ref="P52">IF(ISBLANK(A52),"",IFERROR(IF(OR(H52="Sell",F52="Stable Coin"),INDEX(_xlfn._xlws.FILTER(P$2:P51, D$2:D51=D52),COUNT(_xlfn._xlws.FILTER(P$2:P51, D$2:D51=D52))),(INDEX(_xlfn._xlws.FILTER(P$2:P51, D$2:D51=D52),COUNT(_xlfn._xlws.FILTER(P$2:P51, D$2:D51=D52)))*INDEX(_xlfn._xlws.FILTER(O$2:O51, D$2:D51=D52),COUNT(_xlfn._xlws.FILTER(O$2:O51, D$2:D51=D52)))-N52) / O52), J52))</f>
        <v>1.117</v>
      </c>
      <c r="Q52" s="1" t="str">
        <f t="shared" si="2"/>
        <v>USD</v>
      </c>
      <c r="R52" s="1" cm="1">
        <f t="array" ref="R52">IF(A52="", "",
    IFERROR(
        _xlfn.SWITCH(
            TRUE,
            AND(Q52="USD", $Q$2="USD"), K52,
            AND(Q52="USD", $Q$2="GBP"), K52*$Z$3,
            AND(Q52="USD", $Q$2="HKD"), K52*$Z$4,
            AND(Q52="USD", $Q$2="EUR"), K52*$Z$5,
            AND(Q52="GBP", $Q$2="GBP"), K52,
            AND(Q52="GBP", $Q$2="USD"), K52*$Z$6,
            AND(Q52="GBP", $Q$2="HKD"), K52*$Z$7,
            AND(Q52="HKG", $Q$2="HKG"), K52,
            AND(Q52="HKD", $Q$2="USD"), K52*$Z$9,
            AND(Q52="HKD", $Q$2="GBP"), K52*$Z$10,
            AND(Q52="HKD", $Q$2="EUR"), K52*$Z$11,
            AND(Q52="EUR", $Q$2="EUR"), K52,
            AND(Q52="EUR", $Q$2="USD"), K52*$Z$12,
            AND(Q52="EUR", $Q$2="GBP"), K52*$Z$13,
            AND(Q52="EUR", $Q$2="HKD"), K52*$Z$14,
        ),
        0
    )
)</f>
        <v>0</v>
      </c>
      <c r="S52" s="1" cm="1">
        <f t="array" ref="S52">IF(A52="", "",
    IFERROR(
        _xlfn.SWITCH(
            TRUE,
            AND(Q52="USD", $Q$2="USD"), M52,
            AND(Q52="USD", $Q$2="GBP"), M52*$Z$3,
            AND(Q52="USD", $Q$2="HKD"), M52*$Z$4,
            AND(Q52="USD", $Q$2="EUR"), M52*$Z$5,
            AND(Q52="GBP", $Q$2="GBP"), M52,
            AND(Q52="GBP", $Q$2="USD"), M52*$Z$6,
            AND(Q52="GBP", $Q$2="HKD"), M52*$Z$7,
            AND(Q52="GBP", $Q$2="HKD"), M52*$Z$8,
            AND(Q52="HKG", $Q$2="HKG"), M52,
            AND(Q52="HKD", $Q$2="USD"), M52*$Z$9,
            AND(Q52="HKD", $Q$2="GBP"), M52*$Z$10,
            AND(Q52="HKD", $Q$2="EUR"), M52*$Z$11,
            AND(Q52="EUR", $Q$2="EUR"), M52,
            AND(Q52="EUR", $Q$2="USD"), M52*$Z$12,
            AND(Q52="EUR", $Q$2="GBP"), M52*$Z$13,
            AND(Q52="EUR", $Q$2="HKD"), M52*$Z$14,
        ),
        0
    )
)</f>
        <v>1450.6652134999999</v>
      </c>
      <c r="T52" s="1" t="str">
        <f t="shared" si="3"/>
        <v>1</v>
      </c>
      <c r="U52" s="9" t="str">
        <f t="shared" si="4"/>
        <v>01</v>
      </c>
      <c r="V52" s="1" t="str">
        <f t="shared" si="5"/>
        <v>2023</v>
      </c>
      <c r="W52" s="18" t="str">
        <f t="shared" si="6"/>
        <v>星期日</v>
      </c>
    </row>
    <row r="53" spans="1:23">
      <c r="A53" s="17" t="s">
        <v>352</v>
      </c>
      <c r="B53" s="1" t="s">
        <v>348</v>
      </c>
      <c r="C53" s="9">
        <v>44927</v>
      </c>
      <c r="D53" s="1" t="s">
        <v>295</v>
      </c>
      <c r="E53" s="1" t="s">
        <v>180</v>
      </c>
      <c r="F53" s="1" t="s">
        <v>349</v>
      </c>
      <c r="H53" s="1" t="s">
        <v>371</v>
      </c>
      <c r="I53" s="1">
        <v>11395.16</v>
      </c>
      <c r="J53" s="27">
        <v>0.33</v>
      </c>
      <c r="M53" s="24">
        <f t="shared" si="0"/>
        <v>3760.4028000000003</v>
      </c>
      <c r="N53" s="36">
        <f t="shared" si="1"/>
        <v>-3760.4028000000003</v>
      </c>
      <c r="O53" s="34">
        <f>IF(ISBLANK(A53),"",SUMIFS(I$3:I53,D$3:D53,D53,H$3:H53,"Buy")+SUMIFS(I$3:I53,D$3:D53,D53,H$3:H53,"Cash Deposit")+SUMIFS(I$3:I53,D$3:D53,D53,H$3:H53,"Crypto Deposit")+SUMIFS(I$3:I53,D$3:D53,D53,H$3:H53,"Airdrop/Rewards")-SUMIFS(I$3:I53,D$3:D53,D53,H$3:H53,"Sell"))</f>
        <v>11395.16</v>
      </c>
      <c r="P53" s="2" cm="1">
        <f t="array" ref="P53">IF(ISBLANK(A53),"",IFERROR(IF(OR(H53="Sell",F53="Stable Coin"),INDEX(_xlfn._xlws.FILTER(P$2:P52, D$2:D52=D53),COUNT(_xlfn._xlws.FILTER(P$2:P52, D$2:D52=D53))),(INDEX(_xlfn._xlws.FILTER(P$2:P52, D$2:D52=D53),COUNT(_xlfn._xlws.FILTER(P$2:P52, D$2:D52=D53)))*INDEX(_xlfn._xlws.FILTER(O$2:O52, D$2:D52=D53),COUNT(_xlfn._xlws.FILTER(O$2:O52, D$2:D52=D53)))-N53) / O53), J53))</f>
        <v>0.33</v>
      </c>
      <c r="Q53" s="1" t="str">
        <f t="shared" si="2"/>
        <v>USD</v>
      </c>
      <c r="R53" s="1" cm="1">
        <f t="array" ref="R53">IF(A53="", "",
    IFERROR(
        _xlfn.SWITCH(
            TRUE,
            AND(Q53="USD", $Q$2="USD"), K53,
            AND(Q53="USD", $Q$2="GBP"), K53*$Z$3,
            AND(Q53="USD", $Q$2="HKD"), K53*$Z$4,
            AND(Q53="USD", $Q$2="EUR"), K53*$Z$5,
            AND(Q53="GBP", $Q$2="GBP"), K53,
            AND(Q53="GBP", $Q$2="USD"), K53*$Z$6,
            AND(Q53="GBP", $Q$2="HKD"), K53*$Z$7,
            AND(Q53="HKG", $Q$2="HKG"), K53,
            AND(Q53="HKD", $Q$2="USD"), K53*$Z$9,
            AND(Q53="HKD", $Q$2="GBP"), K53*$Z$10,
            AND(Q53="HKD", $Q$2="EUR"), K53*$Z$11,
            AND(Q53="EUR", $Q$2="EUR"), K53,
            AND(Q53="EUR", $Q$2="USD"), K53*$Z$12,
            AND(Q53="EUR", $Q$2="GBP"), K53*$Z$13,
            AND(Q53="EUR", $Q$2="HKD"), K53*$Z$14,
        ),
        0
    )
)</f>
        <v>0</v>
      </c>
      <c r="S53" s="1" cm="1">
        <f t="array" ref="S53">IF(A53="", "",
    IFERROR(
        _xlfn.SWITCH(
            TRUE,
            AND(Q53="USD", $Q$2="USD"), M53,
            AND(Q53="USD", $Q$2="GBP"), M53*$Z$3,
            AND(Q53="USD", $Q$2="HKD"), M53*$Z$4,
            AND(Q53="USD", $Q$2="EUR"), M53*$Z$5,
            AND(Q53="GBP", $Q$2="GBP"), M53,
            AND(Q53="GBP", $Q$2="USD"), M53*$Z$6,
            AND(Q53="GBP", $Q$2="HKD"), M53*$Z$7,
            AND(Q53="GBP", $Q$2="HKD"), M53*$Z$8,
            AND(Q53="HKG", $Q$2="HKG"), M53,
            AND(Q53="HKD", $Q$2="USD"), M53*$Z$9,
            AND(Q53="HKD", $Q$2="GBP"), M53*$Z$10,
            AND(Q53="HKD", $Q$2="EUR"), M53*$Z$11,
            AND(Q53="EUR", $Q$2="EUR"), M53,
            AND(Q53="EUR", $Q$2="USD"), M53*$Z$12,
            AND(Q53="EUR", $Q$2="GBP"), M53*$Z$13,
            AND(Q53="EUR", $Q$2="HKD"), M53*$Z$14,
        ),
        0
    )
)</f>
        <v>3760.4028000000003</v>
      </c>
      <c r="T53" s="1" t="str">
        <f t="shared" si="3"/>
        <v>1</v>
      </c>
      <c r="U53" s="9" t="str">
        <f t="shared" si="4"/>
        <v>01</v>
      </c>
      <c r="V53" s="1" t="str">
        <f t="shared" si="5"/>
        <v>2023</v>
      </c>
      <c r="W53" s="18" t="str">
        <f t="shared" si="6"/>
        <v>星期日</v>
      </c>
    </row>
    <row r="54" spans="1:23">
      <c r="A54" s="17" t="s">
        <v>296</v>
      </c>
      <c r="B54" s="1" t="s">
        <v>348</v>
      </c>
      <c r="C54" s="9">
        <v>44927</v>
      </c>
      <c r="D54" s="1" t="s">
        <v>295</v>
      </c>
      <c r="E54" s="1" t="s">
        <v>180</v>
      </c>
      <c r="F54" s="1" t="s">
        <v>349</v>
      </c>
      <c r="H54" s="1" t="s">
        <v>371</v>
      </c>
      <c r="I54" s="1">
        <v>163.69</v>
      </c>
      <c r="J54" s="27">
        <v>0.33</v>
      </c>
      <c r="M54" s="24">
        <f t="shared" si="0"/>
        <v>54.017700000000005</v>
      </c>
      <c r="N54" s="36">
        <f t="shared" si="1"/>
        <v>-54.017700000000005</v>
      </c>
      <c r="O54" s="34">
        <f>IF(ISBLANK(A54),"",SUMIFS(I$3:I54,D$3:D54,D54,H$3:H54,"Buy")+SUMIFS(I$3:I54,D$3:D54,D54,H$3:H54,"Cash Deposit")+SUMIFS(I$3:I54,D$3:D54,D54,H$3:H54,"Crypto Deposit")+SUMIFS(I$3:I54,D$3:D54,D54,H$3:H54,"Airdrop/Rewards")-SUMIFS(I$3:I54,D$3:D54,D54,H$3:H54,"Sell"))</f>
        <v>11558.85</v>
      </c>
      <c r="P54" s="2" cm="1">
        <f t="array" ref="P54">IF(ISBLANK(A54),"",IFERROR(IF(OR(H54="Sell",F54="Stable Coin"),INDEX(_xlfn._xlws.FILTER(P$2:P53, D$2:D53=D54),COUNT(_xlfn._xlws.FILTER(P$2:P53, D$2:D53=D54))),(INDEX(_xlfn._xlws.FILTER(P$2:P53, D$2:D53=D54),COUNT(_xlfn._xlws.FILTER(P$2:P53, D$2:D53=D54)))*INDEX(_xlfn._xlws.FILTER(O$2:O53, D$2:D53=D54),COUNT(_xlfn._xlws.FILTER(O$2:O53, D$2:D53=D54)))-N54) / O54), J54))</f>
        <v>0.33</v>
      </c>
      <c r="Q54" s="1" t="str">
        <f t="shared" si="2"/>
        <v>USD</v>
      </c>
      <c r="R54" s="1" cm="1">
        <f t="array" ref="R54">IF(A54="", "",
    IFERROR(
        _xlfn.SWITCH(
            TRUE,
            AND(Q54="USD", $Q$2="USD"), K54,
            AND(Q54="USD", $Q$2="GBP"), K54*$Z$3,
            AND(Q54="USD", $Q$2="HKD"), K54*$Z$4,
            AND(Q54="USD", $Q$2="EUR"), K54*$Z$5,
            AND(Q54="GBP", $Q$2="GBP"), K54,
            AND(Q54="GBP", $Q$2="USD"), K54*$Z$6,
            AND(Q54="GBP", $Q$2="HKD"), K54*$Z$7,
            AND(Q54="HKG", $Q$2="HKG"), K54,
            AND(Q54="HKD", $Q$2="USD"), K54*$Z$9,
            AND(Q54="HKD", $Q$2="GBP"), K54*$Z$10,
            AND(Q54="HKD", $Q$2="EUR"), K54*$Z$11,
            AND(Q54="EUR", $Q$2="EUR"), K54,
            AND(Q54="EUR", $Q$2="USD"), K54*$Z$12,
            AND(Q54="EUR", $Q$2="GBP"), K54*$Z$13,
            AND(Q54="EUR", $Q$2="HKD"), K54*$Z$14,
        ),
        0
    )
)</f>
        <v>0</v>
      </c>
      <c r="S54" s="1" cm="1">
        <f t="array" ref="S54">IF(A54="", "",
    IFERROR(
        _xlfn.SWITCH(
            TRUE,
            AND(Q54="USD", $Q$2="USD"), M54,
            AND(Q54="USD", $Q$2="GBP"), M54*$Z$3,
            AND(Q54="USD", $Q$2="HKD"), M54*$Z$4,
            AND(Q54="USD", $Q$2="EUR"), M54*$Z$5,
            AND(Q54="GBP", $Q$2="GBP"), M54,
            AND(Q54="GBP", $Q$2="USD"), M54*$Z$6,
            AND(Q54="GBP", $Q$2="HKD"), M54*$Z$7,
            AND(Q54="GBP", $Q$2="HKD"), M54*$Z$8,
            AND(Q54="HKG", $Q$2="HKG"), M54,
            AND(Q54="HKD", $Q$2="USD"), M54*$Z$9,
            AND(Q54="HKD", $Q$2="GBP"), M54*$Z$10,
            AND(Q54="HKD", $Q$2="EUR"), M54*$Z$11,
            AND(Q54="EUR", $Q$2="EUR"), M54,
            AND(Q54="EUR", $Q$2="USD"), M54*$Z$12,
            AND(Q54="EUR", $Q$2="GBP"), M54*$Z$13,
            AND(Q54="EUR", $Q$2="HKD"), M54*$Z$14,
        ),
        0
    )
)</f>
        <v>54.017700000000005</v>
      </c>
      <c r="T54" s="1" t="str">
        <f t="shared" si="3"/>
        <v>1</v>
      </c>
      <c r="U54" s="9" t="str">
        <f t="shared" si="4"/>
        <v>01</v>
      </c>
      <c r="V54" s="1" t="str">
        <f t="shared" si="5"/>
        <v>2023</v>
      </c>
      <c r="W54" s="18" t="str">
        <f t="shared" si="6"/>
        <v>星期日</v>
      </c>
    </row>
    <row r="55" spans="1:23">
      <c r="A55" s="17" t="s">
        <v>296</v>
      </c>
      <c r="B55" s="1" t="s">
        <v>348</v>
      </c>
      <c r="C55" s="9">
        <v>44927</v>
      </c>
      <c r="D55" s="1" t="s">
        <v>23</v>
      </c>
      <c r="E55" s="1" t="s">
        <v>24</v>
      </c>
      <c r="F55" s="1" t="s">
        <v>349</v>
      </c>
      <c r="H55" s="1" t="s">
        <v>371</v>
      </c>
      <c r="I55" s="1">
        <v>2.009E-2</v>
      </c>
      <c r="J55" s="27">
        <v>3300</v>
      </c>
      <c r="M55" s="24">
        <f t="shared" si="0"/>
        <v>66.296999999999997</v>
      </c>
      <c r="N55" s="36">
        <f t="shared" si="1"/>
        <v>-66.296999999999997</v>
      </c>
      <c r="O55" s="34">
        <f>IF(ISBLANK(A55),"",SUMIFS(I$3:I55,D$3:D55,D55,H$3:H55,"Buy")+SUMIFS(I$3:I55,D$3:D55,D55,H$3:H55,"Cash Deposit")+SUMIFS(I$3:I55,D$3:D55,D55,H$3:H55,"Crypto Deposit")+SUMIFS(I$3:I55,D$3:D55,D55,H$3:H55,"Airdrop/Rewards")-SUMIFS(I$3:I55,D$3:D55,D55,H$3:H55,"Sell"))</f>
        <v>0.77696112000000006</v>
      </c>
      <c r="P55" s="2" cm="1">
        <f t="array" ref="P55">IF(ISBLANK(A55),"",IFERROR(IF(OR(H55="Sell",F55="Stable Coin"),INDEX(_xlfn._xlws.FILTER(P$2:P54, D$2:D54=D55),COUNT(_xlfn._xlws.FILTER(P$2:P54, D$2:D54=D55))),(INDEX(_xlfn._xlws.FILTER(P$2:P54, D$2:D54=D55),COUNT(_xlfn._xlws.FILTER(P$2:P54, D$2:D54=D55)))*INDEX(_xlfn._xlws.FILTER(O$2:O54, D$2:D54=D55),COUNT(_xlfn._xlws.FILTER(O$2:O54, D$2:D54=D55)))-N55) / O55), J55))</f>
        <v>2550.5529395591889</v>
      </c>
      <c r="Q55" s="1" t="str">
        <f t="shared" si="2"/>
        <v>USD</v>
      </c>
      <c r="R55" s="1" cm="1">
        <f t="array" ref="R55">IF(A55="", "",
    IFERROR(
        _xlfn.SWITCH(
            TRUE,
            AND(Q55="USD", $Q$2="USD"), K55,
            AND(Q55="USD", $Q$2="GBP"), K55*$Z$3,
            AND(Q55="USD", $Q$2="HKD"), K55*$Z$4,
            AND(Q55="USD", $Q$2="EUR"), K55*$Z$5,
            AND(Q55="GBP", $Q$2="GBP"), K55,
            AND(Q55="GBP", $Q$2="USD"), K55*$Z$6,
            AND(Q55="GBP", $Q$2="HKD"), K55*$Z$7,
            AND(Q55="HKG", $Q$2="HKG"), K55,
            AND(Q55="HKD", $Q$2="USD"), K55*$Z$9,
            AND(Q55="HKD", $Q$2="GBP"), K55*$Z$10,
            AND(Q55="HKD", $Q$2="EUR"), K55*$Z$11,
            AND(Q55="EUR", $Q$2="EUR"), K55,
            AND(Q55="EUR", $Q$2="USD"), K55*$Z$12,
            AND(Q55="EUR", $Q$2="GBP"), K55*$Z$13,
            AND(Q55="EUR", $Q$2="HKD"), K55*$Z$14,
        ),
        0
    )
)</f>
        <v>0</v>
      </c>
      <c r="S55" s="1" cm="1">
        <f t="array" ref="S55">IF(A55="", "",
    IFERROR(
        _xlfn.SWITCH(
            TRUE,
            AND(Q55="USD", $Q$2="USD"), M55,
            AND(Q55="USD", $Q$2="GBP"), M55*$Z$3,
            AND(Q55="USD", $Q$2="HKD"), M55*$Z$4,
            AND(Q55="USD", $Q$2="EUR"), M55*$Z$5,
            AND(Q55="GBP", $Q$2="GBP"), M55,
            AND(Q55="GBP", $Q$2="USD"), M55*$Z$6,
            AND(Q55="GBP", $Q$2="HKD"), M55*$Z$7,
            AND(Q55="GBP", $Q$2="HKD"), M55*$Z$8,
            AND(Q55="HKG", $Q$2="HKG"), M55,
            AND(Q55="HKD", $Q$2="USD"), M55*$Z$9,
            AND(Q55="HKD", $Q$2="GBP"), M55*$Z$10,
            AND(Q55="HKD", $Q$2="EUR"), M55*$Z$11,
            AND(Q55="EUR", $Q$2="EUR"), M55,
            AND(Q55="EUR", $Q$2="USD"), M55*$Z$12,
            AND(Q55="EUR", $Q$2="GBP"), M55*$Z$13,
            AND(Q55="EUR", $Q$2="HKD"), M55*$Z$14,
        ),
        0
    )
)</f>
        <v>66.296999999999997</v>
      </c>
      <c r="T55" s="1" t="str">
        <f t="shared" si="3"/>
        <v>1</v>
      </c>
      <c r="U55" s="9" t="str">
        <f t="shared" si="4"/>
        <v>01</v>
      </c>
      <c r="V55" s="1" t="str">
        <f t="shared" si="5"/>
        <v>2023</v>
      </c>
      <c r="W55" s="18" t="str">
        <f t="shared" si="6"/>
        <v>星期日</v>
      </c>
    </row>
    <row r="56" spans="1:23">
      <c r="A56" s="17" t="s">
        <v>399</v>
      </c>
      <c r="B56" s="1" t="s">
        <v>348</v>
      </c>
      <c r="C56" s="9">
        <v>44927</v>
      </c>
      <c r="D56" s="1" t="e" vm="13">
        <v>#VALUE!</v>
      </c>
      <c r="E56" s="1" t="s">
        <v>536</v>
      </c>
      <c r="F56" s="1" t="s">
        <v>411</v>
      </c>
      <c r="H56" s="1" t="s">
        <v>347</v>
      </c>
      <c r="I56" s="1">
        <v>5</v>
      </c>
      <c r="J56" s="27">
        <v>22</v>
      </c>
      <c r="M56" s="24">
        <f t="shared" si="0"/>
        <v>110</v>
      </c>
      <c r="N56" s="36">
        <f t="shared" si="1"/>
        <v>-110</v>
      </c>
      <c r="O56" s="34">
        <f>IF(ISBLANK(A56),"",SUMIFS(I$3:I56,D$3:D56,D56,H$3:H56,"Buy")+SUMIFS(I$3:I56,D$3:D56,D56,H$3:H56,"Cash Deposit")+SUMIFS(I$3:I56,D$3:D56,D56,H$3:H56,"Crypto Deposit")+SUMIFS(I$3:I56,D$3:D56,D56,H$3:H56,"Airdrop/Rewards")-SUMIFS(I$3:I56,D$3:D56,D56,H$3:H56,"Sell"))</f>
        <v>5</v>
      </c>
      <c r="P56" s="2" cm="1">
        <f t="array" ref="P56">IF(ISBLANK(A56),"",IFERROR(IF(OR(H56="Sell",F56="Stable Coin"),INDEX(_xlfn._xlws.FILTER(P$2:P55, D$2:D55=D56),COUNT(_xlfn._xlws.FILTER(P$2:P55, D$2:D55=D56))),(INDEX(_xlfn._xlws.FILTER(P$2:P55, D$2:D55=D56),COUNT(_xlfn._xlws.FILTER(P$2:P55, D$2:D55=D56)))*INDEX(_xlfn._xlws.FILTER(O$2:O55, D$2:D55=D56),COUNT(_xlfn._xlws.FILTER(O$2:O55, D$2:D55=D56)))-N56) / O56), J56))</f>
        <v>22</v>
      </c>
      <c r="Q56" s="1" t="str">
        <f t="shared" si="2"/>
        <v>USD</v>
      </c>
      <c r="R56" s="1" cm="1">
        <f t="array" ref="R56">IF(A56="", "",
    IFERROR(
        _xlfn.SWITCH(
            TRUE,
            AND(Q56="USD", $Q$2="USD"), K56,
            AND(Q56="USD", $Q$2="GBP"), K56*$Z$3,
            AND(Q56="USD", $Q$2="HKD"), K56*$Z$4,
            AND(Q56="USD", $Q$2="EUR"), K56*$Z$5,
            AND(Q56="GBP", $Q$2="GBP"), K56,
            AND(Q56="GBP", $Q$2="USD"), K56*$Z$6,
            AND(Q56="GBP", $Q$2="HKD"), K56*$Z$7,
            AND(Q56="HKG", $Q$2="HKG"), K56,
            AND(Q56="HKD", $Q$2="USD"), K56*$Z$9,
            AND(Q56="HKD", $Q$2="GBP"), K56*$Z$10,
            AND(Q56="HKD", $Q$2="EUR"), K56*$Z$11,
            AND(Q56="EUR", $Q$2="EUR"), K56,
            AND(Q56="EUR", $Q$2="USD"), K56*$Z$12,
            AND(Q56="EUR", $Q$2="GBP"), K56*$Z$13,
            AND(Q56="EUR", $Q$2="HKD"), K56*$Z$14,
        ),
        0
    )
)</f>
        <v>0</v>
      </c>
      <c r="S56" s="1" cm="1">
        <f t="array" ref="S56">IF(A56="", "",
    IFERROR(
        _xlfn.SWITCH(
            TRUE,
            AND(Q56="USD", $Q$2="USD"), M56,
            AND(Q56="USD", $Q$2="GBP"), M56*$Z$3,
            AND(Q56="USD", $Q$2="HKD"), M56*$Z$4,
            AND(Q56="USD", $Q$2="EUR"), M56*$Z$5,
            AND(Q56="GBP", $Q$2="GBP"), M56,
            AND(Q56="GBP", $Q$2="USD"), M56*$Z$6,
            AND(Q56="GBP", $Q$2="HKD"), M56*$Z$7,
            AND(Q56="GBP", $Q$2="HKD"), M56*$Z$8,
            AND(Q56="HKG", $Q$2="HKG"), M56,
            AND(Q56="HKD", $Q$2="USD"), M56*$Z$9,
            AND(Q56="HKD", $Q$2="GBP"), M56*$Z$10,
            AND(Q56="HKD", $Q$2="EUR"), M56*$Z$11,
            AND(Q56="EUR", $Q$2="EUR"), M56,
            AND(Q56="EUR", $Q$2="USD"), M56*$Z$12,
            AND(Q56="EUR", $Q$2="GBP"), M56*$Z$13,
            AND(Q56="EUR", $Q$2="HKD"), M56*$Z$14,
        ),
        0
    )
)</f>
        <v>110</v>
      </c>
      <c r="T56" s="1" t="str">
        <f t="shared" si="3"/>
        <v>1</v>
      </c>
      <c r="U56" s="9" t="str">
        <f t="shared" si="4"/>
        <v>01</v>
      </c>
      <c r="V56" s="1" t="str">
        <f t="shared" si="5"/>
        <v>2023</v>
      </c>
      <c r="W56" s="18" t="str">
        <f t="shared" si="6"/>
        <v>星期日</v>
      </c>
    </row>
    <row r="57" spans="1:23">
      <c r="A57" s="17" t="s">
        <v>59</v>
      </c>
      <c r="B57" s="1" t="s">
        <v>348</v>
      </c>
      <c r="C57" s="9">
        <v>44927</v>
      </c>
      <c r="D57" s="1" t="s">
        <v>353</v>
      </c>
      <c r="E57" s="1" t="s">
        <v>417</v>
      </c>
      <c r="F57" s="1" t="s">
        <v>349</v>
      </c>
      <c r="H57" s="1" t="s">
        <v>371</v>
      </c>
      <c r="I57" s="1">
        <v>0.2883</v>
      </c>
      <c r="J57" s="27">
        <v>31997.89</v>
      </c>
      <c r="M57" s="24">
        <f t="shared" si="0"/>
        <v>9224.9916869999997</v>
      </c>
      <c r="N57" s="36">
        <f t="shared" si="1"/>
        <v>-9224.9916869999997</v>
      </c>
      <c r="O57" s="34">
        <f>IF(ISBLANK(A57),"",SUMIFS(I$3:I57,D$3:D57,D57,H$3:H57,"Buy")+SUMIFS(I$3:I57,D$3:D57,D57,H$3:H57,"Cash Deposit")+SUMIFS(I$3:I57,D$3:D57,D57,H$3:H57,"Crypto Deposit")+SUMIFS(I$3:I57,D$3:D57,D57,H$3:H57,"Airdrop/Rewards")-SUMIFS(I$3:I57,D$3:D57,D57,H$3:H57,"Sell"))</f>
        <v>0.2883</v>
      </c>
      <c r="P57" s="2" cm="1">
        <f t="array" ref="P57">IF(ISBLANK(A57),"",IFERROR(IF(OR(H57="Sell",F57="Stable Coin"),INDEX(_xlfn._xlws.FILTER(P$2:P56, D$2:D56=D57),COUNT(_xlfn._xlws.FILTER(P$2:P56, D$2:D56=D57))),(INDEX(_xlfn._xlws.FILTER(P$2:P56, D$2:D56=D57),COUNT(_xlfn._xlws.FILTER(P$2:P56, D$2:D56=D57)))*INDEX(_xlfn._xlws.FILTER(O$2:O56, D$2:D56=D57),COUNT(_xlfn._xlws.FILTER(O$2:O56, D$2:D56=D57)))-N57) / O57), J57))</f>
        <v>31997.89</v>
      </c>
      <c r="Q57" s="1" t="str">
        <f t="shared" si="2"/>
        <v>USD</v>
      </c>
      <c r="R57" s="1" cm="1">
        <f t="array" ref="R57">IF(A57="", "",
    IFERROR(
        _xlfn.SWITCH(
            TRUE,
            AND(Q57="USD", $Q$2="USD"), K57,
            AND(Q57="USD", $Q$2="GBP"), K57*$Z$3,
            AND(Q57="USD", $Q$2="HKD"), K57*$Z$4,
            AND(Q57="USD", $Q$2="EUR"), K57*$Z$5,
            AND(Q57="GBP", $Q$2="GBP"), K57,
            AND(Q57="GBP", $Q$2="USD"), K57*$Z$6,
            AND(Q57="GBP", $Q$2="HKD"), K57*$Z$7,
            AND(Q57="HKG", $Q$2="HKG"), K57,
            AND(Q57="HKD", $Q$2="USD"), K57*$Z$9,
            AND(Q57="HKD", $Q$2="GBP"), K57*$Z$10,
            AND(Q57="HKD", $Q$2="EUR"), K57*$Z$11,
            AND(Q57="EUR", $Q$2="EUR"), K57,
            AND(Q57="EUR", $Q$2="USD"), K57*$Z$12,
            AND(Q57="EUR", $Q$2="GBP"), K57*$Z$13,
            AND(Q57="EUR", $Q$2="HKD"), K57*$Z$14,
        ),
        0
    )
)</f>
        <v>0</v>
      </c>
      <c r="S57" s="1" cm="1">
        <f t="array" ref="S57">IF(A57="", "",
    IFERROR(
        _xlfn.SWITCH(
            TRUE,
            AND(Q57="USD", $Q$2="USD"), M57,
            AND(Q57="USD", $Q$2="GBP"), M57*$Z$3,
            AND(Q57="USD", $Q$2="HKD"), M57*$Z$4,
            AND(Q57="USD", $Q$2="EUR"), M57*$Z$5,
            AND(Q57="GBP", $Q$2="GBP"), M57,
            AND(Q57="GBP", $Q$2="USD"), M57*$Z$6,
            AND(Q57="GBP", $Q$2="HKD"), M57*$Z$7,
            AND(Q57="GBP", $Q$2="HKD"), M57*$Z$8,
            AND(Q57="HKG", $Q$2="HKG"), M57,
            AND(Q57="HKD", $Q$2="USD"), M57*$Z$9,
            AND(Q57="HKD", $Q$2="GBP"), M57*$Z$10,
            AND(Q57="HKD", $Q$2="EUR"), M57*$Z$11,
            AND(Q57="EUR", $Q$2="EUR"), M57,
            AND(Q57="EUR", $Q$2="USD"), M57*$Z$12,
            AND(Q57="EUR", $Q$2="GBP"), M57*$Z$13,
            AND(Q57="EUR", $Q$2="HKD"), M57*$Z$14,
        ),
        0
    )
)</f>
        <v>9224.9916869999997</v>
      </c>
      <c r="T57" s="1" t="str">
        <f t="shared" si="3"/>
        <v>1</v>
      </c>
      <c r="U57" s="9" t="str">
        <f t="shared" si="4"/>
        <v>01</v>
      </c>
      <c r="V57" s="1" t="str">
        <f t="shared" si="5"/>
        <v>2023</v>
      </c>
      <c r="W57" s="18" t="str">
        <f t="shared" si="6"/>
        <v>星期日</v>
      </c>
    </row>
    <row r="58" spans="1:23">
      <c r="A58" s="17" t="s">
        <v>59</v>
      </c>
      <c r="B58" s="1" t="s">
        <v>348</v>
      </c>
      <c r="C58" s="9">
        <v>44927</v>
      </c>
      <c r="D58" s="1" t="s">
        <v>23</v>
      </c>
      <c r="E58" s="1" t="s">
        <v>24</v>
      </c>
      <c r="F58" s="1" t="s">
        <v>349</v>
      </c>
      <c r="H58" s="1" t="s">
        <v>371</v>
      </c>
      <c r="I58" s="1">
        <v>2.2690000000000001</v>
      </c>
      <c r="J58" s="27">
        <v>1968.5</v>
      </c>
      <c r="M58" s="24">
        <f t="shared" si="0"/>
        <v>4466.5264999999999</v>
      </c>
      <c r="N58" s="36">
        <f t="shared" si="1"/>
        <v>-4466.5264999999999</v>
      </c>
      <c r="O58" s="34">
        <f>IF(ISBLANK(A58),"",SUMIFS(I$3:I58,D$3:D58,D58,H$3:H58,"Buy")+SUMIFS(I$3:I58,D$3:D58,D58,H$3:H58,"Cash Deposit")+SUMIFS(I$3:I58,D$3:D58,D58,H$3:H58,"Crypto Deposit")+SUMIFS(I$3:I58,D$3:D58,D58,H$3:H58,"Airdrop/Rewards")-SUMIFS(I$3:I58,D$3:D58,D58,H$3:H58,"Sell"))</f>
        <v>3.0459611200000003</v>
      </c>
      <c r="P58" s="2" cm="1">
        <f t="array" ref="P58">IF(ISBLANK(A58),"",IFERROR(IF(OR(H58="Sell",F58="Stable Coin"),INDEX(_xlfn._xlws.FILTER(P$2:P57, D$2:D57=D58),COUNT(_xlfn._xlws.FILTER(P$2:P57, D$2:D57=D58))),(INDEX(_xlfn._xlws.FILTER(P$2:P57, D$2:D57=D58),COUNT(_xlfn._xlws.FILTER(P$2:P57, D$2:D57=D58)))*INDEX(_xlfn._xlws.FILTER(O$2:O57, D$2:D57=D58),COUNT(_xlfn._xlws.FILTER(O$2:O57, D$2:D57=D58)))-N58) / O58), J58))</f>
        <v>2116.9695588692211</v>
      </c>
      <c r="Q58" s="1" t="str">
        <f t="shared" si="2"/>
        <v>USD</v>
      </c>
      <c r="R58" s="1" cm="1">
        <f t="array" ref="R58">IF(A58="", "",
    IFERROR(
        _xlfn.SWITCH(
            TRUE,
            AND(Q58="USD", $Q$2="USD"), K58,
            AND(Q58="USD", $Q$2="GBP"), K58*$Z$3,
            AND(Q58="USD", $Q$2="HKD"), K58*$Z$4,
            AND(Q58="USD", $Q$2="EUR"), K58*$Z$5,
            AND(Q58="GBP", $Q$2="GBP"), K58,
            AND(Q58="GBP", $Q$2="USD"), K58*$Z$6,
            AND(Q58="GBP", $Q$2="HKD"), K58*$Z$7,
            AND(Q58="HKG", $Q$2="HKG"), K58,
            AND(Q58="HKD", $Q$2="USD"), K58*$Z$9,
            AND(Q58="HKD", $Q$2="GBP"), K58*$Z$10,
            AND(Q58="HKD", $Q$2="EUR"), K58*$Z$11,
            AND(Q58="EUR", $Q$2="EUR"), K58,
            AND(Q58="EUR", $Q$2="USD"), K58*$Z$12,
            AND(Q58="EUR", $Q$2="GBP"), K58*$Z$13,
            AND(Q58="EUR", $Q$2="HKD"), K58*$Z$14,
        ),
        0
    )
)</f>
        <v>0</v>
      </c>
      <c r="S58" s="1" cm="1">
        <f t="array" ref="S58">IF(A58="", "",
    IFERROR(
        _xlfn.SWITCH(
            TRUE,
            AND(Q58="USD", $Q$2="USD"), M58,
            AND(Q58="USD", $Q$2="GBP"), M58*$Z$3,
            AND(Q58="USD", $Q$2="HKD"), M58*$Z$4,
            AND(Q58="USD", $Q$2="EUR"), M58*$Z$5,
            AND(Q58="GBP", $Q$2="GBP"), M58,
            AND(Q58="GBP", $Q$2="USD"), M58*$Z$6,
            AND(Q58="GBP", $Q$2="HKD"), M58*$Z$7,
            AND(Q58="GBP", $Q$2="HKD"), M58*$Z$8,
            AND(Q58="HKG", $Q$2="HKG"), M58,
            AND(Q58="HKD", $Q$2="USD"), M58*$Z$9,
            AND(Q58="HKD", $Q$2="GBP"), M58*$Z$10,
            AND(Q58="HKD", $Q$2="EUR"), M58*$Z$11,
            AND(Q58="EUR", $Q$2="EUR"), M58,
            AND(Q58="EUR", $Q$2="USD"), M58*$Z$12,
            AND(Q58="EUR", $Q$2="GBP"), M58*$Z$13,
            AND(Q58="EUR", $Q$2="HKD"), M58*$Z$14,
        ),
        0
    )
)</f>
        <v>4466.5264999999999</v>
      </c>
      <c r="T58" s="1" t="str">
        <f t="shared" si="3"/>
        <v>1</v>
      </c>
      <c r="U58" s="9" t="str">
        <f t="shared" si="4"/>
        <v>01</v>
      </c>
      <c r="V58" s="1" t="str">
        <f t="shared" si="5"/>
        <v>2023</v>
      </c>
      <c r="W58" s="18" t="str">
        <f t="shared" si="6"/>
        <v>星期日</v>
      </c>
    </row>
    <row r="59" spans="1:23">
      <c r="A59" s="17" t="s">
        <v>59</v>
      </c>
      <c r="B59" s="1" t="s">
        <v>348</v>
      </c>
      <c r="C59" s="9">
        <v>44927</v>
      </c>
      <c r="D59" s="1" t="s">
        <v>60</v>
      </c>
      <c r="E59" s="1" t="s">
        <v>424</v>
      </c>
      <c r="F59" s="1" t="s">
        <v>349</v>
      </c>
      <c r="H59" s="1" t="s">
        <v>371</v>
      </c>
      <c r="I59" s="1">
        <v>9.7549999999999998E-3</v>
      </c>
      <c r="J59" s="27">
        <v>29860.69</v>
      </c>
      <c r="M59" s="24">
        <f t="shared" si="0"/>
        <v>291.29103094999999</v>
      </c>
      <c r="N59" s="36">
        <f t="shared" si="1"/>
        <v>-291.29103094999999</v>
      </c>
      <c r="O59" s="34">
        <f>IF(ISBLANK(A59),"",SUMIFS(I$3:I59,D$3:D59,D59,H$3:H59,"Buy")+SUMIFS(I$3:I59,D$3:D59,D59,H$3:H59,"Cash Deposit")+SUMIFS(I$3:I59,D$3:D59,D59,H$3:H59,"Crypto Deposit")+SUMIFS(I$3:I59,D$3:D59,D59,H$3:H59,"Airdrop/Rewards")-SUMIFS(I$3:I59,D$3:D59,D59,H$3:H59,"Sell"))</f>
        <v>9.7549999999999998E-3</v>
      </c>
      <c r="P59" s="2" cm="1">
        <f t="array" ref="P59">IF(ISBLANK(A59),"",IFERROR(IF(OR(H59="Sell",F59="Stable Coin"),INDEX(_xlfn._xlws.FILTER(P$2:P58, D$2:D58=D59),COUNT(_xlfn._xlws.FILTER(P$2:P58, D$2:D58=D59))),(INDEX(_xlfn._xlws.FILTER(P$2:P58, D$2:D58=D59),COUNT(_xlfn._xlws.FILTER(P$2:P58, D$2:D58=D59)))*INDEX(_xlfn._xlws.FILTER(O$2:O58, D$2:D58=D59),COUNT(_xlfn._xlws.FILTER(O$2:O58, D$2:D58=D59)))-N59) / O59), J59))</f>
        <v>29860.69</v>
      </c>
      <c r="Q59" s="1" t="str">
        <f t="shared" si="2"/>
        <v>USD</v>
      </c>
      <c r="R59" s="1" cm="1">
        <f t="array" ref="R59">IF(A59="", "",
    IFERROR(
        _xlfn.SWITCH(
            TRUE,
            AND(Q59="USD", $Q$2="USD"), K59,
            AND(Q59="USD", $Q$2="GBP"), K59*$Z$3,
            AND(Q59="USD", $Q$2="HKD"), K59*$Z$4,
            AND(Q59="USD", $Q$2="EUR"), K59*$Z$5,
            AND(Q59="GBP", $Q$2="GBP"), K59,
            AND(Q59="GBP", $Q$2="USD"), K59*$Z$6,
            AND(Q59="GBP", $Q$2="HKD"), K59*$Z$7,
            AND(Q59="HKG", $Q$2="HKG"), K59,
            AND(Q59="HKD", $Q$2="USD"), K59*$Z$9,
            AND(Q59="HKD", $Q$2="GBP"), K59*$Z$10,
            AND(Q59="HKD", $Q$2="EUR"), K59*$Z$11,
            AND(Q59="EUR", $Q$2="EUR"), K59,
            AND(Q59="EUR", $Q$2="USD"), K59*$Z$12,
            AND(Q59="EUR", $Q$2="GBP"), K59*$Z$13,
            AND(Q59="EUR", $Q$2="HKD"), K59*$Z$14,
        ),
        0
    )
)</f>
        <v>0</v>
      </c>
      <c r="S59" s="1" cm="1">
        <f t="array" ref="S59">IF(A59="", "",
    IFERROR(
        _xlfn.SWITCH(
            TRUE,
            AND(Q59="USD", $Q$2="USD"), M59,
            AND(Q59="USD", $Q$2="GBP"), M59*$Z$3,
            AND(Q59="USD", $Q$2="HKD"), M59*$Z$4,
            AND(Q59="USD", $Q$2="EUR"), M59*$Z$5,
            AND(Q59="GBP", $Q$2="GBP"), M59,
            AND(Q59="GBP", $Q$2="USD"), M59*$Z$6,
            AND(Q59="GBP", $Q$2="HKD"), M59*$Z$7,
            AND(Q59="GBP", $Q$2="HKD"), M59*$Z$8,
            AND(Q59="HKG", $Q$2="HKG"), M59,
            AND(Q59="HKD", $Q$2="USD"), M59*$Z$9,
            AND(Q59="HKD", $Q$2="GBP"), M59*$Z$10,
            AND(Q59="HKD", $Q$2="EUR"), M59*$Z$11,
            AND(Q59="EUR", $Q$2="EUR"), M59,
            AND(Q59="EUR", $Q$2="USD"), M59*$Z$12,
            AND(Q59="EUR", $Q$2="GBP"), M59*$Z$13,
            AND(Q59="EUR", $Q$2="HKD"), M59*$Z$14,
        ),
        0
    )
)</f>
        <v>291.29103094999999</v>
      </c>
      <c r="T59" s="1" t="str">
        <f t="shared" si="3"/>
        <v>1</v>
      </c>
      <c r="U59" s="9" t="str">
        <f t="shared" si="4"/>
        <v>01</v>
      </c>
      <c r="V59" s="1" t="str">
        <f t="shared" si="5"/>
        <v>2023</v>
      </c>
      <c r="W59" s="18" t="str">
        <f t="shared" si="6"/>
        <v>星期日</v>
      </c>
    </row>
    <row r="60" spans="1:23">
      <c r="A60" s="17" t="s">
        <v>59</v>
      </c>
      <c r="B60" s="1" t="s">
        <v>348</v>
      </c>
      <c r="C60" s="9">
        <v>44927</v>
      </c>
      <c r="D60" s="1" t="s">
        <v>64</v>
      </c>
      <c r="E60" s="1" t="s">
        <v>356</v>
      </c>
      <c r="F60" s="1" t="s">
        <v>349</v>
      </c>
      <c r="H60" s="1" t="s">
        <v>371</v>
      </c>
      <c r="I60" s="1">
        <v>8</v>
      </c>
      <c r="J60" s="27">
        <v>17.11</v>
      </c>
      <c r="M60" s="24">
        <f t="shared" si="0"/>
        <v>136.88</v>
      </c>
      <c r="N60" s="36">
        <f t="shared" si="1"/>
        <v>-136.88</v>
      </c>
      <c r="O60" s="34">
        <f>IF(ISBLANK(A60),"",SUMIFS(I$3:I60,D$3:D60,D60,H$3:H60,"Buy")+SUMIFS(I$3:I60,D$3:D60,D60,H$3:H60,"Cash Deposit")+SUMIFS(I$3:I60,D$3:D60,D60,H$3:H60,"Crypto Deposit")+SUMIFS(I$3:I60,D$3:D60,D60,H$3:H60,"Airdrop/Rewards")-SUMIFS(I$3:I60,D$3:D60,D60,H$3:H60,"Sell"))</f>
        <v>8</v>
      </c>
      <c r="P60" s="2" cm="1">
        <f t="array" ref="P60">IF(ISBLANK(A60),"",IFERROR(IF(OR(H60="Sell",F60="Stable Coin"),INDEX(_xlfn._xlws.FILTER(P$2:P59, D$2:D59=D60),COUNT(_xlfn._xlws.FILTER(P$2:P59, D$2:D59=D60))),(INDEX(_xlfn._xlws.FILTER(P$2:P59, D$2:D59=D60),COUNT(_xlfn._xlws.FILTER(P$2:P59, D$2:D59=D60)))*INDEX(_xlfn._xlws.FILTER(O$2:O59, D$2:D59=D60),COUNT(_xlfn._xlws.FILTER(O$2:O59, D$2:D59=D60)))-N60) / O60), J60))</f>
        <v>17.11</v>
      </c>
      <c r="Q60" s="1" t="str">
        <f t="shared" si="2"/>
        <v>USD</v>
      </c>
      <c r="R60" s="1" cm="1">
        <f t="array" ref="R60">IF(A60="", "",
    IFERROR(
        _xlfn.SWITCH(
            TRUE,
            AND(Q60="USD", $Q$2="USD"), K60,
            AND(Q60="USD", $Q$2="GBP"), K60*$Z$3,
            AND(Q60="USD", $Q$2="HKD"), K60*$Z$4,
            AND(Q60="USD", $Q$2="EUR"), K60*$Z$5,
            AND(Q60="GBP", $Q$2="GBP"), K60,
            AND(Q60="GBP", $Q$2="USD"), K60*$Z$6,
            AND(Q60="GBP", $Q$2="HKD"), K60*$Z$7,
            AND(Q60="HKG", $Q$2="HKG"), K60,
            AND(Q60="HKD", $Q$2="USD"), K60*$Z$9,
            AND(Q60="HKD", $Q$2="GBP"), K60*$Z$10,
            AND(Q60="HKD", $Q$2="EUR"), K60*$Z$11,
            AND(Q60="EUR", $Q$2="EUR"), K60,
            AND(Q60="EUR", $Q$2="USD"), K60*$Z$12,
            AND(Q60="EUR", $Q$2="GBP"), K60*$Z$13,
            AND(Q60="EUR", $Q$2="HKD"), K60*$Z$14,
        ),
        0
    )
)</f>
        <v>0</v>
      </c>
      <c r="S60" s="1" cm="1">
        <f t="array" ref="S60">IF(A60="", "",
    IFERROR(
        _xlfn.SWITCH(
            TRUE,
            AND(Q60="USD", $Q$2="USD"), M60,
            AND(Q60="USD", $Q$2="GBP"), M60*$Z$3,
            AND(Q60="USD", $Q$2="HKD"), M60*$Z$4,
            AND(Q60="USD", $Q$2="EUR"), M60*$Z$5,
            AND(Q60="GBP", $Q$2="GBP"), M60,
            AND(Q60="GBP", $Q$2="USD"), M60*$Z$6,
            AND(Q60="GBP", $Q$2="HKD"), M60*$Z$7,
            AND(Q60="GBP", $Q$2="HKD"), M60*$Z$8,
            AND(Q60="HKG", $Q$2="HKG"), M60,
            AND(Q60="HKD", $Q$2="USD"), M60*$Z$9,
            AND(Q60="HKD", $Q$2="GBP"), M60*$Z$10,
            AND(Q60="HKD", $Q$2="EUR"), M60*$Z$11,
            AND(Q60="EUR", $Q$2="EUR"), M60,
            AND(Q60="EUR", $Q$2="USD"), M60*$Z$12,
            AND(Q60="EUR", $Q$2="GBP"), M60*$Z$13,
            AND(Q60="EUR", $Q$2="HKD"), M60*$Z$14,
        ),
        0
    )
)</f>
        <v>136.88</v>
      </c>
      <c r="T60" s="1" t="str">
        <f t="shared" si="3"/>
        <v>1</v>
      </c>
      <c r="U60" s="9" t="str">
        <f t="shared" si="4"/>
        <v>01</v>
      </c>
      <c r="V60" s="1" t="str">
        <f t="shared" si="5"/>
        <v>2023</v>
      </c>
      <c r="W60" s="18" t="str">
        <f t="shared" si="6"/>
        <v>星期日</v>
      </c>
    </row>
    <row r="61" spans="1:23">
      <c r="A61" s="17" t="s">
        <v>59</v>
      </c>
      <c r="B61" s="1" t="s">
        <v>348</v>
      </c>
      <c r="C61" s="9">
        <v>44927</v>
      </c>
      <c r="D61" s="1" t="s">
        <v>23</v>
      </c>
      <c r="E61" s="1" t="s">
        <v>357</v>
      </c>
      <c r="F61" s="1" t="s">
        <v>349</v>
      </c>
      <c r="H61" s="1" t="s">
        <v>371</v>
      </c>
      <c r="I61" s="1">
        <v>6.2050000000000001E-2</v>
      </c>
      <c r="J61" s="27">
        <v>2483.5500000000002</v>
      </c>
      <c r="M61" s="24">
        <f t="shared" si="0"/>
        <v>154.10427750000002</v>
      </c>
      <c r="N61" s="36">
        <f t="shared" si="1"/>
        <v>-154.10427750000002</v>
      </c>
      <c r="O61" s="34">
        <f>IF(ISBLANK(A61),"",SUMIFS(I$3:I61,D$3:D61,D61,H$3:H61,"Buy")+SUMIFS(I$3:I61,D$3:D61,D61,H$3:H61,"Cash Deposit")+SUMIFS(I$3:I61,D$3:D61,D61,H$3:H61,"Crypto Deposit")+SUMIFS(I$3:I61,D$3:D61,D61,H$3:H61,"Airdrop/Rewards")-SUMIFS(I$3:I61,D$3:D61,D61,H$3:H61,"Sell"))</f>
        <v>3.1080111200000005</v>
      </c>
      <c r="P61" s="2" cm="1">
        <f t="array" ref="P61">IF(ISBLANK(A61),"",IFERROR(IF(OR(H61="Sell",F61="Stable Coin"),INDEX(_xlfn._xlws.FILTER(P$2:P60, D$2:D60=D61),COUNT(_xlfn._xlws.FILTER(P$2:P60, D$2:D60=D61))),(INDEX(_xlfn._xlws.FILTER(P$2:P60, D$2:D60=D61),COUNT(_xlfn._xlws.FILTER(P$2:P60, D$2:D60=D61)))*INDEX(_xlfn._xlws.FILTER(O$2:O60, D$2:D60=D61),COUNT(_xlfn._xlws.FILTER(O$2:O60, D$2:D60=D61)))-N61) / O61), J61))</f>
        <v>2124.2881672956173</v>
      </c>
      <c r="Q61" s="1" t="str">
        <f t="shared" si="2"/>
        <v>USD</v>
      </c>
      <c r="R61" s="1" cm="1">
        <f t="array" ref="R61">IF(A61="", "",
    IFERROR(
        _xlfn.SWITCH(
            TRUE,
            AND(Q61="USD", $Q$2="USD"), K61,
            AND(Q61="USD", $Q$2="GBP"), K61*$Z$3,
            AND(Q61="USD", $Q$2="HKD"), K61*$Z$4,
            AND(Q61="USD", $Q$2="EUR"), K61*$Z$5,
            AND(Q61="GBP", $Q$2="GBP"), K61,
            AND(Q61="GBP", $Q$2="USD"), K61*$Z$6,
            AND(Q61="GBP", $Q$2="HKD"), K61*$Z$7,
            AND(Q61="HKG", $Q$2="HKG"), K61,
            AND(Q61="HKD", $Q$2="USD"), K61*$Z$9,
            AND(Q61="HKD", $Q$2="GBP"), K61*$Z$10,
            AND(Q61="HKD", $Q$2="EUR"), K61*$Z$11,
            AND(Q61="EUR", $Q$2="EUR"), K61,
            AND(Q61="EUR", $Q$2="USD"), K61*$Z$12,
            AND(Q61="EUR", $Q$2="GBP"), K61*$Z$13,
            AND(Q61="EUR", $Q$2="HKD"), K61*$Z$14,
        ),
        0
    )
)</f>
        <v>0</v>
      </c>
      <c r="S61" s="1" cm="1">
        <f t="array" ref="S61">IF(A61="", "",
    IFERROR(
        _xlfn.SWITCH(
            TRUE,
            AND(Q61="USD", $Q$2="USD"), M61,
            AND(Q61="USD", $Q$2="GBP"), M61*$Z$3,
            AND(Q61="USD", $Q$2="HKD"), M61*$Z$4,
            AND(Q61="USD", $Q$2="EUR"), M61*$Z$5,
            AND(Q61="GBP", $Q$2="GBP"), M61,
            AND(Q61="GBP", $Q$2="USD"), M61*$Z$6,
            AND(Q61="GBP", $Q$2="HKD"), M61*$Z$7,
            AND(Q61="GBP", $Q$2="HKD"), M61*$Z$8,
            AND(Q61="HKG", $Q$2="HKG"), M61,
            AND(Q61="HKD", $Q$2="USD"), M61*$Z$9,
            AND(Q61="HKD", $Q$2="GBP"), M61*$Z$10,
            AND(Q61="HKD", $Q$2="EUR"), M61*$Z$11,
            AND(Q61="EUR", $Q$2="EUR"), M61,
            AND(Q61="EUR", $Q$2="USD"), M61*$Z$12,
            AND(Q61="EUR", $Q$2="GBP"), M61*$Z$13,
            AND(Q61="EUR", $Q$2="HKD"), M61*$Z$14,
        ),
        0
    )
)</f>
        <v>154.10427750000002</v>
      </c>
      <c r="T61" s="1" t="str">
        <f t="shared" si="3"/>
        <v>1</v>
      </c>
      <c r="U61" s="9" t="str">
        <f t="shared" si="4"/>
        <v>01</v>
      </c>
      <c r="V61" s="1" t="str">
        <f t="shared" si="5"/>
        <v>2023</v>
      </c>
      <c r="W61" s="18" t="str">
        <f t="shared" si="6"/>
        <v>星期日</v>
      </c>
    </row>
    <row r="62" spans="1:23">
      <c r="A62" s="17" t="s">
        <v>59</v>
      </c>
      <c r="B62" s="1" t="s">
        <v>348</v>
      </c>
      <c r="C62" s="9">
        <v>44927</v>
      </c>
      <c r="D62" s="1" t="s">
        <v>27</v>
      </c>
      <c r="E62" s="1" t="s">
        <v>28</v>
      </c>
      <c r="F62" s="1" t="s">
        <v>349</v>
      </c>
      <c r="H62" s="1" t="s">
        <v>371</v>
      </c>
      <c r="I62" s="1">
        <v>3.75</v>
      </c>
      <c r="J62" s="27">
        <v>21.76</v>
      </c>
      <c r="M62" s="24">
        <f t="shared" si="0"/>
        <v>81.600000000000009</v>
      </c>
      <c r="N62" s="36">
        <f t="shared" si="1"/>
        <v>-81.600000000000009</v>
      </c>
      <c r="O62" s="34">
        <f>IF(ISBLANK(A62),"",SUMIFS(I$3:I62,D$3:D62,D62,H$3:H62,"Buy")+SUMIFS(I$3:I62,D$3:D62,D62,H$3:H62,"Cash Deposit")+SUMIFS(I$3:I62,D$3:D62,D62,H$3:H62,"Crypto Deposit")+SUMIFS(I$3:I62,D$3:D62,D62,H$3:H62,"Airdrop/Rewards")-SUMIFS(I$3:I62,D$3:D62,D62,H$3:H62,"Sell"))</f>
        <v>20.6205</v>
      </c>
      <c r="P62" s="2" cm="1">
        <f t="array" ref="P62">IF(ISBLANK(A62),"",IFERROR(IF(OR(H62="Sell",F62="Stable Coin"),INDEX(_xlfn._xlws.FILTER(P$2:P61, D$2:D61=D62),COUNT(_xlfn._xlws.FILTER(P$2:P61, D$2:D61=D62))),(INDEX(_xlfn._xlws.FILTER(P$2:P61, D$2:D61=D62),COUNT(_xlfn._xlws.FILTER(P$2:P61, D$2:D61=D62)))*INDEX(_xlfn._xlws.FILTER(O$2:O61, D$2:D61=D62),COUNT(_xlfn._xlws.FILTER(O$2:O61, D$2:D61=D62)))-N62) / O62), J62))</f>
        <v>32.624927620571761</v>
      </c>
      <c r="Q62" s="1" t="str">
        <f t="shared" si="2"/>
        <v>USD</v>
      </c>
      <c r="R62" s="1" cm="1">
        <f t="array" ref="R62">IF(A62="", "",
    IFERROR(
        _xlfn.SWITCH(
            TRUE,
            AND(Q62="USD", $Q$2="USD"), K62,
            AND(Q62="USD", $Q$2="GBP"), K62*$Z$3,
            AND(Q62="USD", $Q$2="HKD"), K62*$Z$4,
            AND(Q62="USD", $Q$2="EUR"), K62*$Z$5,
            AND(Q62="GBP", $Q$2="GBP"), K62,
            AND(Q62="GBP", $Q$2="USD"), K62*$Z$6,
            AND(Q62="GBP", $Q$2="HKD"), K62*$Z$7,
            AND(Q62="HKG", $Q$2="HKG"), K62,
            AND(Q62="HKD", $Q$2="USD"), K62*$Z$9,
            AND(Q62="HKD", $Q$2="GBP"), K62*$Z$10,
            AND(Q62="HKD", $Q$2="EUR"), K62*$Z$11,
            AND(Q62="EUR", $Q$2="EUR"), K62,
            AND(Q62="EUR", $Q$2="USD"), K62*$Z$12,
            AND(Q62="EUR", $Q$2="GBP"), K62*$Z$13,
            AND(Q62="EUR", $Q$2="HKD"), K62*$Z$14,
        ),
        0
    )
)</f>
        <v>0</v>
      </c>
      <c r="S62" s="1" cm="1">
        <f t="array" ref="S62">IF(A62="", "",
    IFERROR(
        _xlfn.SWITCH(
            TRUE,
            AND(Q62="USD", $Q$2="USD"), M62,
            AND(Q62="USD", $Q$2="GBP"), M62*$Z$3,
            AND(Q62="USD", $Q$2="HKD"), M62*$Z$4,
            AND(Q62="USD", $Q$2="EUR"), M62*$Z$5,
            AND(Q62="GBP", $Q$2="GBP"), M62,
            AND(Q62="GBP", $Q$2="USD"), M62*$Z$6,
            AND(Q62="GBP", $Q$2="HKD"), M62*$Z$7,
            AND(Q62="GBP", $Q$2="HKD"), M62*$Z$8,
            AND(Q62="HKG", $Q$2="HKG"), M62,
            AND(Q62="HKD", $Q$2="USD"), M62*$Z$9,
            AND(Q62="HKD", $Q$2="GBP"), M62*$Z$10,
            AND(Q62="HKD", $Q$2="EUR"), M62*$Z$11,
            AND(Q62="EUR", $Q$2="EUR"), M62,
            AND(Q62="EUR", $Q$2="USD"), M62*$Z$12,
            AND(Q62="EUR", $Q$2="GBP"), M62*$Z$13,
            AND(Q62="EUR", $Q$2="HKD"), M62*$Z$14,
        ),
        0
    )
)</f>
        <v>81.600000000000009</v>
      </c>
      <c r="T62" s="1" t="str">
        <f t="shared" si="3"/>
        <v>1</v>
      </c>
      <c r="U62" s="9" t="str">
        <f t="shared" si="4"/>
        <v>01</v>
      </c>
      <c r="V62" s="1" t="str">
        <f t="shared" si="5"/>
        <v>2023</v>
      </c>
      <c r="W62" s="18" t="str">
        <f t="shared" si="6"/>
        <v>星期日</v>
      </c>
    </row>
    <row r="63" spans="1:23">
      <c r="A63" s="17" t="s">
        <v>59</v>
      </c>
      <c r="B63" s="1" t="s">
        <v>348</v>
      </c>
      <c r="C63" s="9">
        <v>44927</v>
      </c>
      <c r="D63" s="1" t="s">
        <v>72</v>
      </c>
      <c r="E63" s="1" t="s">
        <v>71</v>
      </c>
      <c r="F63" s="1" t="s">
        <v>349</v>
      </c>
      <c r="H63" s="1" t="s">
        <v>371</v>
      </c>
      <c r="I63" s="1">
        <v>95.65</v>
      </c>
      <c r="J63" s="27">
        <v>1.798</v>
      </c>
      <c r="M63" s="24">
        <f t="shared" si="0"/>
        <v>171.9787</v>
      </c>
      <c r="N63" s="36">
        <f t="shared" si="1"/>
        <v>-171.9787</v>
      </c>
      <c r="O63" s="34">
        <f>IF(ISBLANK(A63),"",SUMIFS(I$3:I63,D$3:D63,D63,H$3:H63,"Buy")+SUMIFS(I$3:I63,D$3:D63,D63,H$3:H63,"Cash Deposit")+SUMIFS(I$3:I63,D$3:D63,D63,H$3:H63,"Crypto Deposit")+SUMIFS(I$3:I63,D$3:D63,D63,H$3:H63,"Airdrop/Rewards")-SUMIFS(I$3:I63,D$3:D63,D63,H$3:H63,"Sell"))</f>
        <v>95.65</v>
      </c>
      <c r="P63" s="2" cm="1">
        <f t="array" ref="P63">IF(ISBLANK(A63),"",IFERROR(IF(OR(H63="Sell",F63="Stable Coin"),INDEX(_xlfn._xlws.FILTER(P$2:P62, D$2:D62=D63),COUNT(_xlfn._xlws.FILTER(P$2:P62, D$2:D62=D63))),(INDEX(_xlfn._xlws.FILTER(P$2:P62, D$2:D62=D63),COUNT(_xlfn._xlws.FILTER(P$2:P62, D$2:D62=D63)))*INDEX(_xlfn._xlws.FILTER(O$2:O62, D$2:D62=D63),COUNT(_xlfn._xlws.FILTER(O$2:O62, D$2:D62=D63)))-N63) / O63), J63))</f>
        <v>1.798</v>
      </c>
      <c r="Q63" s="1" t="str">
        <f t="shared" si="2"/>
        <v>USD</v>
      </c>
      <c r="R63" s="1" cm="1">
        <f t="array" ref="R63">IF(A63="", "",
    IFERROR(
        _xlfn.SWITCH(
            TRUE,
            AND(Q63="USD", $Q$2="USD"), K63,
            AND(Q63="USD", $Q$2="GBP"), K63*$Z$3,
            AND(Q63="USD", $Q$2="HKD"), K63*$Z$4,
            AND(Q63="USD", $Q$2="EUR"), K63*$Z$5,
            AND(Q63="GBP", $Q$2="GBP"), K63,
            AND(Q63="GBP", $Q$2="USD"), K63*$Z$6,
            AND(Q63="GBP", $Q$2="HKD"), K63*$Z$7,
            AND(Q63="HKG", $Q$2="HKG"), K63,
            AND(Q63="HKD", $Q$2="USD"), K63*$Z$9,
            AND(Q63="HKD", $Q$2="GBP"), K63*$Z$10,
            AND(Q63="HKD", $Q$2="EUR"), K63*$Z$11,
            AND(Q63="EUR", $Q$2="EUR"), K63,
            AND(Q63="EUR", $Q$2="USD"), K63*$Z$12,
            AND(Q63="EUR", $Q$2="GBP"), K63*$Z$13,
            AND(Q63="EUR", $Q$2="HKD"), K63*$Z$14,
        ),
        0
    )
)</f>
        <v>0</v>
      </c>
      <c r="S63" s="1" cm="1">
        <f t="array" ref="S63">IF(A63="", "",
    IFERROR(
        _xlfn.SWITCH(
            TRUE,
            AND(Q63="USD", $Q$2="USD"), M63,
            AND(Q63="USD", $Q$2="GBP"), M63*$Z$3,
            AND(Q63="USD", $Q$2="HKD"), M63*$Z$4,
            AND(Q63="USD", $Q$2="EUR"), M63*$Z$5,
            AND(Q63="GBP", $Q$2="GBP"), M63,
            AND(Q63="GBP", $Q$2="USD"), M63*$Z$6,
            AND(Q63="GBP", $Q$2="HKD"), M63*$Z$7,
            AND(Q63="GBP", $Q$2="HKD"), M63*$Z$8,
            AND(Q63="HKG", $Q$2="HKG"), M63,
            AND(Q63="HKD", $Q$2="USD"), M63*$Z$9,
            AND(Q63="HKD", $Q$2="GBP"), M63*$Z$10,
            AND(Q63="HKD", $Q$2="EUR"), M63*$Z$11,
            AND(Q63="EUR", $Q$2="EUR"), M63,
            AND(Q63="EUR", $Q$2="USD"), M63*$Z$12,
            AND(Q63="EUR", $Q$2="GBP"), M63*$Z$13,
            AND(Q63="EUR", $Q$2="HKD"), M63*$Z$14,
        ),
        0
    )
)</f>
        <v>171.9787</v>
      </c>
      <c r="T63" s="1" t="str">
        <f t="shared" si="3"/>
        <v>1</v>
      </c>
      <c r="U63" s="9" t="str">
        <f t="shared" si="4"/>
        <v>01</v>
      </c>
      <c r="V63" s="1" t="str">
        <f t="shared" si="5"/>
        <v>2023</v>
      </c>
      <c r="W63" s="18" t="str">
        <f t="shared" si="6"/>
        <v>星期日</v>
      </c>
    </row>
    <row r="64" spans="1:23">
      <c r="A64" s="17" t="s">
        <v>59</v>
      </c>
      <c r="B64" s="1" t="s">
        <v>348</v>
      </c>
      <c r="C64" s="9">
        <v>44927</v>
      </c>
      <c r="D64" s="1" t="s">
        <v>10</v>
      </c>
      <c r="E64" s="1" t="s">
        <v>10</v>
      </c>
      <c r="F64" s="1" t="s">
        <v>349</v>
      </c>
      <c r="H64" s="1" t="s">
        <v>371</v>
      </c>
      <c r="I64" s="1">
        <v>9.7549999999999998E-2</v>
      </c>
      <c r="J64" s="27">
        <v>325.54000000000002</v>
      </c>
      <c r="M64" s="24">
        <f t="shared" si="0"/>
        <v>31.756427000000002</v>
      </c>
      <c r="N64" s="36">
        <f t="shared" si="1"/>
        <v>-31.756427000000002</v>
      </c>
      <c r="O64" s="34">
        <f>IF(ISBLANK(A64),"",SUMIFS(I$3:I64,D$3:D64,D64,H$3:H64,"Buy")+SUMIFS(I$3:I64,D$3:D64,D64,H$3:H64,"Cash Deposit")+SUMIFS(I$3:I64,D$3:D64,D64,H$3:H64,"Crypto Deposit")+SUMIFS(I$3:I64,D$3:D64,D64,H$3:H64,"Airdrop/Rewards")-SUMIFS(I$3:I64,D$3:D64,D64,H$3:H64,"Sell"))</f>
        <v>10.432829999999999</v>
      </c>
      <c r="P64" s="2" cm="1">
        <f t="array" ref="P64">IF(ISBLANK(A64),"",IFERROR(IF(OR(H64="Sell",F64="Stable Coin"),INDEX(_xlfn._xlws.FILTER(P$2:P63, D$2:D63=D64),COUNT(_xlfn._xlws.FILTER(P$2:P63, D$2:D63=D64))),(INDEX(_xlfn._xlws.FILTER(P$2:P63, D$2:D63=D64),COUNT(_xlfn._xlws.FILTER(P$2:P63, D$2:D63=D64)))*INDEX(_xlfn._xlws.FILTER(O$2:O63, D$2:D63=D64),COUNT(_xlfn._xlws.FILTER(O$2:O63, D$2:D63=D64)))-N64) / O64), J64))</f>
        <v>340.31058715612153</v>
      </c>
      <c r="Q64" s="1" t="str">
        <f t="shared" si="2"/>
        <v>USD</v>
      </c>
      <c r="R64" s="1" cm="1">
        <f t="array" ref="R64">IF(A64="", "",
    IFERROR(
        _xlfn.SWITCH(
            TRUE,
            AND(Q64="USD", $Q$2="USD"), K64,
            AND(Q64="USD", $Q$2="GBP"), K64*$Z$3,
            AND(Q64="USD", $Q$2="HKD"), K64*$Z$4,
            AND(Q64="USD", $Q$2="EUR"), K64*$Z$5,
            AND(Q64="GBP", $Q$2="GBP"), K64,
            AND(Q64="GBP", $Q$2="USD"), K64*$Z$6,
            AND(Q64="GBP", $Q$2="HKD"), K64*$Z$7,
            AND(Q64="HKG", $Q$2="HKG"), K64,
            AND(Q64="HKD", $Q$2="USD"), K64*$Z$9,
            AND(Q64="HKD", $Q$2="GBP"), K64*$Z$10,
            AND(Q64="HKD", $Q$2="EUR"), K64*$Z$11,
            AND(Q64="EUR", $Q$2="EUR"), K64,
            AND(Q64="EUR", $Q$2="USD"), K64*$Z$12,
            AND(Q64="EUR", $Q$2="GBP"), K64*$Z$13,
            AND(Q64="EUR", $Q$2="HKD"), K64*$Z$14,
        ),
        0
    )
)</f>
        <v>0</v>
      </c>
      <c r="S64" s="1" cm="1">
        <f t="array" ref="S64">IF(A64="", "",
    IFERROR(
        _xlfn.SWITCH(
            TRUE,
            AND(Q64="USD", $Q$2="USD"), M64,
            AND(Q64="USD", $Q$2="GBP"), M64*$Z$3,
            AND(Q64="USD", $Q$2="HKD"), M64*$Z$4,
            AND(Q64="USD", $Q$2="EUR"), M64*$Z$5,
            AND(Q64="GBP", $Q$2="GBP"), M64,
            AND(Q64="GBP", $Q$2="USD"), M64*$Z$6,
            AND(Q64="GBP", $Q$2="HKD"), M64*$Z$7,
            AND(Q64="GBP", $Q$2="HKD"), M64*$Z$8,
            AND(Q64="HKG", $Q$2="HKG"), M64,
            AND(Q64="HKD", $Q$2="USD"), M64*$Z$9,
            AND(Q64="HKD", $Q$2="GBP"), M64*$Z$10,
            AND(Q64="HKD", $Q$2="EUR"), M64*$Z$11,
            AND(Q64="EUR", $Q$2="EUR"), M64,
            AND(Q64="EUR", $Q$2="USD"), M64*$Z$12,
            AND(Q64="EUR", $Q$2="GBP"), M64*$Z$13,
            AND(Q64="EUR", $Q$2="HKD"), M64*$Z$14,
        ),
        0
    )
)</f>
        <v>31.756427000000002</v>
      </c>
      <c r="T64" s="1" t="str">
        <f t="shared" si="3"/>
        <v>1</v>
      </c>
      <c r="U64" s="9" t="str">
        <f t="shared" si="4"/>
        <v>01</v>
      </c>
      <c r="V64" s="1" t="str">
        <f t="shared" si="5"/>
        <v>2023</v>
      </c>
      <c r="W64" s="18" t="str">
        <f t="shared" si="6"/>
        <v>星期日</v>
      </c>
    </row>
    <row r="65" spans="1:23">
      <c r="A65" s="17" t="s">
        <v>59</v>
      </c>
      <c r="B65" s="1" t="s">
        <v>348</v>
      </c>
      <c r="C65" s="9">
        <v>44927</v>
      </c>
      <c r="D65" s="1" t="s">
        <v>60</v>
      </c>
      <c r="E65" s="1" t="s">
        <v>4</v>
      </c>
      <c r="F65" s="1" t="s">
        <v>349</v>
      </c>
      <c r="H65" s="1" t="s">
        <v>371</v>
      </c>
      <c r="I65" s="1">
        <v>0.16800000000000001</v>
      </c>
      <c r="J65" s="27">
        <v>29860.69</v>
      </c>
      <c r="M65" s="24">
        <f t="shared" si="0"/>
        <v>5016.5959199999998</v>
      </c>
      <c r="N65" s="36">
        <f t="shared" si="1"/>
        <v>-5016.5959199999998</v>
      </c>
      <c r="O65" s="34">
        <f>IF(ISBLANK(A65),"",SUMIFS(I$3:I65,D$3:D65,D65,H$3:H65,"Buy")+SUMIFS(I$3:I65,D$3:D65,D65,H$3:H65,"Cash Deposit")+SUMIFS(I$3:I65,D$3:D65,D65,H$3:H65,"Crypto Deposit")+SUMIFS(I$3:I65,D$3:D65,D65,H$3:H65,"Airdrop/Rewards")-SUMIFS(I$3:I65,D$3:D65,D65,H$3:H65,"Sell"))</f>
        <v>0.177755</v>
      </c>
      <c r="P65" s="2" cm="1">
        <f t="array" ref="P65">IF(ISBLANK(A65),"",IFERROR(IF(OR(H65="Sell",F65="Stable Coin"),INDEX(_xlfn._xlws.FILTER(P$2:P64, D$2:D64=D65),COUNT(_xlfn._xlws.FILTER(P$2:P64, D$2:D64=D65))),(INDEX(_xlfn._xlws.FILTER(P$2:P64, D$2:D64=D65),COUNT(_xlfn._xlws.FILTER(P$2:P64, D$2:D64=D65)))*INDEX(_xlfn._xlws.FILTER(O$2:O64, D$2:D64=D65),COUNT(_xlfn._xlws.FILTER(O$2:O64, D$2:D64=D65)))-N65) / O65), J65))</f>
        <v>29860.690000000002</v>
      </c>
      <c r="Q65" s="1" t="str">
        <f t="shared" si="2"/>
        <v>USD</v>
      </c>
      <c r="R65" s="1" cm="1">
        <f t="array" ref="R65">IF(A65="", "",
    IFERROR(
        _xlfn.SWITCH(
            TRUE,
            AND(Q65="USD", $Q$2="USD"), K65,
            AND(Q65="USD", $Q$2="GBP"), K65*$Z$3,
            AND(Q65="USD", $Q$2="HKD"), K65*$Z$4,
            AND(Q65="USD", $Q$2="EUR"), K65*$Z$5,
            AND(Q65="GBP", $Q$2="GBP"), K65,
            AND(Q65="GBP", $Q$2="USD"), K65*$Z$6,
            AND(Q65="GBP", $Q$2="HKD"), K65*$Z$7,
            AND(Q65="HKG", $Q$2="HKG"), K65,
            AND(Q65="HKD", $Q$2="USD"), K65*$Z$9,
            AND(Q65="HKD", $Q$2="GBP"), K65*$Z$10,
            AND(Q65="HKD", $Q$2="EUR"), K65*$Z$11,
            AND(Q65="EUR", $Q$2="EUR"), K65,
            AND(Q65="EUR", $Q$2="USD"), K65*$Z$12,
            AND(Q65="EUR", $Q$2="GBP"), K65*$Z$13,
            AND(Q65="EUR", $Q$2="HKD"), K65*$Z$14,
        ),
        0
    )
)</f>
        <v>0</v>
      </c>
      <c r="S65" s="1" cm="1">
        <f t="array" ref="S65">IF(A65="", "",
    IFERROR(
        _xlfn.SWITCH(
            TRUE,
            AND(Q65="USD", $Q$2="USD"), M65,
            AND(Q65="USD", $Q$2="GBP"), M65*$Z$3,
            AND(Q65="USD", $Q$2="HKD"), M65*$Z$4,
            AND(Q65="USD", $Q$2="EUR"), M65*$Z$5,
            AND(Q65="GBP", $Q$2="GBP"), M65,
            AND(Q65="GBP", $Q$2="USD"), M65*$Z$6,
            AND(Q65="GBP", $Q$2="HKD"), M65*$Z$7,
            AND(Q65="GBP", $Q$2="HKD"), M65*$Z$8,
            AND(Q65="HKG", $Q$2="HKG"), M65,
            AND(Q65="HKD", $Q$2="USD"), M65*$Z$9,
            AND(Q65="HKD", $Q$2="GBP"), M65*$Z$10,
            AND(Q65="HKD", $Q$2="EUR"), M65*$Z$11,
            AND(Q65="EUR", $Q$2="EUR"), M65,
            AND(Q65="EUR", $Q$2="USD"), M65*$Z$12,
            AND(Q65="EUR", $Q$2="GBP"), M65*$Z$13,
            AND(Q65="EUR", $Q$2="HKD"), M65*$Z$14,
        ),
        0
    )
)</f>
        <v>5016.5959199999998</v>
      </c>
      <c r="T65" s="1" t="str">
        <f t="shared" si="3"/>
        <v>1</v>
      </c>
      <c r="U65" s="9" t="str">
        <f t="shared" si="4"/>
        <v>01</v>
      </c>
      <c r="V65" s="1" t="str">
        <f t="shared" si="5"/>
        <v>2023</v>
      </c>
      <c r="W65" s="18" t="str">
        <f t="shared" si="6"/>
        <v>星期日</v>
      </c>
    </row>
    <row r="66" spans="1:23">
      <c r="A66" s="17" t="s">
        <v>59</v>
      </c>
      <c r="B66" s="1" t="s">
        <v>348</v>
      </c>
      <c r="C66" s="9">
        <v>44927</v>
      </c>
      <c r="D66" s="1" t="s">
        <v>23</v>
      </c>
      <c r="E66" s="1" t="s">
        <v>24</v>
      </c>
      <c r="F66" s="1" t="s">
        <v>349</v>
      </c>
      <c r="H66" s="1" t="s">
        <v>371</v>
      </c>
      <c r="I66" s="1">
        <v>3.26</v>
      </c>
      <c r="J66" s="27">
        <v>2483.5500000000002</v>
      </c>
      <c r="M66" s="24">
        <f t="shared" si="0"/>
        <v>8096.3730000000005</v>
      </c>
      <c r="N66" s="36">
        <f t="shared" si="1"/>
        <v>-8096.3730000000005</v>
      </c>
      <c r="O66" s="34">
        <f>IF(ISBLANK(A66),"",SUMIFS(I$3:I66,D$3:D66,D66,H$3:H66,"Buy")+SUMIFS(I$3:I66,D$3:D66,D66,H$3:H66,"Cash Deposit")+SUMIFS(I$3:I66,D$3:D66,D66,H$3:H66,"Crypto Deposit")+SUMIFS(I$3:I66,D$3:D66,D66,H$3:H66,"Airdrop/Rewards")-SUMIFS(I$3:I66,D$3:D66,D66,H$3:H66,"Sell"))</f>
        <v>6.3680111200000002</v>
      </c>
      <c r="P66" s="2" cm="1">
        <f t="array" ref="P66">IF(ISBLANK(A66),"",IFERROR(IF(OR(H66="Sell",F66="Stable Coin"),INDEX(_xlfn._xlws.FILTER(P$2:P65, D$2:D65=D66),COUNT(_xlfn._xlws.FILTER(P$2:P65, D$2:D65=D66))),(INDEX(_xlfn._xlws.FILTER(P$2:P65, D$2:D65=D66),COUNT(_xlfn._xlws.FILTER(P$2:P65, D$2:D65=D66)))*INDEX(_xlfn._xlws.FILTER(O$2:O65, D$2:D65=D66),COUNT(_xlfn._xlws.FILTER(O$2:O65, D$2:D65=D66)))-N66) / O66), J66))</f>
        <v>2308.2064351104964</v>
      </c>
      <c r="Q66" s="1" t="str">
        <f t="shared" si="2"/>
        <v>USD</v>
      </c>
      <c r="R66" s="1" cm="1">
        <f t="array" ref="R66">IF(A66="", "",
    IFERROR(
        _xlfn.SWITCH(
            TRUE,
            AND(Q66="USD", $Q$2="USD"), K66,
            AND(Q66="USD", $Q$2="GBP"), K66*$Z$3,
            AND(Q66="USD", $Q$2="HKD"), K66*$Z$4,
            AND(Q66="USD", $Q$2="EUR"), K66*$Z$5,
            AND(Q66="GBP", $Q$2="GBP"), K66,
            AND(Q66="GBP", $Q$2="USD"), K66*$Z$6,
            AND(Q66="GBP", $Q$2="HKD"), K66*$Z$7,
            AND(Q66="HKG", $Q$2="HKG"), K66,
            AND(Q66="HKD", $Q$2="USD"), K66*$Z$9,
            AND(Q66="HKD", $Q$2="GBP"), K66*$Z$10,
            AND(Q66="HKD", $Q$2="EUR"), K66*$Z$11,
            AND(Q66="EUR", $Q$2="EUR"), K66,
            AND(Q66="EUR", $Q$2="USD"), K66*$Z$12,
            AND(Q66="EUR", $Q$2="GBP"), K66*$Z$13,
            AND(Q66="EUR", $Q$2="HKD"), K66*$Z$14,
        ),
        0
    )
)</f>
        <v>0</v>
      </c>
      <c r="S66" s="1" cm="1">
        <f t="array" ref="S66">IF(A66="", "",
    IFERROR(
        _xlfn.SWITCH(
            TRUE,
            AND(Q66="USD", $Q$2="USD"), M66,
            AND(Q66="USD", $Q$2="GBP"), M66*$Z$3,
            AND(Q66="USD", $Q$2="HKD"), M66*$Z$4,
            AND(Q66="USD", $Q$2="EUR"), M66*$Z$5,
            AND(Q66="GBP", $Q$2="GBP"), M66,
            AND(Q66="GBP", $Q$2="USD"), M66*$Z$6,
            AND(Q66="GBP", $Q$2="HKD"), M66*$Z$7,
            AND(Q66="GBP", $Q$2="HKD"), M66*$Z$8,
            AND(Q66="HKG", $Q$2="HKG"), M66,
            AND(Q66="HKD", $Q$2="USD"), M66*$Z$9,
            AND(Q66="HKD", $Q$2="GBP"), M66*$Z$10,
            AND(Q66="HKD", $Q$2="EUR"), M66*$Z$11,
            AND(Q66="EUR", $Q$2="EUR"), M66,
            AND(Q66="EUR", $Q$2="USD"), M66*$Z$12,
            AND(Q66="EUR", $Q$2="GBP"), M66*$Z$13,
            AND(Q66="EUR", $Q$2="HKD"), M66*$Z$14,
        ),
        0
    )
)</f>
        <v>8096.3730000000005</v>
      </c>
      <c r="T66" s="1" t="str">
        <f t="shared" si="3"/>
        <v>1</v>
      </c>
      <c r="U66" s="9" t="str">
        <f t="shared" si="4"/>
        <v>01</v>
      </c>
      <c r="V66" s="1" t="str">
        <f t="shared" si="5"/>
        <v>2023</v>
      </c>
      <c r="W66" s="18" t="str">
        <f t="shared" si="6"/>
        <v>星期日</v>
      </c>
    </row>
    <row r="67" spans="1:23">
      <c r="A67" s="17" t="s">
        <v>59</v>
      </c>
      <c r="B67" s="1" t="s">
        <v>348</v>
      </c>
      <c r="C67" s="9">
        <v>44927</v>
      </c>
      <c r="D67" s="1" t="s">
        <v>60</v>
      </c>
      <c r="E67" s="1" t="s">
        <v>4</v>
      </c>
      <c r="F67" s="1" t="s">
        <v>349</v>
      </c>
      <c r="H67" s="1" t="s">
        <v>360</v>
      </c>
      <c r="I67" s="1">
        <v>0.16800000000000001</v>
      </c>
      <c r="J67" s="27">
        <v>29860.69</v>
      </c>
      <c r="M67" s="24">
        <f t="shared" si="0"/>
        <v>5016.5959199999998</v>
      </c>
      <c r="N67" s="36">
        <f t="shared" si="1"/>
        <v>0</v>
      </c>
      <c r="O67" s="34">
        <f>IF(ISBLANK(A67),"",SUMIFS(I$3:I67,D$3:D67,D67,H$3:H67,"Buy")+SUMIFS(I$3:I67,D$3:D67,D67,H$3:H67,"Cash Deposit")+SUMIFS(I$3:I67,D$3:D67,D67,H$3:H67,"Crypto Deposit")+SUMIFS(I$3:I67,D$3:D67,D67,H$3:H67,"Airdrop/Rewards")-SUMIFS(I$3:I67,D$3:D67,D67,H$3:H67,"Sell"))</f>
        <v>0.177755</v>
      </c>
      <c r="P67" s="2" cm="1">
        <f t="array" ref="P67">IF(ISBLANK(A67),"",IFERROR(IF(OR(H67="Sell",F67="Stable Coin"),INDEX(_xlfn._xlws.FILTER(P$2:P66, D$2:D66=D67),COUNT(_xlfn._xlws.FILTER(P$2:P66, D$2:D66=D67))),(INDEX(_xlfn._xlws.FILTER(P$2:P66, D$2:D66=D67),COUNT(_xlfn._xlws.FILTER(P$2:P66, D$2:D66=D67)))*INDEX(_xlfn._xlws.FILTER(O$2:O66, D$2:D66=D67),COUNT(_xlfn._xlws.FILTER(O$2:O66, D$2:D66=D67)))-N67) / O67), J67))</f>
        <v>29860.690000000002</v>
      </c>
      <c r="Q67" s="1" t="str">
        <f t="shared" si="2"/>
        <v>USD</v>
      </c>
      <c r="R67" s="1" cm="1">
        <f t="array" ref="R67">IF(A67="", "",
    IFERROR(
        _xlfn.SWITCH(
            TRUE,
            AND(Q67="USD", $Q$2="USD"), K67,
            AND(Q67="USD", $Q$2="GBP"), K67*$Z$3,
            AND(Q67="USD", $Q$2="HKD"), K67*$Z$4,
            AND(Q67="USD", $Q$2="EUR"), K67*$Z$5,
            AND(Q67="GBP", $Q$2="GBP"), K67,
            AND(Q67="GBP", $Q$2="USD"), K67*$Z$6,
            AND(Q67="GBP", $Q$2="HKD"), K67*$Z$7,
            AND(Q67="HKG", $Q$2="HKG"), K67,
            AND(Q67="HKD", $Q$2="USD"), K67*$Z$9,
            AND(Q67="HKD", $Q$2="GBP"), K67*$Z$10,
            AND(Q67="HKD", $Q$2="EUR"), K67*$Z$11,
            AND(Q67="EUR", $Q$2="EUR"), K67,
            AND(Q67="EUR", $Q$2="USD"), K67*$Z$12,
            AND(Q67="EUR", $Q$2="GBP"), K67*$Z$13,
            AND(Q67="EUR", $Q$2="HKD"), K67*$Z$14,
        ),
        0
    )
)</f>
        <v>0</v>
      </c>
      <c r="S67" s="1" cm="1">
        <f t="array" ref="S67">IF(A67="", "",
    IFERROR(
        _xlfn.SWITCH(
            TRUE,
            AND(Q67="USD", $Q$2="USD"), M67,
            AND(Q67="USD", $Q$2="GBP"), M67*$Z$3,
            AND(Q67="USD", $Q$2="HKD"), M67*$Z$4,
            AND(Q67="USD", $Q$2="EUR"), M67*$Z$5,
            AND(Q67="GBP", $Q$2="GBP"), M67,
            AND(Q67="GBP", $Q$2="USD"), M67*$Z$6,
            AND(Q67="GBP", $Q$2="HKD"), M67*$Z$7,
            AND(Q67="GBP", $Q$2="HKD"), M67*$Z$8,
            AND(Q67="HKG", $Q$2="HKG"), M67,
            AND(Q67="HKD", $Q$2="USD"), M67*$Z$9,
            AND(Q67="HKD", $Q$2="GBP"), M67*$Z$10,
            AND(Q67="HKD", $Q$2="EUR"), M67*$Z$11,
            AND(Q67="EUR", $Q$2="EUR"), M67,
            AND(Q67="EUR", $Q$2="USD"), M67*$Z$12,
            AND(Q67="EUR", $Q$2="GBP"), M67*$Z$13,
            AND(Q67="EUR", $Q$2="HKD"), M67*$Z$14,
        ),
        0
    )
)</f>
        <v>5016.5959199999998</v>
      </c>
      <c r="T67" s="1" t="str">
        <f t="shared" si="3"/>
        <v>1</v>
      </c>
      <c r="U67" s="9" t="str">
        <f t="shared" si="4"/>
        <v>01</v>
      </c>
      <c r="V67" s="1" t="str">
        <f t="shared" si="5"/>
        <v>2023</v>
      </c>
      <c r="W67" s="18" t="str">
        <f t="shared" si="6"/>
        <v>星期日</v>
      </c>
    </row>
    <row r="68" spans="1:23">
      <c r="A68" s="17" t="s">
        <v>59</v>
      </c>
      <c r="B68" s="1" t="s">
        <v>348</v>
      </c>
      <c r="C68" s="9">
        <v>44927</v>
      </c>
      <c r="D68" s="1" t="s">
        <v>23</v>
      </c>
      <c r="E68" s="1" t="s">
        <v>24</v>
      </c>
      <c r="F68" s="1" t="s">
        <v>349</v>
      </c>
      <c r="H68" s="1" t="s">
        <v>360</v>
      </c>
      <c r="I68" s="1">
        <v>3.26</v>
      </c>
      <c r="J68" s="27">
        <v>2483.5500000000002</v>
      </c>
      <c r="M68" s="24">
        <f t="shared" ref="M68:M131" si="7">IF(ISBLANK(A68),"",IF(OR(H68="Sell", H68="Cash Withdrawal"), (I68*J68)-K68, I68*J68))</f>
        <v>8096.3730000000005</v>
      </c>
      <c r="N68" s="36">
        <f t="shared" ref="N68:N131" si="8">IF(ISBLANK(A68),"",IF(OR(H68="Buy",H68="Cash Deposit",H68="Crypto Deposit"),-I68*J68,IF(H68="Sell",I68*J68,0)))</f>
        <v>0</v>
      </c>
      <c r="O68" s="34">
        <f>IF(ISBLANK(A68),"",SUMIFS(I$3:I68,D$3:D68,D68,H$3:H68,"Buy")+SUMIFS(I$3:I68,D$3:D68,D68,H$3:H68,"Cash Deposit")+SUMIFS(I$3:I68,D$3:D68,D68,H$3:H68,"Crypto Deposit")+SUMIFS(I$3:I68,D$3:D68,D68,H$3:H68,"Airdrop/Rewards")-SUMIFS(I$3:I68,D$3:D68,D68,H$3:H68,"Sell"))</f>
        <v>6.3680111200000002</v>
      </c>
      <c r="P68" s="2" cm="1">
        <f t="array" ref="P68">IF(ISBLANK(A68),"",IFERROR(IF(OR(H68="Sell",F68="Stable Coin"),INDEX(_xlfn._xlws.FILTER(P$2:P67, D$2:D67=D68),COUNT(_xlfn._xlws.FILTER(P$2:P67, D$2:D67=D68))),(INDEX(_xlfn._xlws.FILTER(P$2:P67, D$2:D67=D68),COUNT(_xlfn._xlws.FILTER(P$2:P67, D$2:D67=D68)))*INDEX(_xlfn._xlws.FILTER(O$2:O67, D$2:D67=D68),COUNT(_xlfn._xlws.FILTER(O$2:O67, D$2:D67=D68)))-N68) / O68), J68))</f>
        <v>2308.2064351104964</v>
      </c>
      <c r="Q68" s="1" t="str">
        <f t="shared" ref="Q68:Q131" si="9">B68</f>
        <v>USD</v>
      </c>
      <c r="R68" s="1" cm="1">
        <f t="array" ref="R68">IF(A68="", "",
    IFERROR(
        _xlfn.SWITCH(
            TRUE,
            AND(Q68="USD", $Q$2="USD"), K68,
            AND(Q68="USD", $Q$2="GBP"), K68*$Z$3,
            AND(Q68="USD", $Q$2="HKD"), K68*$Z$4,
            AND(Q68="USD", $Q$2="EUR"), K68*$Z$5,
            AND(Q68="GBP", $Q$2="GBP"), K68,
            AND(Q68="GBP", $Q$2="USD"), K68*$Z$6,
            AND(Q68="GBP", $Q$2="HKD"), K68*$Z$7,
            AND(Q68="HKG", $Q$2="HKG"), K68,
            AND(Q68="HKD", $Q$2="USD"), K68*$Z$9,
            AND(Q68="HKD", $Q$2="GBP"), K68*$Z$10,
            AND(Q68="HKD", $Q$2="EUR"), K68*$Z$11,
            AND(Q68="EUR", $Q$2="EUR"), K68,
            AND(Q68="EUR", $Q$2="USD"), K68*$Z$12,
            AND(Q68="EUR", $Q$2="GBP"), K68*$Z$13,
            AND(Q68="EUR", $Q$2="HKD"), K68*$Z$14,
        ),
        0
    )
)</f>
        <v>0</v>
      </c>
      <c r="S68" s="1" cm="1">
        <f t="array" ref="S68">IF(A68="", "",
    IFERROR(
        _xlfn.SWITCH(
            TRUE,
            AND(Q68="USD", $Q$2="USD"), M68,
            AND(Q68="USD", $Q$2="GBP"), M68*$Z$3,
            AND(Q68="USD", $Q$2="HKD"), M68*$Z$4,
            AND(Q68="USD", $Q$2="EUR"), M68*$Z$5,
            AND(Q68="GBP", $Q$2="GBP"), M68,
            AND(Q68="GBP", $Q$2="USD"), M68*$Z$6,
            AND(Q68="GBP", $Q$2="HKD"), M68*$Z$7,
            AND(Q68="GBP", $Q$2="HKD"), M68*$Z$8,
            AND(Q68="HKG", $Q$2="HKG"), M68,
            AND(Q68="HKD", $Q$2="USD"), M68*$Z$9,
            AND(Q68="HKD", $Q$2="GBP"), M68*$Z$10,
            AND(Q68="HKD", $Q$2="EUR"), M68*$Z$11,
            AND(Q68="EUR", $Q$2="EUR"), M68,
            AND(Q68="EUR", $Q$2="USD"), M68*$Z$12,
            AND(Q68="EUR", $Q$2="GBP"), M68*$Z$13,
            AND(Q68="EUR", $Q$2="HKD"), M68*$Z$14,
        ),
        0
    )
)</f>
        <v>8096.3730000000005</v>
      </c>
      <c r="T68" s="1" t="str">
        <f t="shared" ref="T68:T131" si="10">IF(ISBLANK(A68),"",TEXT(C68,"D"))</f>
        <v>1</v>
      </c>
      <c r="U68" s="9" t="str">
        <f t="shared" ref="U68:U131" si="11">IF(ISBLANK(A68),"",TEXT(C68,"MM"))</f>
        <v>01</v>
      </c>
      <c r="V68" s="1" t="str">
        <f t="shared" ref="V68:V131" si="12">IF(ISBLANK(A68),"",TEXT(C68,"YYYY"))</f>
        <v>2023</v>
      </c>
      <c r="W68" s="18" t="str">
        <f t="shared" ref="W68:W131" si="13">IF(ISBLANK(A68),"",TEXT(WEEKDAY(C68,1),"dddd"))</f>
        <v>星期日</v>
      </c>
    </row>
    <row r="69" spans="1:23">
      <c r="A69" s="17" t="s">
        <v>59</v>
      </c>
      <c r="B69" s="1" t="s">
        <v>348</v>
      </c>
      <c r="C69" s="9">
        <v>44927</v>
      </c>
      <c r="D69" s="1" t="s">
        <v>361</v>
      </c>
      <c r="E69" s="1" t="s">
        <v>362</v>
      </c>
      <c r="F69" s="1" t="s">
        <v>349</v>
      </c>
      <c r="H69" s="1" t="s">
        <v>371</v>
      </c>
      <c r="I69" s="1">
        <v>1.2909999999999999</v>
      </c>
      <c r="J69" s="27">
        <v>2483.5500000000002</v>
      </c>
      <c r="M69" s="24">
        <f t="shared" si="7"/>
        <v>3206.26305</v>
      </c>
      <c r="N69" s="36">
        <f t="shared" si="8"/>
        <v>-3206.26305</v>
      </c>
      <c r="O69" s="34">
        <f>IF(ISBLANK(A69),"",SUMIFS(I$3:I69,D$3:D69,D69,H$3:H69,"Buy")+SUMIFS(I$3:I69,D$3:D69,D69,H$3:H69,"Cash Deposit")+SUMIFS(I$3:I69,D$3:D69,D69,H$3:H69,"Crypto Deposit")+SUMIFS(I$3:I69,D$3:D69,D69,H$3:H69,"Airdrop/Rewards")-SUMIFS(I$3:I69,D$3:D69,D69,H$3:H69,"Sell"))</f>
        <v>1.2909999999999999</v>
      </c>
      <c r="P69" s="2" cm="1">
        <f t="array" ref="P69">IF(ISBLANK(A69),"",IFERROR(IF(OR(H69="Sell",F69="Stable Coin"),INDEX(_xlfn._xlws.FILTER(P$2:P68, D$2:D68=D69),COUNT(_xlfn._xlws.FILTER(P$2:P68, D$2:D68=D69))),(INDEX(_xlfn._xlws.FILTER(P$2:P68, D$2:D68=D69),COUNT(_xlfn._xlws.FILTER(P$2:P68, D$2:D68=D69)))*INDEX(_xlfn._xlws.FILTER(O$2:O68, D$2:D68=D69),COUNT(_xlfn._xlws.FILTER(O$2:O68, D$2:D68=D69)))-N69) / O69), J69))</f>
        <v>2483.5500000000002</v>
      </c>
      <c r="Q69" s="1" t="str">
        <f t="shared" si="9"/>
        <v>USD</v>
      </c>
      <c r="R69" s="1" cm="1">
        <f t="array" ref="R69">IF(A69="", "",
    IFERROR(
        _xlfn.SWITCH(
            TRUE,
            AND(Q69="USD", $Q$2="USD"), K69,
            AND(Q69="USD", $Q$2="GBP"), K69*$Z$3,
            AND(Q69="USD", $Q$2="HKD"), K69*$Z$4,
            AND(Q69="USD", $Q$2="EUR"), K69*$Z$5,
            AND(Q69="GBP", $Q$2="GBP"), K69,
            AND(Q69="GBP", $Q$2="USD"), K69*$Z$6,
            AND(Q69="GBP", $Q$2="HKD"), K69*$Z$7,
            AND(Q69="HKG", $Q$2="HKG"), K69,
            AND(Q69="HKD", $Q$2="USD"), K69*$Z$9,
            AND(Q69="HKD", $Q$2="GBP"), K69*$Z$10,
            AND(Q69="HKD", $Q$2="EUR"), K69*$Z$11,
            AND(Q69="EUR", $Q$2="EUR"), K69,
            AND(Q69="EUR", $Q$2="USD"), K69*$Z$12,
            AND(Q69="EUR", $Q$2="GBP"), K69*$Z$13,
            AND(Q69="EUR", $Q$2="HKD"), K69*$Z$14,
        ),
        0
    )
)</f>
        <v>0</v>
      </c>
      <c r="S69" s="1" cm="1">
        <f t="array" ref="S69">IF(A69="", "",
    IFERROR(
        _xlfn.SWITCH(
            TRUE,
            AND(Q69="USD", $Q$2="USD"), M69,
            AND(Q69="USD", $Q$2="GBP"), M69*$Z$3,
            AND(Q69="USD", $Q$2="HKD"), M69*$Z$4,
            AND(Q69="USD", $Q$2="EUR"), M69*$Z$5,
            AND(Q69="GBP", $Q$2="GBP"), M69,
            AND(Q69="GBP", $Q$2="USD"), M69*$Z$6,
            AND(Q69="GBP", $Q$2="HKD"), M69*$Z$7,
            AND(Q69="GBP", $Q$2="HKD"), M69*$Z$8,
            AND(Q69="HKG", $Q$2="HKG"), M69,
            AND(Q69="HKD", $Q$2="USD"), M69*$Z$9,
            AND(Q69="HKD", $Q$2="GBP"), M69*$Z$10,
            AND(Q69="HKD", $Q$2="EUR"), M69*$Z$11,
            AND(Q69="EUR", $Q$2="EUR"), M69,
            AND(Q69="EUR", $Q$2="USD"), M69*$Z$12,
            AND(Q69="EUR", $Q$2="GBP"), M69*$Z$13,
            AND(Q69="EUR", $Q$2="HKD"), M69*$Z$14,
        ),
        0
    )
)</f>
        <v>3206.26305</v>
      </c>
      <c r="T69" s="1" t="str">
        <f t="shared" si="10"/>
        <v>1</v>
      </c>
      <c r="U69" s="9" t="str">
        <f t="shared" si="11"/>
        <v>01</v>
      </c>
      <c r="V69" s="1" t="str">
        <f t="shared" si="12"/>
        <v>2023</v>
      </c>
      <c r="W69" s="18" t="str">
        <f t="shared" si="13"/>
        <v>星期日</v>
      </c>
    </row>
    <row r="70" spans="1:23">
      <c r="A70" s="17" t="s">
        <v>59</v>
      </c>
      <c r="B70" s="1" t="s">
        <v>348</v>
      </c>
      <c r="C70" s="9">
        <v>44927</v>
      </c>
      <c r="D70" s="1" t="s">
        <v>23</v>
      </c>
      <c r="E70" s="1" t="s">
        <v>24</v>
      </c>
      <c r="F70" s="1" t="s">
        <v>349</v>
      </c>
      <c r="H70" s="1" t="s">
        <v>371</v>
      </c>
      <c r="I70" s="1">
        <v>3.49</v>
      </c>
      <c r="J70" s="27">
        <v>2483.5500000000002</v>
      </c>
      <c r="M70" s="24">
        <f t="shared" si="7"/>
        <v>8667.5895000000019</v>
      </c>
      <c r="N70" s="36">
        <f t="shared" si="8"/>
        <v>-8667.5895000000019</v>
      </c>
      <c r="O70" s="34">
        <f>IF(ISBLANK(A70),"",SUMIFS(I$3:I70,D$3:D70,D70,H$3:H70,"Buy")+SUMIFS(I$3:I70,D$3:D70,D70,H$3:H70,"Cash Deposit")+SUMIFS(I$3:I70,D$3:D70,D70,H$3:H70,"Crypto Deposit")+SUMIFS(I$3:I70,D$3:D70,D70,H$3:H70,"Airdrop/Rewards")-SUMIFS(I$3:I70,D$3:D70,D70,H$3:H70,"Sell"))</f>
        <v>9.8580111200000005</v>
      </c>
      <c r="P70" s="2" cm="1">
        <f t="array" ref="P70">IF(ISBLANK(A70),"",IFERROR(IF(OR(H70="Sell",F70="Stable Coin"),INDEX(_xlfn._xlws.FILTER(P$2:P69, D$2:D69=D70),COUNT(_xlfn._xlws.FILTER(P$2:P69, D$2:D69=D70))),(INDEX(_xlfn._xlws.FILTER(P$2:P69, D$2:D69=D70),COUNT(_xlfn._xlws.FILTER(P$2:P69, D$2:D69=D70)))*INDEX(_xlfn._xlws.FILTER(O$2:O69, D$2:D69=D70),COUNT(_xlfn._xlws.FILTER(O$2:O69, D$2:D69=D70)))-N70) / O70), J70))</f>
        <v>2370.2827539556683</v>
      </c>
      <c r="Q70" s="1" t="str">
        <f t="shared" si="9"/>
        <v>USD</v>
      </c>
      <c r="R70" s="1" cm="1">
        <f t="array" ref="R70">IF(A70="", "",
    IFERROR(
        _xlfn.SWITCH(
            TRUE,
            AND(Q70="USD", $Q$2="USD"), K70,
            AND(Q70="USD", $Q$2="GBP"), K70*$Z$3,
            AND(Q70="USD", $Q$2="HKD"), K70*$Z$4,
            AND(Q70="USD", $Q$2="EUR"), K70*$Z$5,
            AND(Q70="GBP", $Q$2="GBP"), K70,
            AND(Q70="GBP", $Q$2="USD"), K70*$Z$6,
            AND(Q70="GBP", $Q$2="HKD"), K70*$Z$7,
            AND(Q70="HKG", $Q$2="HKG"), K70,
            AND(Q70="HKD", $Q$2="USD"), K70*$Z$9,
            AND(Q70="HKD", $Q$2="GBP"), K70*$Z$10,
            AND(Q70="HKD", $Q$2="EUR"), K70*$Z$11,
            AND(Q70="EUR", $Q$2="EUR"), K70,
            AND(Q70="EUR", $Q$2="USD"), K70*$Z$12,
            AND(Q70="EUR", $Q$2="GBP"), K70*$Z$13,
            AND(Q70="EUR", $Q$2="HKD"), K70*$Z$14,
        ),
        0
    )
)</f>
        <v>0</v>
      </c>
      <c r="S70" s="1" cm="1">
        <f t="array" ref="S70">IF(A70="", "",
    IFERROR(
        _xlfn.SWITCH(
            TRUE,
            AND(Q70="USD", $Q$2="USD"), M70,
            AND(Q70="USD", $Q$2="GBP"), M70*$Z$3,
            AND(Q70="USD", $Q$2="HKD"), M70*$Z$4,
            AND(Q70="USD", $Q$2="EUR"), M70*$Z$5,
            AND(Q70="GBP", $Q$2="GBP"), M70,
            AND(Q70="GBP", $Q$2="USD"), M70*$Z$6,
            AND(Q70="GBP", $Q$2="HKD"), M70*$Z$7,
            AND(Q70="GBP", $Q$2="HKD"), M70*$Z$8,
            AND(Q70="HKG", $Q$2="HKG"), M70,
            AND(Q70="HKD", $Q$2="USD"), M70*$Z$9,
            AND(Q70="HKD", $Q$2="GBP"), M70*$Z$10,
            AND(Q70="HKD", $Q$2="EUR"), M70*$Z$11,
            AND(Q70="EUR", $Q$2="EUR"), M70,
            AND(Q70="EUR", $Q$2="USD"), M70*$Z$12,
            AND(Q70="EUR", $Q$2="GBP"), M70*$Z$13,
            AND(Q70="EUR", $Q$2="HKD"), M70*$Z$14,
        ),
        0
    )
)</f>
        <v>8667.5895000000019</v>
      </c>
      <c r="T70" s="1" t="str">
        <f t="shared" si="10"/>
        <v>1</v>
      </c>
      <c r="U70" s="9" t="str">
        <f t="shared" si="11"/>
        <v>01</v>
      </c>
      <c r="V70" s="1" t="str">
        <f t="shared" si="12"/>
        <v>2023</v>
      </c>
      <c r="W70" s="18" t="str">
        <f t="shared" si="13"/>
        <v>星期日</v>
      </c>
    </row>
    <row r="71" spans="1:23">
      <c r="A71" s="17" t="s">
        <v>41</v>
      </c>
      <c r="B71" s="1" t="s">
        <v>348</v>
      </c>
      <c r="C71" s="9">
        <v>44927</v>
      </c>
      <c r="D71" s="1" t="s">
        <v>52</v>
      </c>
      <c r="E71" s="1" t="s">
        <v>150</v>
      </c>
      <c r="F71" s="1" t="s">
        <v>349</v>
      </c>
      <c r="H71" s="1" t="s">
        <v>371</v>
      </c>
      <c r="I71" s="1">
        <v>53.5</v>
      </c>
      <c r="J71" s="27">
        <v>10.3</v>
      </c>
      <c r="M71" s="24">
        <f t="shared" si="7"/>
        <v>551.05000000000007</v>
      </c>
      <c r="N71" s="36">
        <f t="shared" si="8"/>
        <v>-551.05000000000007</v>
      </c>
      <c r="O71" s="34">
        <f>IF(ISBLANK(A71),"",SUMIFS(I$3:I71,D$3:D71,D71,H$3:H71,"Buy")+SUMIFS(I$3:I71,D$3:D71,D71,H$3:H71,"Cash Deposit")+SUMIFS(I$3:I71,D$3:D71,D71,H$3:H71,"Crypto Deposit")+SUMIFS(I$3:I71,D$3:D71,D71,H$3:H71,"Airdrop/Rewards")-SUMIFS(I$3:I71,D$3:D71,D71,H$3:H71,"Sell"))</f>
        <v>65.488000200000002</v>
      </c>
      <c r="P71" s="2" cm="1">
        <f t="array" ref="P71">IF(ISBLANK(A71),"",IFERROR(IF(OR(H71="Sell",F71="Stable Coin"),INDEX(_xlfn._xlws.FILTER(P$2:P70, D$2:D70=D71),COUNT(_xlfn._xlws.FILTER(P$2:P70, D$2:D70=D71))),(INDEX(_xlfn._xlws.FILTER(P$2:P70, D$2:D70=D71),COUNT(_xlfn._xlws.FILTER(P$2:P70, D$2:D70=D71)))*INDEX(_xlfn._xlws.FILTER(O$2:O70, D$2:D70=D71),COUNT(_xlfn._xlws.FILTER(O$2:O70, D$2:D70=D71)))-N71) / O71), J71))</f>
        <v>13.794547445625009</v>
      </c>
      <c r="Q71" s="1" t="str">
        <f t="shared" si="9"/>
        <v>USD</v>
      </c>
      <c r="R71" s="1" cm="1">
        <f t="array" ref="R71">IF(A71="", "",
    IFERROR(
        _xlfn.SWITCH(
            TRUE,
            AND(Q71="USD", $Q$2="USD"), K71,
            AND(Q71="USD", $Q$2="GBP"), K71*$Z$3,
            AND(Q71="USD", $Q$2="HKD"), K71*$Z$4,
            AND(Q71="USD", $Q$2="EUR"), K71*$Z$5,
            AND(Q71="GBP", $Q$2="GBP"), K71,
            AND(Q71="GBP", $Q$2="USD"), K71*$Z$6,
            AND(Q71="GBP", $Q$2="HKD"), K71*$Z$7,
            AND(Q71="HKG", $Q$2="HKG"), K71,
            AND(Q71="HKD", $Q$2="USD"), K71*$Z$9,
            AND(Q71="HKD", $Q$2="GBP"), K71*$Z$10,
            AND(Q71="HKD", $Q$2="EUR"), K71*$Z$11,
            AND(Q71="EUR", $Q$2="EUR"), K71,
            AND(Q71="EUR", $Q$2="USD"), K71*$Z$12,
            AND(Q71="EUR", $Q$2="GBP"), K71*$Z$13,
            AND(Q71="EUR", $Q$2="HKD"), K71*$Z$14,
        ),
        0
    )
)</f>
        <v>0</v>
      </c>
      <c r="S71" s="1" cm="1">
        <f t="array" ref="S71">IF(A71="", "",
    IFERROR(
        _xlfn.SWITCH(
            TRUE,
            AND(Q71="USD", $Q$2="USD"), M71,
            AND(Q71="USD", $Q$2="GBP"), M71*$Z$3,
            AND(Q71="USD", $Q$2="HKD"), M71*$Z$4,
            AND(Q71="USD", $Q$2="EUR"), M71*$Z$5,
            AND(Q71="GBP", $Q$2="GBP"), M71,
            AND(Q71="GBP", $Q$2="USD"), M71*$Z$6,
            AND(Q71="GBP", $Q$2="HKD"), M71*$Z$7,
            AND(Q71="GBP", $Q$2="HKD"), M71*$Z$8,
            AND(Q71="HKG", $Q$2="HKG"), M71,
            AND(Q71="HKD", $Q$2="USD"), M71*$Z$9,
            AND(Q71="HKD", $Q$2="GBP"), M71*$Z$10,
            AND(Q71="HKD", $Q$2="EUR"), M71*$Z$11,
            AND(Q71="EUR", $Q$2="EUR"), M71,
            AND(Q71="EUR", $Q$2="USD"), M71*$Z$12,
            AND(Q71="EUR", $Q$2="GBP"), M71*$Z$13,
            AND(Q71="EUR", $Q$2="HKD"), M71*$Z$14,
        ),
        0
    )
)</f>
        <v>551.05000000000007</v>
      </c>
      <c r="T71" s="1" t="str">
        <f t="shared" si="10"/>
        <v>1</v>
      </c>
      <c r="U71" s="9" t="str">
        <f t="shared" si="11"/>
        <v>01</v>
      </c>
      <c r="V71" s="1" t="str">
        <f t="shared" si="12"/>
        <v>2023</v>
      </c>
      <c r="W71" s="18" t="str">
        <f t="shared" si="13"/>
        <v>星期日</v>
      </c>
    </row>
    <row r="72" spans="1:23">
      <c r="A72" s="17" t="s">
        <v>41</v>
      </c>
      <c r="B72" s="1" t="s">
        <v>348</v>
      </c>
      <c r="C72" s="9">
        <v>44927</v>
      </c>
      <c r="D72" s="1" t="s">
        <v>56</v>
      </c>
      <c r="E72" s="1" t="s">
        <v>35</v>
      </c>
      <c r="F72" s="1" t="s">
        <v>349</v>
      </c>
      <c r="H72" s="1" t="s">
        <v>371</v>
      </c>
      <c r="I72" s="1">
        <v>100.8</v>
      </c>
      <c r="J72" s="27">
        <v>1.78</v>
      </c>
      <c r="M72" s="24">
        <f t="shared" si="7"/>
        <v>179.42400000000001</v>
      </c>
      <c r="N72" s="36">
        <f t="shared" si="8"/>
        <v>-179.42400000000001</v>
      </c>
      <c r="O72" s="34">
        <f>IF(ISBLANK(A72),"",SUMIFS(I$3:I72,D$3:D72,D72,H$3:H72,"Buy")+SUMIFS(I$3:I72,D$3:D72,D72,H$3:H72,"Cash Deposit")+SUMIFS(I$3:I72,D$3:D72,D72,H$3:H72,"Crypto Deposit")+SUMIFS(I$3:I72,D$3:D72,D72,H$3:H72,"Airdrop/Rewards")-SUMIFS(I$3:I72,D$3:D72,D72,H$3:H72,"Sell"))</f>
        <v>100.8</v>
      </c>
      <c r="P72" s="2" cm="1">
        <f t="array" ref="P72">IF(ISBLANK(A72),"",IFERROR(IF(OR(H72="Sell",F72="Stable Coin"),INDEX(_xlfn._xlws.FILTER(P$2:P71, D$2:D71=D72),COUNT(_xlfn._xlws.FILTER(P$2:P71, D$2:D71=D72))),(INDEX(_xlfn._xlws.FILTER(P$2:P71, D$2:D71=D72),COUNT(_xlfn._xlws.FILTER(P$2:P71, D$2:D71=D72)))*INDEX(_xlfn._xlws.FILTER(O$2:O71, D$2:D71=D72),COUNT(_xlfn._xlws.FILTER(O$2:O71, D$2:D71=D72)))-N72) / O72), J72))</f>
        <v>1.78</v>
      </c>
      <c r="Q72" s="1" t="str">
        <f t="shared" si="9"/>
        <v>USD</v>
      </c>
      <c r="R72" s="1" cm="1">
        <f t="array" ref="R72">IF(A72="", "",
    IFERROR(
        _xlfn.SWITCH(
            TRUE,
            AND(Q72="USD", $Q$2="USD"), K72,
            AND(Q72="USD", $Q$2="GBP"), K72*$Z$3,
            AND(Q72="USD", $Q$2="HKD"), K72*$Z$4,
            AND(Q72="USD", $Q$2="EUR"), K72*$Z$5,
            AND(Q72="GBP", $Q$2="GBP"), K72,
            AND(Q72="GBP", $Q$2="USD"), K72*$Z$6,
            AND(Q72="GBP", $Q$2="HKD"), K72*$Z$7,
            AND(Q72="HKG", $Q$2="HKG"), K72,
            AND(Q72="HKD", $Q$2="USD"), K72*$Z$9,
            AND(Q72="HKD", $Q$2="GBP"), K72*$Z$10,
            AND(Q72="HKD", $Q$2="EUR"), K72*$Z$11,
            AND(Q72="EUR", $Q$2="EUR"), K72,
            AND(Q72="EUR", $Q$2="USD"), K72*$Z$12,
            AND(Q72="EUR", $Q$2="GBP"), K72*$Z$13,
            AND(Q72="EUR", $Q$2="HKD"), K72*$Z$14,
        ),
        0
    )
)</f>
        <v>0</v>
      </c>
      <c r="S72" s="1" cm="1">
        <f t="array" ref="S72">IF(A72="", "",
    IFERROR(
        _xlfn.SWITCH(
            TRUE,
            AND(Q72="USD", $Q$2="USD"), M72,
            AND(Q72="USD", $Q$2="GBP"), M72*$Z$3,
            AND(Q72="USD", $Q$2="HKD"), M72*$Z$4,
            AND(Q72="USD", $Q$2="EUR"), M72*$Z$5,
            AND(Q72="GBP", $Q$2="GBP"), M72,
            AND(Q72="GBP", $Q$2="USD"), M72*$Z$6,
            AND(Q72="GBP", $Q$2="HKD"), M72*$Z$7,
            AND(Q72="GBP", $Q$2="HKD"), M72*$Z$8,
            AND(Q72="HKG", $Q$2="HKG"), M72,
            AND(Q72="HKD", $Q$2="USD"), M72*$Z$9,
            AND(Q72="HKD", $Q$2="GBP"), M72*$Z$10,
            AND(Q72="HKD", $Q$2="EUR"), M72*$Z$11,
            AND(Q72="EUR", $Q$2="EUR"), M72,
            AND(Q72="EUR", $Q$2="USD"), M72*$Z$12,
            AND(Q72="EUR", $Q$2="GBP"), M72*$Z$13,
            AND(Q72="EUR", $Q$2="HKD"), M72*$Z$14,
        ),
        0
    )
)</f>
        <v>179.42400000000001</v>
      </c>
      <c r="T72" s="1" t="str">
        <f t="shared" si="10"/>
        <v>1</v>
      </c>
      <c r="U72" s="9" t="str">
        <f t="shared" si="11"/>
        <v>01</v>
      </c>
      <c r="V72" s="1" t="str">
        <f t="shared" si="12"/>
        <v>2023</v>
      </c>
      <c r="W72" s="18" t="str">
        <f t="shared" si="13"/>
        <v>星期日</v>
      </c>
    </row>
    <row r="73" spans="1:23">
      <c r="A73" s="17" t="s">
        <v>42</v>
      </c>
      <c r="B73" s="1" t="s">
        <v>348</v>
      </c>
      <c r="C73" s="9">
        <v>44927</v>
      </c>
      <c r="D73" s="1" t="s">
        <v>52</v>
      </c>
      <c r="E73" s="1" t="s">
        <v>150</v>
      </c>
      <c r="F73" s="1" t="s">
        <v>349</v>
      </c>
      <c r="H73" s="1" t="s">
        <v>371</v>
      </c>
      <c r="I73" s="1">
        <v>37.9</v>
      </c>
      <c r="J73" s="27">
        <v>10.3</v>
      </c>
      <c r="M73" s="24">
        <f t="shared" si="7"/>
        <v>390.37</v>
      </c>
      <c r="N73" s="36">
        <f t="shared" si="8"/>
        <v>-390.37</v>
      </c>
      <c r="O73" s="34">
        <f>IF(ISBLANK(A73),"",SUMIFS(I$3:I73,D$3:D73,D73,H$3:H73,"Buy")+SUMIFS(I$3:I73,D$3:D73,D73,H$3:H73,"Cash Deposit")+SUMIFS(I$3:I73,D$3:D73,D73,H$3:H73,"Crypto Deposit")+SUMIFS(I$3:I73,D$3:D73,D73,H$3:H73,"Airdrop/Rewards")-SUMIFS(I$3:I73,D$3:D73,D73,H$3:H73,"Sell"))</f>
        <v>103.38800020000001</v>
      </c>
      <c r="P73" s="2" cm="1">
        <f t="array" ref="P73">IF(ISBLANK(A73),"",IFERROR(IF(OR(H73="Sell",F73="Stable Coin"),INDEX(_xlfn._xlws.FILTER(P$2:P72, D$2:D72=D73),COUNT(_xlfn._xlws.FILTER(P$2:P72, D$2:D72=D73))),(INDEX(_xlfn._xlws.FILTER(P$2:P72, D$2:D72=D73),COUNT(_xlfn._xlws.FILTER(P$2:P72, D$2:D72=D73)))*INDEX(_xlfn._xlws.FILTER(O$2:O72, D$2:D72=D73),COUNT(_xlfn._xlws.FILTER(O$2:O72, D$2:D72=D73)))-N73) / O73), J73))</f>
        <v>12.513515334229281</v>
      </c>
      <c r="Q73" s="1" t="str">
        <f t="shared" si="9"/>
        <v>USD</v>
      </c>
      <c r="R73" s="1" cm="1">
        <f t="array" ref="R73">IF(A73="", "",
    IFERROR(
        _xlfn.SWITCH(
            TRUE,
            AND(Q73="USD", $Q$2="USD"), K73,
            AND(Q73="USD", $Q$2="GBP"), K73*$Z$3,
            AND(Q73="USD", $Q$2="HKD"), K73*$Z$4,
            AND(Q73="USD", $Q$2="EUR"), K73*$Z$5,
            AND(Q73="GBP", $Q$2="GBP"), K73,
            AND(Q73="GBP", $Q$2="USD"), K73*$Z$6,
            AND(Q73="GBP", $Q$2="HKD"), K73*$Z$7,
            AND(Q73="HKG", $Q$2="HKG"), K73,
            AND(Q73="HKD", $Q$2="USD"), K73*$Z$9,
            AND(Q73="HKD", $Q$2="GBP"), K73*$Z$10,
            AND(Q73="HKD", $Q$2="EUR"), K73*$Z$11,
            AND(Q73="EUR", $Q$2="EUR"), K73,
            AND(Q73="EUR", $Q$2="USD"), K73*$Z$12,
            AND(Q73="EUR", $Q$2="GBP"), K73*$Z$13,
            AND(Q73="EUR", $Q$2="HKD"), K73*$Z$14,
        ),
        0
    )
)</f>
        <v>0</v>
      </c>
      <c r="S73" s="1" cm="1">
        <f t="array" ref="S73">IF(A73="", "",
    IFERROR(
        _xlfn.SWITCH(
            TRUE,
            AND(Q73="USD", $Q$2="USD"), M73,
            AND(Q73="USD", $Q$2="GBP"), M73*$Z$3,
            AND(Q73="USD", $Q$2="HKD"), M73*$Z$4,
            AND(Q73="USD", $Q$2="EUR"), M73*$Z$5,
            AND(Q73="GBP", $Q$2="GBP"), M73,
            AND(Q73="GBP", $Q$2="USD"), M73*$Z$6,
            AND(Q73="GBP", $Q$2="HKD"), M73*$Z$7,
            AND(Q73="GBP", $Q$2="HKD"), M73*$Z$8,
            AND(Q73="HKG", $Q$2="HKG"), M73,
            AND(Q73="HKD", $Q$2="USD"), M73*$Z$9,
            AND(Q73="HKD", $Q$2="GBP"), M73*$Z$10,
            AND(Q73="HKD", $Q$2="EUR"), M73*$Z$11,
            AND(Q73="EUR", $Q$2="EUR"), M73,
            AND(Q73="EUR", $Q$2="USD"), M73*$Z$12,
            AND(Q73="EUR", $Q$2="GBP"), M73*$Z$13,
            AND(Q73="EUR", $Q$2="HKD"), M73*$Z$14,
        ),
        0
    )
)</f>
        <v>390.37</v>
      </c>
      <c r="T73" s="1" t="str">
        <f t="shared" si="10"/>
        <v>1</v>
      </c>
      <c r="U73" s="9" t="str">
        <f t="shared" si="11"/>
        <v>01</v>
      </c>
      <c r="V73" s="1" t="str">
        <f t="shared" si="12"/>
        <v>2023</v>
      </c>
      <c r="W73" s="18" t="str">
        <f t="shared" si="13"/>
        <v>星期日</v>
      </c>
    </row>
    <row r="74" spans="1:23">
      <c r="A74" s="17" t="s">
        <v>42</v>
      </c>
      <c r="B74" s="1" t="s">
        <v>348</v>
      </c>
      <c r="C74" s="9">
        <v>44927</v>
      </c>
      <c r="D74" s="1" t="s">
        <v>56</v>
      </c>
      <c r="E74" s="1" t="s">
        <v>35</v>
      </c>
      <c r="F74" s="1" t="s">
        <v>349</v>
      </c>
      <c r="H74" s="1" t="s">
        <v>371</v>
      </c>
      <c r="I74" s="1">
        <v>466.7</v>
      </c>
      <c r="J74" s="27">
        <v>1.78</v>
      </c>
      <c r="M74" s="24">
        <f t="shared" si="7"/>
        <v>830.726</v>
      </c>
      <c r="N74" s="36">
        <f t="shared" si="8"/>
        <v>-830.726</v>
      </c>
      <c r="O74" s="34">
        <f>IF(ISBLANK(A74),"",SUMIFS(I$3:I74,D$3:D74,D74,H$3:H74,"Buy")+SUMIFS(I$3:I74,D$3:D74,D74,H$3:H74,"Cash Deposit")+SUMIFS(I$3:I74,D$3:D74,D74,H$3:H74,"Crypto Deposit")+SUMIFS(I$3:I74,D$3:D74,D74,H$3:H74,"Airdrop/Rewards")-SUMIFS(I$3:I74,D$3:D74,D74,H$3:H74,"Sell"))</f>
        <v>567.5</v>
      </c>
      <c r="P74" s="2" cm="1">
        <f t="array" ref="P74">IF(ISBLANK(A74),"",IFERROR(IF(OR(H74="Sell",F74="Stable Coin"),INDEX(_xlfn._xlws.FILTER(P$2:P73, D$2:D73=D74),COUNT(_xlfn._xlws.FILTER(P$2:P73, D$2:D73=D74))),(INDEX(_xlfn._xlws.FILTER(P$2:P73, D$2:D73=D74),COUNT(_xlfn._xlws.FILTER(P$2:P73, D$2:D73=D74)))*INDEX(_xlfn._xlws.FILTER(O$2:O73, D$2:D73=D74),COUNT(_xlfn._xlws.FILTER(O$2:O73, D$2:D73=D74)))-N74) / O74), J74))</f>
        <v>1.78</v>
      </c>
      <c r="Q74" s="1" t="str">
        <f t="shared" si="9"/>
        <v>USD</v>
      </c>
      <c r="R74" s="1" cm="1">
        <f t="array" ref="R74">IF(A74="", "",
    IFERROR(
        _xlfn.SWITCH(
            TRUE,
            AND(Q74="USD", $Q$2="USD"), K74,
            AND(Q74="USD", $Q$2="GBP"), K74*$Z$3,
            AND(Q74="USD", $Q$2="HKD"), K74*$Z$4,
            AND(Q74="USD", $Q$2="EUR"), K74*$Z$5,
            AND(Q74="GBP", $Q$2="GBP"), K74,
            AND(Q74="GBP", $Q$2="USD"), K74*$Z$6,
            AND(Q74="GBP", $Q$2="HKD"), K74*$Z$7,
            AND(Q74="HKG", $Q$2="HKG"), K74,
            AND(Q74="HKD", $Q$2="USD"), K74*$Z$9,
            AND(Q74="HKD", $Q$2="GBP"), K74*$Z$10,
            AND(Q74="HKD", $Q$2="EUR"), K74*$Z$11,
            AND(Q74="EUR", $Q$2="EUR"), K74,
            AND(Q74="EUR", $Q$2="USD"), K74*$Z$12,
            AND(Q74="EUR", $Q$2="GBP"), K74*$Z$13,
            AND(Q74="EUR", $Q$2="HKD"), K74*$Z$14,
        ),
        0
    )
)</f>
        <v>0</v>
      </c>
      <c r="S74" s="1" cm="1">
        <f t="array" ref="S74">IF(A74="", "",
    IFERROR(
        _xlfn.SWITCH(
            TRUE,
            AND(Q74="USD", $Q$2="USD"), M74,
            AND(Q74="USD", $Q$2="GBP"), M74*$Z$3,
            AND(Q74="USD", $Q$2="HKD"), M74*$Z$4,
            AND(Q74="USD", $Q$2="EUR"), M74*$Z$5,
            AND(Q74="GBP", $Q$2="GBP"), M74,
            AND(Q74="GBP", $Q$2="USD"), M74*$Z$6,
            AND(Q74="GBP", $Q$2="HKD"), M74*$Z$7,
            AND(Q74="GBP", $Q$2="HKD"), M74*$Z$8,
            AND(Q74="HKG", $Q$2="HKG"), M74,
            AND(Q74="HKD", $Q$2="USD"), M74*$Z$9,
            AND(Q74="HKD", $Q$2="GBP"), M74*$Z$10,
            AND(Q74="HKD", $Q$2="EUR"), M74*$Z$11,
            AND(Q74="EUR", $Q$2="EUR"), M74,
            AND(Q74="EUR", $Q$2="USD"), M74*$Z$12,
            AND(Q74="EUR", $Q$2="GBP"), M74*$Z$13,
            AND(Q74="EUR", $Q$2="HKD"), M74*$Z$14,
        ),
        0
    )
)</f>
        <v>830.726</v>
      </c>
      <c r="T74" s="1" t="str">
        <f t="shared" si="10"/>
        <v>1</v>
      </c>
      <c r="U74" s="9" t="str">
        <f t="shared" si="11"/>
        <v>01</v>
      </c>
      <c r="V74" s="1" t="str">
        <f t="shared" si="12"/>
        <v>2023</v>
      </c>
      <c r="W74" s="18" t="str">
        <f t="shared" si="13"/>
        <v>星期日</v>
      </c>
    </row>
    <row r="75" spans="1:23">
      <c r="A75" s="17" t="s">
        <v>399</v>
      </c>
      <c r="B75" s="1" t="s">
        <v>348</v>
      </c>
      <c r="C75" s="9">
        <v>44939</v>
      </c>
      <c r="D75" s="1" t="s">
        <v>345</v>
      </c>
      <c r="E75" s="1" t="s">
        <v>345</v>
      </c>
      <c r="F75" s="1" t="s">
        <v>345</v>
      </c>
      <c r="H75" s="1" t="s">
        <v>344</v>
      </c>
      <c r="I75" s="1">
        <v>1</v>
      </c>
      <c r="J75" s="27">
        <v>3900</v>
      </c>
      <c r="M75" s="24">
        <f t="shared" si="7"/>
        <v>3900</v>
      </c>
      <c r="N75" s="36">
        <f t="shared" si="8"/>
        <v>-3900</v>
      </c>
      <c r="O75" s="34">
        <f>IF(ISBLANK(A75),"",SUMIFS(I$3:I75,D$3:D75,D75,H$3:H75,"Buy")+SUMIFS(I$3:I75,D$3:D75,D75,H$3:H75,"Cash Deposit")+SUMIFS(I$3:I75,D$3:D75,D75,H$3:H75,"Crypto Deposit")+SUMIFS(I$3:I75,D$3:D75,D75,H$3:H75,"Airdrop/Rewards")-SUMIFS(I$3:I75,D$3:D75,D75,H$3:H75,"Sell"))</f>
        <v>1</v>
      </c>
      <c r="P75" s="2" cm="1">
        <f t="array" ref="P75">IF(ISBLANK(A75),"",IFERROR(IF(OR(H75="Sell",F75="Stable Coin"),INDEX(_xlfn._xlws.FILTER(P$2:P74, D$2:D74=D75),COUNT(_xlfn._xlws.FILTER(P$2:P74, D$2:D74=D75))),(INDEX(_xlfn._xlws.FILTER(P$2:P74, D$2:D74=D75),COUNT(_xlfn._xlws.FILTER(P$2:P74, D$2:D74=D75)))*INDEX(_xlfn._xlws.FILTER(O$2:O74, D$2:D74=D75),COUNT(_xlfn._xlws.FILTER(O$2:O74, D$2:D74=D75)))-N75) / O75), J75))</f>
        <v>3900</v>
      </c>
      <c r="Q75" s="1" t="str">
        <f t="shared" si="9"/>
        <v>USD</v>
      </c>
      <c r="R75" s="1" cm="1">
        <f t="array" ref="R75">IF(A75="", "",
    IFERROR(
        _xlfn.SWITCH(
            TRUE,
            AND(Q75="USD", $Q$2="USD"), K75,
            AND(Q75="USD", $Q$2="GBP"), K75*$Z$3,
            AND(Q75="USD", $Q$2="HKD"), K75*$Z$4,
            AND(Q75="USD", $Q$2="EUR"), K75*$Z$5,
            AND(Q75="GBP", $Q$2="GBP"), K75,
            AND(Q75="GBP", $Q$2="USD"), K75*$Z$6,
            AND(Q75="GBP", $Q$2="HKD"), K75*$Z$7,
            AND(Q75="HKG", $Q$2="HKG"), K75,
            AND(Q75="HKD", $Q$2="USD"), K75*$Z$9,
            AND(Q75="HKD", $Q$2="GBP"), K75*$Z$10,
            AND(Q75="HKD", $Q$2="EUR"), K75*$Z$11,
            AND(Q75="EUR", $Q$2="EUR"), K75,
            AND(Q75="EUR", $Q$2="USD"), K75*$Z$12,
            AND(Q75="EUR", $Q$2="GBP"), K75*$Z$13,
            AND(Q75="EUR", $Q$2="HKD"), K75*$Z$14,
        ),
        0
    )
)</f>
        <v>0</v>
      </c>
      <c r="S75" s="1" cm="1">
        <f t="array" ref="S75">IF(A75="", "",
    IFERROR(
        _xlfn.SWITCH(
            TRUE,
            AND(Q75="USD", $Q$2="USD"), M75,
            AND(Q75="USD", $Q$2="GBP"), M75*$Z$3,
            AND(Q75="USD", $Q$2="HKD"), M75*$Z$4,
            AND(Q75="USD", $Q$2="EUR"), M75*$Z$5,
            AND(Q75="GBP", $Q$2="GBP"), M75,
            AND(Q75="GBP", $Q$2="USD"), M75*$Z$6,
            AND(Q75="GBP", $Q$2="HKD"), M75*$Z$7,
            AND(Q75="GBP", $Q$2="HKD"), M75*$Z$8,
            AND(Q75="HKG", $Q$2="HKG"), M75,
            AND(Q75="HKD", $Q$2="USD"), M75*$Z$9,
            AND(Q75="HKD", $Q$2="GBP"), M75*$Z$10,
            AND(Q75="HKD", $Q$2="EUR"), M75*$Z$11,
            AND(Q75="EUR", $Q$2="EUR"), M75,
            AND(Q75="EUR", $Q$2="USD"), M75*$Z$12,
            AND(Q75="EUR", $Q$2="GBP"), M75*$Z$13,
            AND(Q75="EUR", $Q$2="HKD"), M75*$Z$14,
        ),
        0
    )
)</f>
        <v>3900</v>
      </c>
      <c r="T75" s="1" t="str">
        <f t="shared" si="10"/>
        <v>13</v>
      </c>
      <c r="U75" s="9" t="str">
        <f t="shared" si="11"/>
        <v>01</v>
      </c>
      <c r="V75" s="1" t="str">
        <f t="shared" si="12"/>
        <v>2023</v>
      </c>
      <c r="W75" s="18" t="str">
        <f t="shared" si="13"/>
        <v>星期五</v>
      </c>
    </row>
    <row r="76" spans="1:23">
      <c r="A76" s="17" t="s">
        <v>399</v>
      </c>
      <c r="B76" s="1" t="s">
        <v>348</v>
      </c>
      <c r="C76" s="9">
        <v>44958</v>
      </c>
      <c r="D76" s="1" t="e" vm="14">
        <v>#VALUE!</v>
      </c>
      <c r="E76" s="1" t="s">
        <v>409</v>
      </c>
      <c r="F76" s="1" t="s">
        <v>401</v>
      </c>
      <c r="H76" s="1" t="s">
        <v>347</v>
      </c>
      <c r="I76" s="1">
        <v>2</v>
      </c>
      <c r="J76" s="27">
        <v>111.2</v>
      </c>
      <c r="K76" s="1">
        <v>2</v>
      </c>
      <c r="M76" s="24">
        <f t="shared" si="7"/>
        <v>222.4</v>
      </c>
      <c r="N76" s="36">
        <f t="shared" si="8"/>
        <v>-222.4</v>
      </c>
      <c r="O76" s="34">
        <f>IF(ISBLANK(A76),"",SUMIFS(I$3:I76,D$3:D76,D76,H$3:H76,"Buy")+SUMIFS(I$3:I76,D$3:D76,D76,H$3:H76,"Cash Deposit")+SUMIFS(I$3:I76,D$3:D76,D76,H$3:H76,"Crypto Deposit")+SUMIFS(I$3:I76,D$3:D76,D76,H$3:H76,"Airdrop/Rewards")-SUMIFS(I$3:I76,D$3:D76,D76,H$3:H76,"Sell"))</f>
        <v>2</v>
      </c>
      <c r="P76" s="2" cm="1">
        <f t="array" ref="P76">IF(ISBLANK(A76),"",IFERROR(IF(OR(H76="Sell",F76="Stable Coin"),INDEX(_xlfn._xlws.FILTER(P$2:P75, D$2:D75=D76),COUNT(_xlfn._xlws.FILTER(P$2:P75, D$2:D75=D76))),(INDEX(_xlfn._xlws.FILTER(P$2:P75, D$2:D75=D76),COUNT(_xlfn._xlws.FILTER(P$2:P75, D$2:D75=D76)))*INDEX(_xlfn._xlws.FILTER(O$2:O75, D$2:D75=D76),COUNT(_xlfn._xlws.FILTER(O$2:O75, D$2:D75=D76)))-N76) / O76), J76))</f>
        <v>111.2</v>
      </c>
      <c r="Q76" s="1" t="str">
        <f t="shared" si="9"/>
        <v>USD</v>
      </c>
      <c r="R76" s="1" cm="1">
        <f t="array" ref="R76">IF(A76="", "",
    IFERROR(
        _xlfn.SWITCH(
            TRUE,
            AND(Q76="USD", $Q$2="USD"), K76,
            AND(Q76="USD", $Q$2="GBP"), K76*$Z$3,
            AND(Q76="USD", $Q$2="HKD"), K76*$Z$4,
            AND(Q76="USD", $Q$2="EUR"), K76*$Z$5,
            AND(Q76="GBP", $Q$2="GBP"), K76,
            AND(Q76="GBP", $Q$2="USD"), K76*$Z$6,
            AND(Q76="GBP", $Q$2="HKD"), K76*$Z$7,
            AND(Q76="HKG", $Q$2="HKG"), K76,
            AND(Q76="HKD", $Q$2="USD"), K76*$Z$9,
            AND(Q76="HKD", $Q$2="GBP"), K76*$Z$10,
            AND(Q76="HKD", $Q$2="EUR"), K76*$Z$11,
            AND(Q76="EUR", $Q$2="EUR"), K76,
            AND(Q76="EUR", $Q$2="USD"), K76*$Z$12,
            AND(Q76="EUR", $Q$2="GBP"), K76*$Z$13,
            AND(Q76="EUR", $Q$2="HKD"), K76*$Z$14,
        ),
        0
    )
)</f>
        <v>2</v>
      </c>
      <c r="S76" s="1" cm="1">
        <f t="array" ref="S76">IF(A76="", "",
    IFERROR(
        _xlfn.SWITCH(
            TRUE,
            AND(Q76="USD", $Q$2="USD"), M76,
            AND(Q76="USD", $Q$2="GBP"), M76*$Z$3,
            AND(Q76="USD", $Q$2="HKD"), M76*$Z$4,
            AND(Q76="USD", $Q$2="EUR"), M76*$Z$5,
            AND(Q76="GBP", $Q$2="GBP"), M76,
            AND(Q76="GBP", $Q$2="USD"), M76*$Z$6,
            AND(Q76="GBP", $Q$2="HKD"), M76*$Z$7,
            AND(Q76="GBP", $Q$2="HKD"), M76*$Z$8,
            AND(Q76="HKG", $Q$2="HKG"), M76,
            AND(Q76="HKD", $Q$2="USD"), M76*$Z$9,
            AND(Q76="HKD", $Q$2="GBP"), M76*$Z$10,
            AND(Q76="HKD", $Q$2="EUR"), M76*$Z$11,
            AND(Q76="EUR", $Q$2="EUR"), M76,
            AND(Q76="EUR", $Q$2="USD"), M76*$Z$12,
            AND(Q76="EUR", $Q$2="GBP"), M76*$Z$13,
            AND(Q76="EUR", $Q$2="HKD"), M76*$Z$14,
        ),
        0
    )
)</f>
        <v>222.4</v>
      </c>
      <c r="T76" s="1" t="str">
        <f t="shared" si="10"/>
        <v>1</v>
      </c>
      <c r="U76" s="9" t="str">
        <f t="shared" si="11"/>
        <v>02</v>
      </c>
      <c r="V76" s="1" t="str">
        <f t="shared" si="12"/>
        <v>2023</v>
      </c>
      <c r="W76" s="18" t="str">
        <f t="shared" si="13"/>
        <v>星期三</v>
      </c>
    </row>
    <row r="77" spans="1:23">
      <c r="A77" s="17" t="s">
        <v>399</v>
      </c>
      <c r="B77" s="1" t="s">
        <v>348</v>
      </c>
      <c r="C77" s="9">
        <v>44959</v>
      </c>
      <c r="D77" s="1" t="s">
        <v>345</v>
      </c>
      <c r="E77" s="1" t="s">
        <v>345</v>
      </c>
      <c r="F77" s="1" t="s">
        <v>345</v>
      </c>
      <c r="H77" s="1" t="s">
        <v>344</v>
      </c>
      <c r="I77" s="1">
        <v>1</v>
      </c>
      <c r="J77" s="27">
        <v>3880</v>
      </c>
      <c r="M77" s="24">
        <f t="shared" si="7"/>
        <v>3880</v>
      </c>
      <c r="N77" s="36">
        <f t="shared" si="8"/>
        <v>-3880</v>
      </c>
      <c r="O77" s="34">
        <f>IF(ISBLANK(A77),"",SUMIFS(I$3:I77,D$3:D77,D77,H$3:H77,"Buy")+SUMIFS(I$3:I77,D$3:D77,D77,H$3:H77,"Cash Deposit")+SUMIFS(I$3:I77,D$3:D77,D77,H$3:H77,"Crypto Deposit")+SUMIFS(I$3:I77,D$3:D77,D77,H$3:H77,"Airdrop/Rewards")-SUMIFS(I$3:I77,D$3:D77,D77,H$3:H77,"Sell"))</f>
        <v>2</v>
      </c>
      <c r="P77" s="2" cm="1">
        <f t="array" ref="P77">IF(ISBLANK(A77),"",IFERROR(IF(OR(H77="Sell",F77="Stable Coin"),INDEX(_xlfn._xlws.FILTER(P$2:P76, D$2:D76=D77),COUNT(_xlfn._xlws.FILTER(P$2:P76, D$2:D76=D77))),(INDEX(_xlfn._xlws.FILTER(P$2:P76, D$2:D76=D77),COUNT(_xlfn._xlws.FILTER(P$2:P76, D$2:D76=D77)))*INDEX(_xlfn._xlws.FILTER(O$2:O76, D$2:D76=D77),COUNT(_xlfn._xlws.FILTER(O$2:O76, D$2:D76=D77)))-N77) / O77), J77))</f>
        <v>3890</v>
      </c>
      <c r="Q77" s="1" t="str">
        <f t="shared" si="9"/>
        <v>USD</v>
      </c>
      <c r="R77" s="1" cm="1">
        <f t="array" ref="R77">IF(A77="", "",
    IFERROR(
        _xlfn.SWITCH(
            TRUE,
            AND(Q77="USD", $Q$2="USD"), K77,
            AND(Q77="USD", $Q$2="GBP"), K77*$Z$3,
            AND(Q77="USD", $Q$2="HKD"), K77*$Z$4,
            AND(Q77="USD", $Q$2="EUR"), K77*$Z$5,
            AND(Q77="GBP", $Q$2="GBP"), K77,
            AND(Q77="GBP", $Q$2="USD"), K77*$Z$6,
            AND(Q77="GBP", $Q$2="HKD"), K77*$Z$7,
            AND(Q77="HKG", $Q$2="HKG"), K77,
            AND(Q77="HKD", $Q$2="USD"), K77*$Z$9,
            AND(Q77="HKD", $Q$2="GBP"), K77*$Z$10,
            AND(Q77="HKD", $Q$2="EUR"), K77*$Z$11,
            AND(Q77="EUR", $Q$2="EUR"), K77,
            AND(Q77="EUR", $Q$2="USD"), K77*$Z$12,
            AND(Q77="EUR", $Q$2="GBP"), K77*$Z$13,
            AND(Q77="EUR", $Q$2="HKD"), K77*$Z$14,
        ),
        0
    )
)</f>
        <v>0</v>
      </c>
      <c r="S77" s="1" cm="1">
        <f t="array" ref="S77">IF(A77="", "",
    IFERROR(
        _xlfn.SWITCH(
            TRUE,
            AND(Q77="USD", $Q$2="USD"), M77,
            AND(Q77="USD", $Q$2="GBP"), M77*$Z$3,
            AND(Q77="USD", $Q$2="HKD"), M77*$Z$4,
            AND(Q77="USD", $Q$2="EUR"), M77*$Z$5,
            AND(Q77="GBP", $Q$2="GBP"), M77,
            AND(Q77="GBP", $Q$2="USD"), M77*$Z$6,
            AND(Q77="GBP", $Q$2="HKD"), M77*$Z$7,
            AND(Q77="GBP", $Q$2="HKD"), M77*$Z$8,
            AND(Q77="HKG", $Q$2="HKG"), M77,
            AND(Q77="HKD", $Q$2="USD"), M77*$Z$9,
            AND(Q77="HKD", $Q$2="GBP"), M77*$Z$10,
            AND(Q77="HKD", $Q$2="EUR"), M77*$Z$11,
            AND(Q77="EUR", $Q$2="EUR"), M77,
            AND(Q77="EUR", $Q$2="USD"), M77*$Z$12,
            AND(Q77="EUR", $Q$2="GBP"), M77*$Z$13,
            AND(Q77="EUR", $Q$2="HKD"), M77*$Z$14,
        ),
        0
    )
)</f>
        <v>3880</v>
      </c>
      <c r="T77" s="1" t="str">
        <f t="shared" si="10"/>
        <v>2</v>
      </c>
      <c r="U77" s="9" t="str">
        <f t="shared" si="11"/>
        <v>02</v>
      </c>
      <c r="V77" s="1" t="str">
        <f t="shared" si="12"/>
        <v>2023</v>
      </c>
      <c r="W77" s="18" t="str">
        <f t="shared" si="13"/>
        <v>星期四</v>
      </c>
    </row>
    <row r="78" spans="1:23">
      <c r="A78" s="17" t="s">
        <v>399</v>
      </c>
      <c r="B78" s="1" t="s">
        <v>348</v>
      </c>
      <c r="C78" s="9">
        <v>44959</v>
      </c>
      <c r="D78" s="1" t="e" vm="15">
        <v>#VALUE!</v>
      </c>
      <c r="E78" s="1" t="s">
        <v>410</v>
      </c>
      <c r="F78" s="1" t="s">
        <v>411</v>
      </c>
      <c r="H78" s="1" t="s">
        <v>347</v>
      </c>
      <c r="I78" s="1">
        <v>30</v>
      </c>
      <c r="J78" s="27">
        <v>17</v>
      </c>
      <c r="K78" s="1">
        <v>2.08</v>
      </c>
      <c r="M78" s="24">
        <f t="shared" si="7"/>
        <v>510</v>
      </c>
      <c r="N78" s="36">
        <f t="shared" si="8"/>
        <v>-510</v>
      </c>
      <c r="O78" s="34">
        <f>IF(ISBLANK(A78),"",SUMIFS(I$3:I78,D$3:D78,D78,H$3:H78,"Buy")+SUMIFS(I$3:I78,D$3:D78,D78,H$3:H78,"Cash Deposit")+SUMIFS(I$3:I78,D$3:D78,D78,H$3:H78,"Crypto Deposit")+SUMIFS(I$3:I78,D$3:D78,D78,H$3:H78,"Airdrop/Rewards")-SUMIFS(I$3:I78,D$3:D78,D78,H$3:H78,"Sell"))</f>
        <v>30</v>
      </c>
      <c r="P78" s="2" cm="1">
        <f t="array" ref="P78">IF(ISBLANK(A78),"",IFERROR(IF(OR(H78="Sell",F78="Stable Coin"),INDEX(_xlfn._xlws.FILTER(P$2:P77, D$2:D77=D78),COUNT(_xlfn._xlws.FILTER(P$2:P77, D$2:D77=D78))),(INDEX(_xlfn._xlws.FILTER(P$2:P77, D$2:D77=D78),COUNT(_xlfn._xlws.FILTER(P$2:P77, D$2:D77=D78)))*INDEX(_xlfn._xlws.FILTER(O$2:O77, D$2:D77=D78),COUNT(_xlfn._xlws.FILTER(O$2:O77, D$2:D77=D78)))-N78) / O78), J78))</f>
        <v>17</v>
      </c>
      <c r="Q78" s="1" t="str">
        <f t="shared" si="9"/>
        <v>USD</v>
      </c>
      <c r="R78" s="1" cm="1">
        <f t="array" ref="R78">IF(A78="", "",
    IFERROR(
        _xlfn.SWITCH(
            TRUE,
            AND(Q78="USD", $Q$2="USD"), K78,
            AND(Q78="USD", $Q$2="GBP"), K78*$Z$3,
            AND(Q78="USD", $Q$2="HKD"), K78*$Z$4,
            AND(Q78="USD", $Q$2="EUR"), K78*$Z$5,
            AND(Q78="GBP", $Q$2="GBP"), K78,
            AND(Q78="GBP", $Q$2="USD"), K78*$Z$6,
            AND(Q78="GBP", $Q$2="HKD"), K78*$Z$7,
            AND(Q78="HKG", $Q$2="HKG"), K78,
            AND(Q78="HKD", $Q$2="USD"), K78*$Z$9,
            AND(Q78="HKD", $Q$2="GBP"), K78*$Z$10,
            AND(Q78="HKD", $Q$2="EUR"), K78*$Z$11,
            AND(Q78="EUR", $Q$2="EUR"), K78,
            AND(Q78="EUR", $Q$2="USD"), K78*$Z$12,
            AND(Q78="EUR", $Q$2="GBP"), K78*$Z$13,
            AND(Q78="EUR", $Q$2="HKD"), K78*$Z$14,
        ),
        0
    )
)</f>
        <v>2.08</v>
      </c>
      <c r="S78" s="1" cm="1">
        <f t="array" ref="S78">IF(A78="", "",
    IFERROR(
        _xlfn.SWITCH(
            TRUE,
            AND(Q78="USD", $Q$2="USD"), M78,
            AND(Q78="USD", $Q$2="GBP"), M78*$Z$3,
            AND(Q78="USD", $Q$2="HKD"), M78*$Z$4,
            AND(Q78="USD", $Q$2="EUR"), M78*$Z$5,
            AND(Q78="GBP", $Q$2="GBP"), M78,
            AND(Q78="GBP", $Q$2="USD"), M78*$Z$6,
            AND(Q78="GBP", $Q$2="HKD"), M78*$Z$7,
            AND(Q78="GBP", $Q$2="HKD"), M78*$Z$8,
            AND(Q78="HKG", $Q$2="HKG"), M78,
            AND(Q78="HKD", $Q$2="USD"), M78*$Z$9,
            AND(Q78="HKD", $Q$2="GBP"), M78*$Z$10,
            AND(Q78="HKD", $Q$2="EUR"), M78*$Z$11,
            AND(Q78="EUR", $Q$2="EUR"), M78,
            AND(Q78="EUR", $Q$2="USD"), M78*$Z$12,
            AND(Q78="EUR", $Q$2="GBP"), M78*$Z$13,
            AND(Q78="EUR", $Q$2="HKD"), M78*$Z$14,
        ),
        0
    )
)</f>
        <v>510</v>
      </c>
      <c r="T78" s="1" t="str">
        <f t="shared" si="10"/>
        <v>2</v>
      </c>
      <c r="U78" s="9" t="str">
        <f t="shared" si="11"/>
        <v>02</v>
      </c>
      <c r="V78" s="1" t="str">
        <f t="shared" si="12"/>
        <v>2023</v>
      </c>
      <c r="W78" s="18" t="str">
        <f t="shared" si="13"/>
        <v>星期四</v>
      </c>
    </row>
    <row r="79" spans="1:23">
      <c r="A79" s="17" t="s">
        <v>399</v>
      </c>
      <c r="B79" s="1" t="s">
        <v>348</v>
      </c>
      <c r="C79" s="9">
        <v>44978</v>
      </c>
      <c r="D79" s="1" t="e" vm="16">
        <v>#VALUE!</v>
      </c>
      <c r="E79" s="1" t="s">
        <v>413</v>
      </c>
      <c r="F79" s="1" t="s">
        <v>401</v>
      </c>
      <c r="H79" s="1" t="s">
        <v>347</v>
      </c>
      <c r="I79" s="1">
        <v>20</v>
      </c>
      <c r="J79" s="27">
        <v>17.399999999999999</v>
      </c>
      <c r="K79" s="1">
        <v>2.0499999999999998</v>
      </c>
      <c r="M79" s="24">
        <f t="shared" si="7"/>
        <v>348</v>
      </c>
      <c r="N79" s="36">
        <f t="shared" si="8"/>
        <v>-348</v>
      </c>
      <c r="O79" s="34">
        <f>IF(ISBLANK(A79),"",SUMIFS(I$3:I79,D$3:D79,D79,H$3:H79,"Buy")+SUMIFS(I$3:I79,D$3:D79,D79,H$3:H79,"Cash Deposit")+SUMIFS(I$3:I79,D$3:D79,D79,H$3:H79,"Crypto Deposit")+SUMIFS(I$3:I79,D$3:D79,D79,H$3:H79,"Airdrop/Rewards")-SUMIFS(I$3:I79,D$3:D79,D79,H$3:H79,"Sell"))</f>
        <v>20</v>
      </c>
      <c r="P79" s="2" cm="1">
        <f t="array" ref="P79">IF(ISBLANK(A79),"",IFERROR(IF(OR(H79="Sell",F79="Stable Coin"),INDEX(_xlfn._xlws.FILTER(P$2:P78, D$2:D78=D79),COUNT(_xlfn._xlws.FILTER(P$2:P78, D$2:D78=D79))),(INDEX(_xlfn._xlws.FILTER(P$2:P78, D$2:D78=D79),COUNT(_xlfn._xlws.FILTER(P$2:P78, D$2:D78=D79)))*INDEX(_xlfn._xlws.FILTER(O$2:O78, D$2:D78=D79),COUNT(_xlfn._xlws.FILTER(O$2:O78, D$2:D78=D79)))-N79) / O79), J79))</f>
        <v>17.399999999999999</v>
      </c>
      <c r="Q79" s="1" t="str">
        <f t="shared" si="9"/>
        <v>USD</v>
      </c>
      <c r="R79" s="1" cm="1">
        <f t="array" ref="R79">IF(A79="", "",
    IFERROR(
        _xlfn.SWITCH(
            TRUE,
            AND(Q79="USD", $Q$2="USD"), K79,
            AND(Q79="USD", $Q$2="GBP"), K79*$Z$3,
            AND(Q79="USD", $Q$2="HKD"), K79*$Z$4,
            AND(Q79="USD", $Q$2="EUR"), K79*$Z$5,
            AND(Q79="GBP", $Q$2="GBP"), K79,
            AND(Q79="GBP", $Q$2="USD"), K79*$Z$6,
            AND(Q79="GBP", $Q$2="HKD"), K79*$Z$7,
            AND(Q79="HKG", $Q$2="HKG"), K79,
            AND(Q79="HKD", $Q$2="USD"), K79*$Z$9,
            AND(Q79="HKD", $Q$2="GBP"), K79*$Z$10,
            AND(Q79="HKD", $Q$2="EUR"), K79*$Z$11,
            AND(Q79="EUR", $Q$2="EUR"), K79,
            AND(Q79="EUR", $Q$2="USD"), K79*$Z$12,
            AND(Q79="EUR", $Q$2="GBP"), K79*$Z$13,
            AND(Q79="EUR", $Q$2="HKD"), K79*$Z$14,
        ),
        0
    )
)</f>
        <v>2.0499999999999998</v>
      </c>
      <c r="S79" s="1" cm="1">
        <f t="array" ref="S79">IF(A79="", "",
    IFERROR(
        _xlfn.SWITCH(
            TRUE,
            AND(Q79="USD", $Q$2="USD"), M79,
            AND(Q79="USD", $Q$2="GBP"), M79*$Z$3,
            AND(Q79="USD", $Q$2="HKD"), M79*$Z$4,
            AND(Q79="USD", $Q$2="EUR"), M79*$Z$5,
            AND(Q79="GBP", $Q$2="GBP"), M79,
            AND(Q79="GBP", $Q$2="USD"), M79*$Z$6,
            AND(Q79="GBP", $Q$2="HKD"), M79*$Z$7,
            AND(Q79="GBP", $Q$2="HKD"), M79*$Z$8,
            AND(Q79="HKG", $Q$2="HKG"), M79,
            AND(Q79="HKD", $Q$2="USD"), M79*$Z$9,
            AND(Q79="HKD", $Q$2="GBP"), M79*$Z$10,
            AND(Q79="HKD", $Q$2="EUR"), M79*$Z$11,
            AND(Q79="EUR", $Q$2="EUR"), M79,
            AND(Q79="EUR", $Q$2="USD"), M79*$Z$12,
            AND(Q79="EUR", $Q$2="GBP"), M79*$Z$13,
            AND(Q79="EUR", $Q$2="HKD"), M79*$Z$14,
        ),
        0
    )
)</f>
        <v>348</v>
      </c>
      <c r="T79" s="1" t="str">
        <f t="shared" si="10"/>
        <v>21</v>
      </c>
      <c r="U79" s="9" t="str">
        <f t="shared" si="11"/>
        <v>02</v>
      </c>
      <c r="V79" s="1" t="str">
        <f t="shared" si="12"/>
        <v>2023</v>
      </c>
      <c r="W79" s="18" t="str">
        <f t="shared" si="13"/>
        <v>星期二</v>
      </c>
    </row>
    <row r="80" spans="1:23">
      <c r="A80" s="17" t="s">
        <v>399</v>
      </c>
      <c r="B80" s="1" t="s">
        <v>348</v>
      </c>
      <c r="C80" s="9">
        <v>44979</v>
      </c>
      <c r="D80" s="1" t="e" vm="17">
        <v>#VALUE!</v>
      </c>
      <c r="E80" s="1" t="s">
        <v>32</v>
      </c>
      <c r="F80" s="1" t="s">
        <v>401</v>
      </c>
      <c r="H80" s="1" t="s">
        <v>347</v>
      </c>
      <c r="I80" s="1">
        <v>5</v>
      </c>
      <c r="J80" s="27">
        <v>64.5</v>
      </c>
      <c r="K80" s="1">
        <v>2.0099999999999998</v>
      </c>
      <c r="M80" s="24">
        <f t="shared" si="7"/>
        <v>322.5</v>
      </c>
      <c r="N80" s="36">
        <f t="shared" si="8"/>
        <v>-322.5</v>
      </c>
      <c r="O80" s="34">
        <f>IF(ISBLANK(A80),"",SUMIFS(I$3:I80,D$3:D80,D80,H$3:H80,"Buy")+SUMIFS(I$3:I80,D$3:D80,D80,H$3:H80,"Cash Deposit")+SUMIFS(I$3:I80,D$3:D80,D80,H$3:H80,"Crypto Deposit")+SUMIFS(I$3:I80,D$3:D80,D80,H$3:H80,"Airdrop/Rewards")-SUMIFS(I$3:I80,D$3:D80,D80,H$3:H80,"Sell"))</f>
        <v>5</v>
      </c>
      <c r="P80" s="2" cm="1">
        <f t="array" ref="P80">IF(ISBLANK(A80),"",IFERROR(IF(OR(H80="Sell",F80="Stable Coin"),INDEX(_xlfn._xlws.FILTER(P$2:P79, D$2:D79=D80),COUNT(_xlfn._xlws.FILTER(P$2:P79, D$2:D79=D80))),(INDEX(_xlfn._xlws.FILTER(P$2:P79, D$2:D79=D80),COUNT(_xlfn._xlws.FILTER(P$2:P79, D$2:D79=D80)))*INDEX(_xlfn._xlws.FILTER(O$2:O79, D$2:D79=D80),COUNT(_xlfn._xlws.FILTER(O$2:O79, D$2:D79=D80)))-N80) / O80), J80))</f>
        <v>64.5</v>
      </c>
      <c r="Q80" s="1" t="str">
        <f t="shared" si="9"/>
        <v>USD</v>
      </c>
      <c r="R80" s="1" cm="1">
        <f t="array" ref="R80">IF(A80="", "",
    IFERROR(
        _xlfn.SWITCH(
            TRUE,
            AND(Q80="USD", $Q$2="USD"), K80,
            AND(Q80="USD", $Q$2="GBP"), K80*$Z$3,
            AND(Q80="USD", $Q$2="HKD"), K80*$Z$4,
            AND(Q80="USD", $Q$2="EUR"), K80*$Z$5,
            AND(Q80="GBP", $Q$2="GBP"), K80,
            AND(Q80="GBP", $Q$2="USD"), K80*$Z$6,
            AND(Q80="GBP", $Q$2="HKD"), K80*$Z$7,
            AND(Q80="HKG", $Q$2="HKG"), K80,
            AND(Q80="HKD", $Q$2="USD"), K80*$Z$9,
            AND(Q80="HKD", $Q$2="GBP"), K80*$Z$10,
            AND(Q80="HKD", $Q$2="EUR"), K80*$Z$11,
            AND(Q80="EUR", $Q$2="EUR"), K80,
            AND(Q80="EUR", $Q$2="USD"), K80*$Z$12,
            AND(Q80="EUR", $Q$2="GBP"), K80*$Z$13,
            AND(Q80="EUR", $Q$2="HKD"), K80*$Z$14,
        ),
        0
    )
)</f>
        <v>2.0099999999999998</v>
      </c>
      <c r="S80" s="1" cm="1">
        <f t="array" ref="S80">IF(A80="", "",
    IFERROR(
        _xlfn.SWITCH(
            TRUE,
            AND(Q80="USD", $Q$2="USD"), M80,
            AND(Q80="USD", $Q$2="GBP"), M80*$Z$3,
            AND(Q80="USD", $Q$2="HKD"), M80*$Z$4,
            AND(Q80="USD", $Q$2="EUR"), M80*$Z$5,
            AND(Q80="GBP", $Q$2="GBP"), M80,
            AND(Q80="GBP", $Q$2="USD"), M80*$Z$6,
            AND(Q80="GBP", $Q$2="HKD"), M80*$Z$7,
            AND(Q80="GBP", $Q$2="HKD"), M80*$Z$8,
            AND(Q80="HKG", $Q$2="HKG"), M80,
            AND(Q80="HKD", $Q$2="USD"), M80*$Z$9,
            AND(Q80="HKD", $Q$2="GBP"), M80*$Z$10,
            AND(Q80="HKD", $Q$2="EUR"), M80*$Z$11,
            AND(Q80="EUR", $Q$2="EUR"), M80,
            AND(Q80="EUR", $Q$2="USD"), M80*$Z$12,
            AND(Q80="EUR", $Q$2="GBP"), M80*$Z$13,
            AND(Q80="EUR", $Q$2="HKD"), M80*$Z$14,
        ),
        0
    )
)</f>
        <v>322.5</v>
      </c>
      <c r="T80" s="1" t="str">
        <f t="shared" si="10"/>
        <v>22</v>
      </c>
      <c r="U80" s="9" t="str">
        <f t="shared" si="11"/>
        <v>02</v>
      </c>
      <c r="V80" s="1" t="str">
        <f t="shared" si="12"/>
        <v>2023</v>
      </c>
      <c r="W80" s="18" t="str">
        <f t="shared" si="13"/>
        <v>星期三</v>
      </c>
    </row>
    <row r="81" spans="1:23">
      <c r="A81" s="17" t="s">
        <v>399</v>
      </c>
      <c r="B81" s="1" t="s">
        <v>348</v>
      </c>
      <c r="C81" s="9">
        <v>44980</v>
      </c>
      <c r="D81" s="1" t="e" vm="17">
        <v>#VALUE!</v>
      </c>
      <c r="E81" s="1" t="s">
        <v>32</v>
      </c>
      <c r="F81" s="1" t="s">
        <v>401</v>
      </c>
      <c r="H81" s="1" t="s">
        <v>347</v>
      </c>
      <c r="I81" s="1">
        <v>5</v>
      </c>
      <c r="J81" s="27">
        <v>62.2</v>
      </c>
      <c r="K81" s="1">
        <v>2.0099999999999998</v>
      </c>
      <c r="M81" s="24">
        <f t="shared" si="7"/>
        <v>311</v>
      </c>
      <c r="N81" s="36">
        <f t="shared" si="8"/>
        <v>-311</v>
      </c>
      <c r="O81" s="34">
        <f>IF(ISBLANK(A81),"",SUMIFS(I$3:I81,D$3:D81,D81,H$3:H81,"Buy")+SUMIFS(I$3:I81,D$3:D81,D81,H$3:H81,"Cash Deposit")+SUMIFS(I$3:I81,D$3:D81,D81,H$3:H81,"Crypto Deposit")+SUMIFS(I$3:I81,D$3:D81,D81,H$3:H81,"Airdrop/Rewards")-SUMIFS(I$3:I81,D$3:D81,D81,H$3:H81,"Sell"))</f>
        <v>10</v>
      </c>
      <c r="P81" s="2" cm="1">
        <f t="array" ref="P81">IF(ISBLANK(A81),"",IFERROR(IF(OR(H81="Sell",F81="Stable Coin"),INDEX(_xlfn._xlws.FILTER(P$2:P80, D$2:D80=D81),COUNT(_xlfn._xlws.FILTER(P$2:P80, D$2:D80=D81))),(INDEX(_xlfn._xlws.FILTER(P$2:P80, D$2:D80=D81),COUNT(_xlfn._xlws.FILTER(P$2:P80, D$2:D80=D81)))*INDEX(_xlfn._xlws.FILTER(O$2:O80, D$2:D80=D81),COUNT(_xlfn._xlws.FILTER(O$2:O80, D$2:D80=D81)))-N81) / O81), J81))</f>
        <v>63.35</v>
      </c>
      <c r="Q81" s="1" t="str">
        <f t="shared" si="9"/>
        <v>USD</v>
      </c>
      <c r="R81" s="1" cm="1">
        <f t="array" ref="R81">IF(A81="", "",
    IFERROR(
        _xlfn.SWITCH(
            TRUE,
            AND(Q81="USD", $Q$2="USD"), K81,
            AND(Q81="USD", $Q$2="GBP"), K81*$Z$3,
            AND(Q81="USD", $Q$2="HKD"), K81*$Z$4,
            AND(Q81="USD", $Q$2="EUR"), K81*$Z$5,
            AND(Q81="GBP", $Q$2="GBP"), K81,
            AND(Q81="GBP", $Q$2="USD"), K81*$Z$6,
            AND(Q81="GBP", $Q$2="HKD"), K81*$Z$7,
            AND(Q81="HKG", $Q$2="HKG"), K81,
            AND(Q81="HKD", $Q$2="USD"), K81*$Z$9,
            AND(Q81="HKD", $Q$2="GBP"), K81*$Z$10,
            AND(Q81="HKD", $Q$2="EUR"), K81*$Z$11,
            AND(Q81="EUR", $Q$2="EUR"), K81,
            AND(Q81="EUR", $Q$2="USD"), K81*$Z$12,
            AND(Q81="EUR", $Q$2="GBP"), K81*$Z$13,
            AND(Q81="EUR", $Q$2="HKD"), K81*$Z$14,
        ),
        0
    )
)</f>
        <v>2.0099999999999998</v>
      </c>
      <c r="S81" s="1" cm="1">
        <f t="array" ref="S81">IF(A81="", "",
    IFERROR(
        _xlfn.SWITCH(
            TRUE,
            AND(Q81="USD", $Q$2="USD"), M81,
            AND(Q81="USD", $Q$2="GBP"), M81*$Z$3,
            AND(Q81="USD", $Q$2="HKD"), M81*$Z$4,
            AND(Q81="USD", $Q$2="EUR"), M81*$Z$5,
            AND(Q81="GBP", $Q$2="GBP"), M81,
            AND(Q81="GBP", $Q$2="USD"), M81*$Z$6,
            AND(Q81="GBP", $Q$2="HKD"), M81*$Z$7,
            AND(Q81="GBP", $Q$2="HKD"), M81*$Z$8,
            AND(Q81="HKG", $Q$2="HKG"), M81,
            AND(Q81="HKD", $Q$2="USD"), M81*$Z$9,
            AND(Q81="HKD", $Q$2="GBP"), M81*$Z$10,
            AND(Q81="HKD", $Q$2="EUR"), M81*$Z$11,
            AND(Q81="EUR", $Q$2="EUR"), M81,
            AND(Q81="EUR", $Q$2="USD"), M81*$Z$12,
            AND(Q81="EUR", $Q$2="GBP"), M81*$Z$13,
            AND(Q81="EUR", $Q$2="HKD"), M81*$Z$14,
        ),
        0
    )
)</f>
        <v>311</v>
      </c>
      <c r="T81" s="1" t="str">
        <f t="shared" si="10"/>
        <v>23</v>
      </c>
      <c r="U81" s="9" t="str">
        <f t="shared" si="11"/>
        <v>02</v>
      </c>
      <c r="V81" s="1" t="str">
        <f t="shared" si="12"/>
        <v>2023</v>
      </c>
      <c r="W81" s="18" t="str">
        <f t="shared" si="13"/>
        <v>星期四</v>
      </c>
    </row>
    <row r="82" spans="1:23">
      <c r="A82" s="17" t="s">
        <v>399</v>
      </c>
      <c r="B82" s="1" t="s">
        <v>348</v>
      </c>
      <c r="C82" s="9">
        <v>44981</v>
      </c>
      <c r="D82" s="1" t="e" vm="17">
        <v>#VALUE!</v>
      </c>
      <c r="E82" s="1" t="s">
        <v>32</v>
      </c>
      <c r="F82" s="1" t="s">
        <v>401</v>
      </c>
      <c r="H82" s="1" t="s">
        <v>347</v>
      </c>
      <c r="I82" s="1">
        <v>5</v>
      </c>
      <c r="J82" s="27">
        <v>58.88</v>
      </c>
      <c r="K82" s="1">
        <v>2.0099999999999998</v>
      </c>
      <c r="M82" s="24">
        <f t="shared" si="7"/>
        <v>294.40000000000003</v>
      </c>
      <c r="N82" s="36">
        <f t="shared" si="8"/>
        <v>-294.40000000000003</v>
      </c>
      <c r="O82" s="34">
        <f>IF(ISBLANK(A82),"",SUMIFS(I$3:I82,D$3:D82,D82,H$3:H82,"Buy")+SUMIFS(I$3:I82,D$3:D82,D82,H$3:H82,"Cash Deposit")+SUMIFS(I$3:I82,D$3:D82,D82,H$3:H82,"Crypto Deposit")+SUMIFS(I$3:I82,D$3:D82,D82,H$3:H82,"Airdrop/Rewards")-SUMIFS(I$3:I82,D$3:D82,D82,H$3:H82,"Sell"))</f>
        <v>15</v>
      </c>
      <c r="P82" s="2" cm="1">
        <f t="array" ref="P82">IF(ISBLANK(A82),"",IFERROR(IF(OR(H82="Sell",F82="Stable Coin"),INDEX(_xlfn._xlws.FILTER(P$2:P81, D$2:D81=D82),COUNT(_xlfn._xlws.FILTER(P$2:P81, D$2:D81=D82))),(INDEX(_xlfn._xlws.FILTER(P$2:P81, D$2:D81=D82),COUNT(_xlfn._xlws.FILTER(P$2:P81, D$2:D81=D82)))*INDEX(_xlfn._xlws.FILTER(O$2:O81, D$2:D81=D82),COUNT(_xlfn._xlws.FILTER(O$2:O81, D$2:D81=D82)))-N82) / O82), J82))</f>
        <v>61.860000000000007</v>
      </c>
      <c r="Q82" s="1" t="str">
        <f t="shared" si="9"/>
        <v>USD</v>
      </c>
      <c r="R82" s="1" cm="1">
        <f t="array" ref="R82">IF(A82="", "",
    IFERROR(
        _xlfn.SWITCH(
            TRUE,
            AND(Q82="USD", $Q$2="USD"), K82,
            AND(Q82="USD", $Q$2="GBP"), K82*$Z$3,
            AND(Q82="USD", $Q$2="HKD"), K82*$Z$4,
            AND(Q82="USD", $Q$2="EUR"), K82*$Z$5,
            AND(Q82="GBP", $Q$2="GBP"), K82,
            AND(Q82="GBP", $Q$2="USD"), K82*$Z$6,
            AND(Q82="GBP", $Q$2="HKD"), K82*$Z$7,
            AND(Q82="HKG", $Q$2="HKG"), K82,
            AND(Q82="HKD", $Q$2="USD"), K82*$Z$9,
            AND(Q82="HKD", $Q$2="GBP"), K82*$Z$10,
            AND(Q82="HKD", $Q$2="EUR"), K82*$Z$11,
            AND(Q82="EUR", $Q$2="EUR"), K82,
            AND(Q82="EUR", $Q$2="USD"), K82*$Z$12,
            AND(Q82="EUR", $Q$2="GBP"), K82*$Z$13,
            AND(Q82="EUR", $Q$2="HKD"), K82*$Z$14,
        ),
        0
    )
)</f>
        <v>2.0099999999999998</v>
      </c>
      <c r="S82" s="1" cm="1">
        <f t="array" ref="S82">IF(A82="", "",
    IFERROR(
        _xlfn.SWITCH(
            TRUE,
            AND(Q82="USD", $Q$2="USD"), M82,
            AND(Q82="USD", $Q$2="GBP"), M82*$Z$3,
            AND(Q82="USD", $Q$2="HKD"), M82*$Z$4,
            AND(Q82="USD", $Q$2="EUR"), M82*$Z$5,
            AND(Q82="GBP", $Q$2="GBP"), M82,
            AND(Q82="GBP", $Q$2="USD"), M82*$Z$6,
            AND(Q82="GBP", $Q$2="HKD"), M82*$Z$7,
            AND(Q82="GBP", $Q$2="HKD"), M82*$Z$8,
            AND(Q82="HKG", $Q$2="HKG"), M82,
            AND(Q82="HKD", $Q$2="USD"), M82*$Z$9,
            AND(Q82="HKD", $Q$2="GBP"), M82*$Z$10,
            AND(Q82="HKD", $Q$2="EUR"), M82*$Z$11,
            AND(Q82="EUR", $Q$2="EUR"), M82,
            AND(Q82="EUR", $Q$2="USD"), M82*$Z$12,
            AND(Q82="EUR", $Q$2="GBP"), M82*$Z$13,
            AND(Q82="EUR", $Q$2="HKD"), M82*$Z$14,
        ),
        0
    )
)</f>
        <v>294.40000000000003</v>
      </c>
      <c r="T82" s="1" t="str">
        <f t="shared" si="10"/>
        <v>24</v>
      </c>
      <c r="U82" s="9" t="str">
        <f t="shared" si="11"/>
        <v>02</v>
      </c>
      <c r="V82" s="1" t="str">
        <f t="shared" si="12"/>
        <v>2023</v>
      </c>
      <c r="W82" s="18" t="str">
        <f t="shared" si="13"/>
        <v>星期五</v>
      </c>
    </row>
    <row r="83" spans="1:23">
      <c r="A83" s="17" t="s">
        <v>399</v>
      </c>
      <c r="B83" s="1" t="s">
        <v>348</v>
      </c>
      <c r="C83" s="9">
        <v>44985</v>
      </c>
      <c r="D83" s="1" t="e" vm="15">
        <v>#VALUE!</v>
      </c>
      <c r="E83" s="1" t="s">
        <v>410</v>
      </c>
      <c r="F83" s="1" t="s">
        <v>411</v>
      </c>
      <c r="H83" s="1" t="s">
        <v>347</v>
      </c>
      <c r="I83" s="1">
        <v>10</v>
      </c>
      <c r="J83" s="27">
        <v>16.47</v>
      </c>
      <c r="K83" s="1">
        <v>2.02</v>
      </c>
      <c r="M83" s="24">
        <f t="shared" si="7"/>
        <v>164.7</v>
      </c>
      <c r="N83" s="36">
        <f t="shared" si="8"/>
        <v>-164.7</v>
      </c>
      <c r="O83" s="34">
        <f>IF(ISBLANK(A83),"",SUMIFS(I$3:I83,D$3:D83,D83,H$3:H83,"Buy")+SUMIFS(I$3:I83,D$3:D83,D83,H$3:H83,"Cash Deposit")+SUMIFS(I$3:I83,D$3:D83,D83,H$3:H83,"Crypto Deposit")+SUMIFS(I$3:I83,D$3:D83,D83,H$3:H83,"Airdrop/Rewards")-SUMIFS(I$3:I83,D$3:D83,D83,H$3:H83,"Sell"))</f>
        <v>40</v>
      </c>
      <c r="P83" s="2" cm="1">
        <f t="array" ref="P83">IF(ISBLANK(A83),"",IFERROR(IF(OR(H83="Sell",F83="Stable Coin"),INDEX(_xlfn._xlws.FILTER(P$2:P82, D$2:D82=D83),COUNT(_xlfn._xlws.FILTER(P$2:P82, D$2:D82=D83))),(INDEX(_xlfn._xlws.FILTER(P$2:P82, D$2:D82=D83),COUNT(_xlfn._xlws.FILTER(P$2:P82, D$2:D82=D83)))*INDEX(_xlfn._xlws.FILTER(O$2:O82, D$2:D82=D83),COUNT(_xlfn._xlws.FILTER(O$2:O82, D$2:D82=D83)))-N83) / O83), J83))</f>
        <v>16.8675</v>
      </c>
      <c r="Q83" s="1" t="str">
        <f t="shared" si="9"/>
        <v>USD</v>
      </c>
      <c r="R83" s="1" cm="1">
        <f t="array" ref="R83">IF(A83="", "",
    IFERROR(
        _xlfn.SWITCH(
            TRUE,
            AND(Q83="USD", $Q$2="USD"), K83,
            AND(Q83="USD", $Q$2="GBP"), K83*$Z$3,
            AND(Q83="USD", $Q$2="HKD"), K83*$Z$4,
            AND(Q83="USD", $Q$2="EUR"), K83*$Z$5,
            AND(Q83="GBP", $Q$2="GBP"), K83,
            AND(Q83="GBP", $Q$2="USD"), K83*$Z$6,
            AND(Q83="GBP", $Q$2="HKD"), K83*$Z$7,
            AND(Q83="HKG", $Q$2="HKG"), K83,
            AND(Q83="HKD", $Q$2="USD"), K83*$Z$9,
            AND(Q83="HKD", $Q$2="GBP"), K83*$Z$10,
            AND(Q83="HKD", $Q$2="EUR"), K83*$Z$11,
            AND(Q83="EUR", $Q$2="EUR"), K83,
            AND(Q83="EUR", $Q$2="USD"), K83*$Z$12,
            AND(Q83="EUR", $Q$2="GBP"), K83*$Z$13,
            AND(Q83="EUR", $Q$2="HKD"), K83*$Z$14,
        ),
        0
    )
)</f>
        <v>2.02</v>
      </c>
      <c r="S83" s="1" cm="1">
        <f t="array" ref="S83">IF(A83="", "",
    IFERROR(
        _xlfn.SWITCH(
            TRUE,
            AND(Q83="USD", $Q$2="USD"), M83,
            AND(Q83="USD", $Q$2="GBP"), M83*$Z$3,
            AND(Q83="USD", $Q$2="HKD"), M83*$Z$4,
            AND(Q83="USD", $Q$2="EUR"), M83*$Z$5,
            AND(Q83="GBP", $Q$2="GBP"), M83,
            AND(Q83="GBP", $Q$2="USD"), M83*$Z$6,
            AND(Q83="GBP", $Q$2="HKD"), M83*$Z$7,
            AND(Q83="GBP", $Q$2="HKD"), M83*$Z$8,
            AND(Q83="HKG", $Q$2="HKG"), M83,
            AND(Q83="HKD", $Q$2="USD"), M83*$Z$9,
            AND(Q83="HKD", $Q$2="GBP"), M83*$Z$10,
            AND(Q83="HKD", $Q$2="EUR"), M83*$Z$11,
            AND(Q83="EUR", $Q$2="EUR"), M83,
            AND(Q83="EUR", $Q$2="USD"), M83*$Z$12,
            AND(Q83="EUR", $Q$2="GBP"), M83*$Z$13,
            AND(Q83="EUR", $Q$2="HKD"), M83*$Z$14,
        ),
        0
    )
)</f>
        <v>164.7</v>
      </c>
      <c r="T83" s="1" t="str">
        <f t="shared" si="10"/>
        <v>28</v>
      </c>
      <c r="U83" s="9" t="str">
        <f t="shared" si="11"/>
        <v>02</v>
      </c>
      <c r="V83" s="1" t="str">
        <f t="shared" si="12"/>
        <v>2023</v>
      </c>
      <c r="W83" s="18" t="str">
        <f t="shared" si="13"/>
        <v>星期二</v>
      </c>
    </row>
    <row r="84" spans="1:23">
      <c r="A84" s="17" t="s">
        <v>399</v>
      </c>
      <c r="B84" s="1" t="s">
        <v>348</v>
      </c>
      <c r="C84" s="9">
        <v>44987</v>
      </c>
      <c r="D84" s="1" t="e" vm="15">
        <v>#VALUE!</v>
      </c>
      <c r="E84" s="1" t="s">
        <v>410</v>
      </c>
      <c r="F84" s="1" t="s">
        <v>411</v>
      </c>
      <c r="H84" s="1" t="s">
        <v>414</v>
      </c>
      <c r="I84" s="1">
        <v>1</v>
      </c>
      <c r="J84" s="27">
        <v>5.0199999999999996</v>
      </c>
      <c r="K84" s="1">
        <v>1.51</v>
      </c>
      <c r="M84" s="24">
        <f t="shared" si="7"/>
        <v>5.0199999999999996</v>
      </c>
      <c r="N84" s="36">
        <f t="shared" si="8"/>
        <v>0</v>
      </c>
      <c r="O84" s="34">
        <f>IF(ISBLANK(A84),"",SUMIFS(I$3:I84,D$3:D84,D84,H$3:H84,"Buy")+SUMIFS(I$3:I84,D$3:D84,D84,H$3:H84,"Cash Deposit")+SUMIFS(I$3:I84,D$3:D84,D84,H$3:H84,"Crypto Deposit")+SUMIFS(I$3:I84,D$3:D84,D84,H$3:H84,"Airdrop/Rewards")-SUMIFS(I$3:I84,D$3:D84,D84,H$3:H84,"Sell"))</f>
        <v>40</v>
      </c>
      <c r="P84" s="2" cm="1">
        <f t="array" ref="P84">IF(ISBLANK(A84),"",IFERROR(IF(OR(H84="Sell",F84="Stable Coin"),INDEX(_xlfn._xlws.FILTER(P$2:P83, D$2:D83=D84),COUNT(_xlfn._xlws.FILTER(P$2:P83, D$2:D83=D84))),(INDEX(_xlfn._xlws.FILTER(P$2:P83, D$2:D83=D84),COUNT(_xlfn._xlws.FILTER(P$2:P83, D$2:D83=D84)))*INDEX(_xlfn._xlws.FILTER(O$2:O83, D$2:D83=D84),COUNT(_xlfn._xlws.FILTER(O$2:O83, D$2:D83=D84)))-N84) / O84), J84))</f>
        <v>16.8675</v>
      </c>
      <c r="Q84" s="1" t="str">
        <f t="shared" si="9"/>
        <v>USD</v>
      </c>
      <c r="R84" s="1" cm="1">
        <f t="array" ref="R84">IF(A84="", "",
    IFERROR(
        _xlfn.SWITCH(
            TRUE,
            AND(Q84="USD", $Q$2="USD"), K84,
            AND(Q84="USD", $Q$2="GBP"), K84*$Z$3,
            AND(Q84="USD", $Q$2="HKD"), K84*$Z$4,
            AND(Q84="USD", $Q$2="EUR"), K84*$Z$5,
            AND(Q84="GBP", $Q$2="GBP"), K84,
            AND(Q84="GBP", $Q$2="USD"), K84*$Z$6,
            AND(Q84="GBP", $Q$2="HKD"), K84*$Z$7,
            AND(Q84="HKG", $Q$2="HKG"), K84,
            AND(Q84="HKD", $Q$2="USD"), K84*$Z$9,
            AND(Q84="HKD", $Q$2="GBP"), K84*$Z$10,
            AND(Q84="HKD", $Q$2="EUR"), K84*$Z$11,
            AND(Q84="EUR", $Q$2="EUR"), K84,
            AND(Q84="EUR", $Q$2="USD"), K84*$Z$12,
            AND(Q84="EUR", $Q$2="GBP"), K84*$Z$13,
            AND(Q84="EUR", $Q$2="HKD"), K84*$Z$14,
        ),
        0
    )
)</f>
        <v>1.51</v>
      </c>
      <c r="S84" s="1" cm="1">
        <f t="array" ref="S84">IF(A84="", "",
    IFERROR(
        _xlfn.SWITCH(
            TRUE,
            AND(Q84="USD", $Q$2="USD"), M84,
            AND(Q84="USD", $Q$2="GBP"), M84*$Z$3,
            AND(Q84="USD", $Q$2="HKD"), M84*$Z$4,
            AND(Q84="USD", $Q$2="EUR"), M84*$Z$5,
            AND(Q84="GBP", $Q$2="GBP"), M84,
            AND(Q84="GBP", $Q$2="USD"), M84*$Z$6,
            AND(Q84="GBP", $Q$2="HKD"), M84*$Z$7,
            AND(Q84="GBP", $Q$2="HKD"), M84*$Z$8,
            AND(Q84="HKG", $Q$2="HKG"), M84,
            AND(Q84="HKD", $Q$2="USD"), M84*$Z$9,
            AND(Q84="HKD", $Q$2="GBP"), M84*$Z$10,
            AND(Q84="HKD", $Q$2="EUR"), M84*$Z$11,
            AND(Q84="EUR", $Q$2="EUR"), M84,
            AND(Q84="EUR", $Q$2="USD"), M84*$Z$12,
            AND(Q84="EUR", $Q$2="GBP"), M84*$Z$13,
            AND(Q84="EUR", $Q$2="HKD"), M84*$Z$14,
        ),
        0
    )
)</f>
        <v>5.0199999999999996</v>
      </c>
      <c r="T84" s="1" t="str">
        <f t="shared" si="10"/>
        <v>2</v>
      </c>
      <c r="U84" s="9" t="str">
        <f t="shared" si="11"/>
        <v>03</v>
      </c>
      <c r="V84" s="1" t="str">
        <f t="shared" si="12"/>
        <v>2023</v>
      </c>
      <c r="W84" s="18" t="str">
        <f t="shared" si="13"/>
        <v>星期四</v>
      </c>
    </row>
    <row r="85" spans="1:23">
      <c r="A85" s="17" t="s">
        <v>399</v>
      </c>
      <c r="B85" s="1" t="s">
        <v>348</v>
      </c>
      <c r="C85" s="9">
        <v>44988</v>
      </c>
      <c r="D85" s="1" t="e" vm="17">
        <v>#VALUE!</v>
      </c>
      <c r="E85" s="1" t="s">
        <v>32</v>
      </c>
      <c r="F85" s="1" t="s">
        <v>401</v>
      </c>
      <c r="H85" s="1" t="s">
        <v>347</v>
      </c>
      <c r="I85" s="1">
        <v>2</v>
      </c>
      <c r="J85" s="27">
        <v>64.2</v>
      </c>
      <c r="K85" s="1">
        <v>2</v>
      </c>
      <c r="M85" s="24">
        <f t="shared" si="7"/>
        <v>128.4</v>
      </c>
      <c r="N85" s="36">
        <f t="shared" si="8"/>
        <v>-128.4</v>
      </c>
      <c r="O85" s="34">
        <f>IF(ISBLANK(A85),"",SUMIFS(I$3:I85,D$3:D85,D85,H$3:H85,"Buy")+SUMIFS(I$3:I85,D$3:D85,D85,H$3:H85,"Cash Deposit")+SUMIFS(I$3:I85,D$3:D85,D85,H$3:H85,"Crypto Deposit")+SUMIFS(I$3:I85,D$3:D85,D85,H$3:H85,"Airdrop/Rewards")-SUMIFS(I$3:I85,D$3:D85,D85,H$3:H85,"Sell"))</f>
        <v>17</v>
      </c>
      <c r="P85" s="2" cm="1">
        <f t="array" ref="P85">IF(ISBLANK(A85),"",IFERROR(IF(OR(H85="Sell",F85="Stable Coin"),INDEX(_xlfn._xlws.FILTER(P$2:P84, D$2:D84=D85),COUNT(_xlfn._xlws.FILTER(P$2:P84, D$2:D84=D85))),(INDEX(_xlfn._xlws.FILTER(P$2:P84, D$2:D84=D85),COUNT(_xlfn._xlws.FILTER(P$2:P84, D$2:D84=D85)))*INDEX(_xlfn._xlws.FILTER(O$2:O84, D$2:D84=D85),COUNT(_xlfn._xlws.FILTER(O$2:O84, D$2:D84=D85)))-N85) / O85), J85))</f>
        <v>62.135294117647071</v>
      </c>
      <c r="Q85" s="1" t="str">
        <f t="shared" si="9"/>
        <v>USD</v>
      </c>
      <c r="R85" s="1" cm="1">
        <f t="array" ref="R85">IF(A85="", "",
    IFERROR(
        _xlfn.SWITCH(
            TRUE,
            AND(Q85="USD", $Q$2="USD"), K85,
            AND(Q85="USD", $Q$2="GBP"), K85*$Z$3,
            AND(Q85="USD", $Q$2="HKD"), K85*$Z$4,
            AND(Q85="USD", $Q$2="EUR"), K85*$Z$5,
            AND(Q85="GBP", $Q$2="GBP"), K85,
            AND(Q85="GBP", $Q$2="USD"), K85*$Z$6,
            AND(Q85="GBP", $Q$2="HKD"), K85*$Z$7,
            AND(Q85="HKG", $Q$2="HKG"), K85,
            AND(Q85="HKD", $Q$2="USD"), K85*$Z$9,
            AND(Q85="HKD", $Q$2="GBP"), K85*$Z$10,
            AND(Q85="HKD", $Q$2="EUR"), K85*$Z$11,
            AND(Q85="EUR", $Q$2="EUR"), K85,
            AND(Q85="EUR", $Q$2="USD"), K85*$Z$12,
            AND(Q85="EUR", $Q$2="GBP"), K85*$Z$13,
            AND(Q85="EUR", $Q$2="HKD"), K85*$Z$14,
        ),
        0
    )
)</f>
        <v>2</v>
      </c>
      <c r="S85" s="1" cm="1">
        <f t="array" ref="S85">IF(A85="", "",
    IFERROR(
        _xlfn.SWITCH(
            TRUE,
            AND(Q85="USD", $Q$2="USD"), M85,
            AND(Q85="USD", $Q$2="GBP"), M85*$Z$3,
            AND(Q85="USD", $Q$2="HKD"), M85*$Z$4,
            AND(Q85="USD", $Q$2="EUR"), M85*$Z$5,
            AND(Q85="GBP", $Q$2="GBP"), M85,
            AND(Q85="GBP", $Q$2="USD"), M85*$Z$6,
            AND(Q85="GBP", $Q$2="HKD"), M85*$Z$7,
            AND(Q85="GBP", $Q$2="HKD"), M85*$Z$8,
            AND(Q85="HKG", $Q$2="HKG"), M85,
            AND(Q85="HKD", $Q$2="USD"), M85*$Z$9,
            AND(Q85="HKD", $Q$2="GBP"), M85*$Z$10,
            AND(Q85="HKD", $Q$2="EUR"), M85*$Z$11,
            AND(Q85="EUR", $Q$2="EUR"), M85,
            AND(Q85="EUR", $Q$2="USD"), M85*$Z$12,
            AND(Q85="EUR", $Q$2="GBP"), M85*$Z$13,
            AND(Q85="EUR", $Q$2="HKD"), M85*$Z$14,
        ),
        0
    )
)</f>
        <v>128.4</v>
      </c>
      <c r="T85" s="1" t="str">
        <f t="shared" si="10"/>
        <v>3</v>
      </c>
      <c r="U85" s="9" t="str">
        <f t="shared" si="11"/>
        <v>03</v>
      </c>
      <c r="V85" s="1" t="str">
        <f t="shared" si="12"/>
        <v>2023</v>
      </c>
      <c r="W85" s="18" t="str">
        <f t="shared" si="13"/>
        <v>星期五</v>
      </c>
    </row>
    <row r="86" spans="1:23">
      <c r="A86" s="17" t="s">
        <v>399</v>
      </c>
      <c r="B86" s="1" t="s">
        <v>348</v>
      </c>
      <c r="C86" s="9">
        <v>44988</v>
      </c>
      <c r="D86" s="1" t="e" vm="15">
        <v>#VALUE!</v>
      </c>
      <c r="E86" s="1" t="s">
        <v>410</v>
      </c>
      <c r="F86" s="1" t="s">
        <v>411</v>
      </c>
      <c r="H86" s="1" t="s">
        <v>347</v>
      </c>
      <c r="I86" s="1">
        <v>10</v>
      </c>
      <c r="J86" s="27">
        <v>16.600000000000001</v>
      </c>
      <c r="K86" s="1">
        <v>2.02</v>
      </c>
      <c r="M86" s="24">
        <f t="shared" si="7"/>
        <v>166</v>
      </c>
      <c r="N86" s="36">
        <f t="shared" si="8"/>
        <v>-166</v>
      </c>
      <c r="O86" s="34">
        <f>IF(ISBLANK(A86),"",SUMIFS(I$3:I86,D$3:D86,D86,H$3:H86,"Buy")+SUMIFS(I$3:I86,D$3:D86,D86,H$3:H86,"Cash Deposit")+SUMIFS(I$3:I86,D$3:D86,D86,H$3:H86,"Crypto Deposit")+SUMIFS(I$3:I86,D$3:D86,D86,H$3:H86,"Airdrop/Rewards")-SUMIFS(I$3:I86,D$3:D86,D86,H$3:H86,"Sell"))</f>
        <v>50</v>
      </c>
      <c r="P86" s="2" cm="1">
        <f t="array" ref="P86">IF(ISBLANK(A86),"",IFERROR(IF(OR(H86="Sell",F86="Stable Coin"),INDEX(_xlfn._xlws.FILTER(P$2:P85, D$2:D85=D86),COUNT(_xlfn._xlws.FILTER(P$2:P85, D$2:D85=D86))),(INDEX(_xlfn._xlws.FILTER(P$2:P85, D$2:D85=D86),COUNT(_xlfn._xlws.FILTER(P$2:P85, D$2:D85=D86)))*INDEX(_xlfn._xlws.FILTER(O$2:O85, D$2:D85=D86),COUNT(_xlfn._xlws.FILTER(O$2:O85, D$2:D85=D86)))-N86) / O86), J86))</f>
        <v>16.814</v>
      </c>
      <c r="Q86" s="1" t="str">
        <f t="shared" si="9"/>
        <v>USD</v>
      </c>
      <c r="R86" s="1" cm="1">
        <f t="array" ref="R86">IF(A86="", "",
    IFERROR(
        _xlfn.SWITCH(
            TRUE,
            AND(Q86="USD", $Q$2="USD"), K86,
            AND(Q86="USD", $Q$2="GBP"), K86*$Z$3,
            AND(Q86="USD", $Q$2="HKD"), K86*$Z$4,
            AND(Q86="USD", $Q$2="EUR"), K86*$Z$5,
            AND(Q86="GBP", $Q$2="GBP"), K86,
            AND(Q86="GBP", $Q$2="USD"), K86*$Z$6,
            AND(Q86="GBP", $Q$2="HKD"), K86*$Z$7,
            AND(Q86="HKG", $Q$2="HKG"), K86,
            AND(Q86="HKD", $Q$2="USD"), K86*$Z$9,
            AND(Q86="HKD", $Q$2="GBP"), K86*$Z$10,
            AND(Q86="HKD", $Q$2="EUR"), K86*$Z$11,
            AND(Q86="EUR", $Q$2="EUR"), K86,
            AND(Q86="EUR", $Q$2="USD"), K86*$Z$12,
            AND(Q86="EUR", $Q$2="GBP"), K86*$Z$13,
            AND(Q86="EUR", $Q$2="HKD"), K86*$Z$14,
        ),
        0
    )
)</f>
        <v>2.02</v>
      </c>
      <c r="S86" s="1" cm="1">
        <f t="array" ref="S86">IF(A86="", "",
    IFERROR(
        _xlfn.SWITCH(
            TRUE,
            AND(Q86="USD", $Q$2="USD"), M86,
            AND(Q86="USD", $Q$2="GBP"), M86*$Z$3,
            AND(Q86="USD", $Q$2="HKD"), M86*$Z$4,
            AND(Q86="USD", $Q$2="EUR"), M86*$Z$5,
            AND(Q86="GBP", $Q$2="GBP"), M86,
            AND(Q86="GBP", $Q$2="USD"), M86*$Z$6,
            AND(Q86="GBP", $Q$2="HKD"), M86*$Z$7,
            AND(Q86="GBP", $Q$2="HKD"), M86*$Z$8,
            AND(Q86="HKG", $Q$2="HKG"), M86,
            AND(Q86="HKD", $Q$2="USD"), M86*$Z$9,
            AND(Q86="HKD", $Q$2="GBP"), M86*$Z$10,
            AND(Q86="HKD", $Q$2="EUR"), M86*$Z$11,
            AND(Q86="EUR", $Q$2="EUR"), M86,
            AND(Q86="EUR", $Q$2="USD"), M86*$Z$12,
            AND(Q86="EUR", $Q$2="GBP"), M86*$Z$13,
            AND(Q86="EUR", $Q$2="HKD"), M86*$Z$14,
        ),
        0
    )
)</f>
        <v>166</v>
      </c>
      <c r="T86" s="1" t="str">
        <f t="shared" si="10"/>
        <v>3</v>
      </c>
      <c r="U86" s="9" t="str">
        <f t="shared" si="11"/>
        <v>03</v>
      </c>
      <c r="V86" s="1" t="str">
        <f t="shared" si="12"/>
        <v>2023</v>
      </c>
      <c r="W86" s="18" t="str">
        <f t="shared" si="13"/>
        <v>星期五</v>
      </c>
    </row>
    <row r="87" spans="1:23">
      <c r="A87" s="17" t="s">
        <v>399</v>
      </c>
      <c r="B87" s="1" t="s">
        <v>348</v>
      </c>
      <c r="C87" s="9">
        <v>44994</v>
      </c>
      <c r="D87" s="1" t="e" vm="17">
        <v>#VALUE!</v>
      </c>
      <c r="E87" s="1" t="s">
        <v>32</v>
      </c>
      <c r="F87" s="1" t="s">
        <v>401</v>
      </c>
      <c r="H87" s="1" t="s">
        <v>347</v>
      </c>
      <c r="I87" s="1">
        <v>5</v>
      </c>
      <c r="J87" s="27">
        <v>58.88</v>
      </c>
      <c r="K87" s="1">
        <v>2.0099999999999998</v>
      </c>
      <c r="M87" s="24">
        <f t="shared" si="7"/>
        <v>294.40000000000003</v>
      </c>
      <c r="N87" s="36">
        <f t="shared" si="8"/>
        <v>-294.40000000000003</v>
      </c>
      <c r="O87" s="34">
        <f>IF(ISBLANK(A87),"",SUMIFS(I$3:I87,D$3:D87,D87,H$3:H87,"Buy")+SUMIFS(I$3:I87,D$3:D87,D87,H$3:H87,"Cash Deposit")+SUMIFS(I$3:I87,D$3:D87,D87,H$3:H87,"Crypto Deposit")+SUMIFS(I$3:I87,D$3:D87,D87,H$3:H87,"Airdrop/Rewards")-SUMIFS(I$3:I87,D$3:D87,D87,H$3:H87,"Sell"))</f>
        <v>22</v>
      </c>
      <c r="P87" s="2" cm="1">
        <f t="array" ref="P87">IF(ISBLANK(A87),"",IFERROR(IF(OR(H87="Sell",F87="Stable Coin"),INDEX(_xlfn._xlws.FILTER(P$2:P86, D$2:D86=D87),COUNT(_xlfn._xlws.FILTER(P$2:P86, D$2:D86=D87))),(INDEX(_xlfn._xlws.FILTER(P$2:P86, D$2:D86=D87),COUNT(_xlfn._xlws.FILTER(P$2:P86, D$2:D86=D87)))*INDEX(_xlfn._xlws.FILTER(O$2:O86, D$2:D86=D87),COUNT(_xlfn._xlws.FILTER(O$2:O86, D$2:D86=D87)))-N87) / O87), J87))</f>
        <v>61.395454545454555</v>
      </c>
      <c r="Q87" s="1" t="str">
        <f t="shared" si="9"/>
        <v>USD</v>
      </c>
      <c r="R87" s="1" cm="1">
        <f t="array" ref="R87">IF(A87="", "",
    IFERROR(
        _xlfn.SWITCH(
            TRUE,
            AND(Q87="USD", $Q$2="USD"), K87,
            AND(Q87="USD", $Q$2="GBP"), K87*$Z$3,
            AND(Q87="USD", $Q$2="HKD"), K87*$Z$4,
            AND(Q87="USD", $Q$2="EUR"), K87*$Z$5,
            AND(Q87="GBP", $Q$2="GBP"), K87,
            AND(Q87="GBP", $Q$2="USD"), K87*$Z$6,
            AND(Q87="GBP", $Q$2="HKD"), K87*$Z$7,
            AND(Q87="HKG", $Q$2="HKG"), K87,
            AND(Q87="HKD", $Q$2="USD"), K87*$Z$9,
            AND(Q87="HKD", $Q$2="GBP"), K87*$Z$10,
            AND(Q87="HKD", $Q$2="EUR"), K87*$Z$11,
            AND(Q87="EUR", $Q$2="EUR"), K87,
            AND(Q87="EUR", $Q$2="USD"), K87*$Z$12,
            AND(Q87="EUR", $Q$2="GBP"), K87*$Z$13,
            AND(Q87="EUR", $Q$2="HKD"), K87*$Z$14,
        ),
        0
    )
)</f>
        <v>2.0099999999999998</v>
      </c>
      <c r="S87" s="1" cm="1">
        <f t="array" ref="S87">IF(A87="", "",
    IFERROR(
        _xlfn.SWITCH(
            TRUE,
            AND(Q87="USD", $Q$2="USD"), M87,
            AND(Q87="USD", $Q$2="GBP"), M87*$Z$3,
            AND(Q87="USD", $Q$2="HKD"), M87*$Z$4,
            AND(Q87="USD", $Q$2="EUR"), M87*$Z$5,
            AND(Q87="GBP", $Q$2="GBP"), M87,
            AND(Q87="GBP", $Q$2="USD"), M87*$Z$6,
            AND(Q87="GBP", $Q$2="HKD"), M87*$Z$7,
            AND(Q87="GBP", $Q$2="HKD"), M87*$Z$8,
            AND(Q87="HKG", $Q$2="HKG"), M87,
            AND(Q87="HKD", $Q$2="USD"), M87*$Z$9,
            AND(Q87="HKD", $Q$2="GBP"), M87*$Z$10,
            AND(Q87="HKD", $Q$2="EUR"), M87*$Z$11,
            AND(Q87="EUR", $Q$2="EUR"), M87,
            AND(Q87="EUR", $Q$2="USD"), M87*$Z$12,
            AND(Q87="EUR", $Q$2="GBP"), M87*$Z$13,
            AND(Q87="EUR", $Q$2="HKD"), M87*$Z$14,
        ),
        0
    )
)</f>
        <v>294.40000000000003</v>
      </c>
      <c r="T87" s="1" t="str">
        <f t="shared" si="10"/>
        <v>9</v>
      </c>
      <c r="U87" s="9" t="str">
        <f t="shared" si="11"/>
        <v>03</v>
      </c>
      <c r="V87" s="1" t="str">
        <f t="shared" si="12"/>
        <v>2023</v>
      </c>
      <c r="W87" s="18" t="str">
        <f t="shared" si="13"/>
        <v>星期四</v>
      </c>
    </row>
    <row r="88" spans="1:23">
      <c r="A88" s="17" t="s">
        <v>399</v>
      </c>
      <c r="B88" s="1" t="s">
        <v>348</v>
      </c>
      <c r="C88" s="9">
        <v>44994</v>
      </c>
      <c r="D88" s="1" t="e" vm="16">
        <v>#VALUE!</v>
      </c>
      <c r="E88" s="1" t="s">
        <v>413</v>
      </c>
      <c r="F88" s="1" t="s">
        <v>401</v>
      </c>
      <c r="H88" s="1" t="s">
        <v>367</v>
      </c>
      <c r="I88" s="1">
        <v>20</v>
      </c>
      <c r="J88" s="27">
        <v>3.8</v>
      </c>
      <c r="K88" s="1">
        <v>2.0699999999999998</v>
      </c>
      <c r="M88" s="24">
        <f t="shared" si="7"/>
        <v>73.930000000000007</v>
      </c>
      <c r="N88" s="36">
        <f t="shared" si="8"/>
        <v>76</v>
      </c>
      <c r="O88" s="34">
        <f>IF(ISBLANK(A88),"",SUMIFS(I$3:I88,D$3:D88,D88,H$3:H88,"Buy")+SUMIFS(I$3:I88,D$3:D88,D88,H$3:H88,"Cash Deposit")+SUMIFS(I$3:I88,D$3:D88,D88,H$3:H88,"Crypto Deposit")+SUMIFS(I$3:I88,D$3:D88,D88,H$3:H88,"Airdrop/Rewards")-SUMIFS(I$3:I88,D$3:D88,D88,H$3:H88,"Sell"))</f>
        <v>0</v>
      </c>
      <c r="P88" s="2" cm="1">
        <f t="array" ref="P88">IF(ISBLANK(A88),"",IFERROR(IF(OR(H88="Sell",F88="Stable Coin"),INDEX(_xlfn._xlws.FILTER(P$2:P87, D$2:D87=D88),COUNT(_xlfn._xlws.FILTER(P$2:P87, D$2:D87=D88))),(INDEX(_xlfn._xlws.FILTER(P$2:P87, D$2:D87=D88),COUNT(_xlfn._xlws.FILTER(P$2:P87, D$2:D87=D88)))*INDEX(_xlfn._xlws.FILTER(O$2:O87, D$2:D87=D88),COUNT(_xlfn._xlws.FILTER(O$2:O87, D$2:D87=D88)))-N88) / O88), J88))</f>
        <v>17.399999999999999</v>
      </c>
      <c r="Q88" s="1" t="str">
        <f t="shared" si="9"/>
        <v>USD</v>
      </c>
      <c r="R88" s="1" cm="1">
        <f t="array" ref="R88">IF(A88="", "",
    IFERROR(
        _xlfn.SWITCH(
            TRUE,
            AND(Q88="USD", $Q$2="USD"), K88,
            AND(Q88="USD", $Q$2="GBP"), K88*$Z$3,
            AND(Q88="USD", $Q$2="HKD"), K88*$Z$4,
            AND(Q88="USD", $Q$2="EUR"), K88*$Z$5,
            AND(Q88="GBP", $Q$2="GBP"), K88,
            AND(Q88="GBP", $Q$2="USD"), K88*$Z$6,
            AND(Q88="GBP", $Q$2="HKD"), K88*$Z$7,
            AND(Q88="HKG", $Q$2="HKG"), K88,
            AND(Q88="HKD", $Q$2="USD"), K88*$Z$9,
            AND(Q88="HKD", $Q$2="GBP"), K88*$Z$10,
            AND(Q88="HKD", $Q$2="EUR"), K88*$Z$11,
            AND(Q88="EUR", $Q$2="EUR"), K88,
            AND(Q88="EUR", $Q$2="USD"), K88*$Z$12,
            AND(Q88="EUR", $Q$2="GBP"), K88*$Z$13,
            AND(Q88="EUR", $Q$2="HKD"), K88*$Z$14,
        ),
        0
    )
)</f>
        <v>2.0699999999999998</v>
      </c>
      <c r="S88" s="1" cm="1">
        <f t="array" ref="S88">IF(A88="", "",
    IFERROR(
        _xlfn.SWITCH(
            TRUE,
            AND(Q88="USD", $Q$2="USD"), M88,
            AND(Q88="USD", $Q$2="GBP"), M88*$Z$3,
            AND(Q88="USD", $Q$2="HKD"), M88*$Z$4,
            AND(Q88="USD", $Q$2="EUR"), M88*$Z$5,
            AND(Q88="GBP", $Q$2="GBP"), M88,
            AND(Q88="GBP", $Q$2="USD"), M88*$Z$6,
            AND(Q88="GBP", $Q$2="HKD"), M88*$Z$7,
            AND(Q88="GBP", $Q$2="HKD"), M88*$Z$8,
            AND(Q88="HKG", $Q$2="HKG"), M88,
            AND(Q88="HKD", $Q$2="USD"), M88*$Z$9,
            AND(Q88="HKD", $Q$2="GBP"), M88*$Z$10,
            AND(Q88="HKD", $Q$2="EUR"), M88*$Z$11,
            AND(Q88="EUR", $Q$2="EUR"), M88,
            AND(Q88="EUR", $Q$2="USD"), M88*$Z$12,
            AND(Q88="EUR", $Q$2="GBP"), M88*$Z$13,
            AND(Q88="EUR", $Q$2="HKD"), M88*$Z$14,
        ),
        0
    )
)</f>
        <v>73.930000000000007</v>
      </c>
      <c r="T88" s="1" t="str">
        <f t="shared" si="10"/>
        <v>9</v>
      </c>
      <c r="U88" s="9" t="str">
        <f t="shared" si="11"/>
        <v>03</v>
      </c>
      <c r="V88" s="1" t="str">
        <f t="shared" si="12"/>
        <v>2023</v>
      </c>
      <c r="W88" s="18" t="str">
        <f t="shared" si="13"/>
        <v>星期四</v>
      </c>
    </row>
    <row r="89" spans="1:23">
      <c r="A89" s="17" t="s">
        <v>399</v>
      </c>
      <c r="B89" s="1" t="s">
        <v>348</v>
      </c>
      <c r="C89" s="9">
        <v>44995</v>
      </c>
      <c r="D89" s="1" t="e" vm="15">
        <v>#VALUE!</v>
      </c>
      <c r="E89" s="1" t="s">
        <v>410</v>
      </c>
      <c r="F89" s="1" t="s">
        <v>411</v>
      </c>
      <c r="H89" s="1" t="s">
        <v>347</v>
      </c>
      <c r="I89" s="1">
        <v>10</v>
      </c>
      <c r="J89" s="27">
        <v>16.260000000000002</v>
      </c>
      <c r="K89" s="1">
        <v>2.02</v>
      </c>
      <c r="M89" s="24">
        <f t="shared" si="7"/>
        <v>162.60000000000002</v>
      </c>
      <c r="N89" s="36">
        <f t="shared" si="8"/>
        <v>-162.60000000000002</v>
      </c>
      <c r="O89" s="34">
        <f>IF(ISBLANK(A89),"",SUMIFS(I$3:I89,D$3:D89,D89,H$3:H89,"Buy")+SUMIFS(I$3:I89,D$3:D89,D89,H$3:H89,"Cash Deposit")+SUMIFS(I$3:I89,D$3:D89,D89,H$3:H89,"Crypto Deposit")+SUMIFS(I$3:I89,D$3:D89,D89,H$3:H89,"Airdrop/Rewards")-SUMIFS(I$3:I89,D$3:D89,D89,H$3:H89,"Sell"))</f>
        <v>60</v>
      </c>
      <c r="P89" s="2" cm="1">
        <f t="array" ref="P89">IF(ISBLANK(A89),"",IFERROR(IF(OR(H89="Sell",F89="Stable Coin"),INDEX(_xlfn._xlws.FILTER(P$2:P88, D$2:D88=D89),COUNT(_xlfn._xlws.FILTER(P$2:P88, D$2:D88=D89))),(INDEX(_xlfn._xlws.FILTER(P$2:P88, D$2:D88=D89),COUNT(_xlfn._xlws.FILTER(P$2:P88, D$2:D88=D89)))*INDEX(_xlfn._xlws.FILTER(O$2:O88, D$2:D88=D89),COUNT(_xlfn._xlws.FILTER(O$2:O88, D$2:D88=D89)))-N89) / O89), J89))</f>
        <v>16.721666666666668</v>
      </c>
      <c r="Q89" s="1" t="str">
        <f t="shared" si="9"/>
        <v>USD</v>
      </c>
      <c r="R89" s="1" cm="1">
        <f t="array" ref="R89">IF(A89="", "",
    IFERROR(
        _xlfn.SWITCH(
            TRUE,
            AND(Q89="USD", $Q$2="USD"), K89,
            AND(Q89="USD", $Q$2="GBP"), K89*$Z$3,
            AND(Q89="USD", $Q$2="HKD"), K89*$Z$4,
            AND(Q89="USD", $Q$2="EUR"), K89*$Z$5,
            AND(Q89="GBP", $Q$2="GBP"), K89,
            AND(Q89="GBP", $Q$2="USD"), K89*$Z$6,
            AND(Q89="GBP", $Q$2="HKD"), K89*$Z$7,
            AND(Q89="HKG", $Q$2="HKG"), K89,
            AND(Q89="HKD", $Q$2="USD"), K89*$Z$9,
            AND(Q89="HKD", $Q$2="GBP"), K89*$Z$10,
            AND(Q89="HKD", $Q$2="EUR"), K89*$Z$11,
            AND(Q89="EUR", $Q$2="EUR"), K89,
            AND(Q89="EUR", $Q$2="USD"), K89*$Z$12,
            AND(Q89="EUR", $Q$2="GBP"), K89*$Z$13,
            AND(Q89="EUR", $Q$2="HKD"), K89*$Z$14,
        ),
        0
    )
)</f>
        <v>2.02</v>
      </c>
      <c r="S89" s="1" cm="1">
        <f t="array" ref="S89">IF(A89="", "",
    IFERROR(
        _xlfn.SWITCH(
            TRUE,
            AND(Q89="USD", $Q$2="USD"), M89,
            AND(Q89="USD", $Q$2="GBP"), M89*$Z$3,
            AND(Q89="USD", $Q$2="HKD"), M89*$Z$4,
            AND(Q89="USD", $Q$2="EUR"), M89*$Z$5,
            AND(Q89="GBP", $Q$2="GBP"), M89,
            AND(Q89="GBP", $Q$2="USD"), M89*$Z$6,
            AND(Q89="GBP", $Q$2="HKD"), M89*$Z$7,
            AND(Q89="GBP", $Q$2="HKD"), M89*$Z$8,
            AND(Q89="HKG", $Q$2="HKG"), M89,
            AND(Q89="HKD", $Q$2="USD"), M89*$Z$9,
            AND(Q89="HKD", $Q$2="GBP"), M89*$Z$10,
            AND(Q89="HKD", $Q$2="EUR"), M89*$Z$11,
            AND(Q89="EUR", $Q$2="EUR"), M89,
            AND(Q89="EUR", $Q$2="USD"), M89*$Z$12,
            AND(Q89="EUR", $Q$2="GBP"), M89*$Z$13,
            AND(Q89="EUR", $Q$2="HKD"), M89*$Z$14,
        ),
        0
    )
)</f>
        <v>162.60000000000002</v>
      </c>
      <c r="T89" s="1" t="str">
        <f t="shared" si="10"/>
        <v>10</v>
      </c>
      <c r="U89" s="9" t="str">
        <f t="shared" si="11"/>
        <v>03</v>
      </c>
      <c r="V89" s="1" t="str">
        <f t="shared" si="12"/>
        <v>2023</v>
      </c>
      <c r="W89" s="18" t="str">
        <f t="shared" si="13"/>
        <v>星期五</v>
      </c>
    </row>
    <row r="90" spans="1:23">
      <c r="A90" s="17" t="s">
        <v>399</v>
      </c>
      <c r="B90" s="1" t="s">
        <v>348</v>
      </c>
      <c r="C90" s="9">
        <v>44998</v>
      </c>
      <c r="D90" s="1" t="e" vm="14">
        <v>#VALUE!</v>
      </c>
      <c r="E90" s="1" t="s">
        <v>409</v>
      </c>
      <c r="F90" s="1" t="s">
        <v>401</v>
      </c>
      <c r="H90" s="1" t="s">
        <v>367</v>
      </c>
      <c r="I90" s="1">
        <v>1</v>
      </c>
      <c r="J90" s="27">
        <v>121.8</v>
      </c>
      <c r="K90" s="1">
        <v>2.0099999999999998</v>
      </c>
      <c r="M90" s="24">
        <f t="shared" si="7"/>
        <v>119.78999999999999</v>
      </c>
      <c r="N90" s="36">
        <f t="shared" si="8"/>
        <v>121.8</v>
      </c>
      <c r="O90" s="34">
        <f>IF(ISBLANK(A90),"",SUMIFS(I$3:I90,D$3:D90,D90,H$3:H90,"Buy")+SUMIFS(I$3:I90,D$3:D90,D90,H$3:H90,"Cash Deposit")+SUMIFS(I$3:I90,D$3:D90,D90,H$3:H90,"Crypto Deposit")+SUMIFS(I$3:I90,D$3:D90,D90,H$3:H90,"Airdrop/Rewards")-SUMIFS(I$3:I90,D$3:D90,D90,H$3:H90,"Sell"))</f>
        <v>1</v>
      </c>
      <c r="P90" s="2" cm="1">
        <f t="array" ref="P90">IF(ISBLANK(A90),"",IFERROR(IF(OR(H90="Sell",F90="Stable Coin"),INDEX(_xlfn._xlws.FILTER(P$2:P89, D$2:D89=D90),COUNT(_xlfn._xlws.FILTER(P$2:P89, D$2:D89=D90))),(INDEX(_xlfn._xlws.FILTER(P$2:P89, D$2:D89=D90),COUNT(_xlfn._xlws.FILTER(P$2:P89, D$2:D89=D90)))*INDEX(_xlfn._xlws.FILTER(O$2:O89, D$2:D89=D90),COUNT(_xlfn._xlws.FILTER(O$2:O89, D$2:D89=D90)))-N90) / O90), J90))</f>
        <v>111.2</v>
      </c>
      <c r="Q90" s="1" t="str">
        <f t="shared" si="9"/>
        <v>USD</v>
      </c>
      <c r="R90" s="1" cm="1">
        <f t="array" ref="R90">IF(A90="", "",
    IFERROR(
        _xlfn.SWITCH(
            TRUE,
            AND(Q90="USD", $Q$2="USD"), K90,
            AND(Q90="USD", $Q$2="GBP"), K90*$Z$3,
            AND(Q90="USD", $Q$2="HKD"), K90*$Z$4,
            AND(Q90="USD", $Q$2="EUR"), K90*$Z$5,
            AND(Q90="GBP", $Q$2="GBP"), K90,
            AND(Q90="GBP", $Q$2="USD"), K90*$Z$6,
            AND(Q90="GBP", $Q$2="HKD"), K90*$Z$7,
            AND(Q90="HKG", $Q$2="HKG"), K90,
            AND(Q90="HKD", $Q$2="USD"), K90*$Z$9,
            AND(Q90="HKD", $Q$2="GBP"), K90*$Z$10,
            AND(Q90="HKD", $Q$2="EUR"), K90*$Z$11,
            AND(Q90="EUR", $Q$2="EUR"), K90,
            AND(Q90="EUR", $Q$2="USD"), K90*$Z$12,
            AND(Q90="EUR", $Q$2="GBP"), K90*$Z$13,
            AND(Q90="EUR", $Q$2="HKD"), K90*$Z$14,
        ),
        0
    )
)</f>
        <v>2.0099999999999998</v>
      </c>
      <c r="S90" s="1" cm="1">
        <f t="array" ref="S90">IF(A90="", "",
    IFERROR(
        _xlfn.SWITCH(
            TRUE,
            AND(Q90="USD", $Q$2="USD"), M90,
            AND(Q90="USD", $Q$2="GBP"), M90*$Z$3,
            AND(Q90="USD", $Q$2="HKD"), M90*$Z$4,
            AND(Q90="USD", $Q$2="EUR"), M90*$Z$5,
            AND(Q90="GBP", $Q$2="GBP"), M90,
            AND(Q90="GBP", $Q$2="USD"), M90*$Z$6,
            AND(Q90="GBP", $Q$2="HKD"), M90*$Z$7,
            AND(Q90="GBP", $Q$2="HKD"), M90*$Z$8,
            AND(Q90="HKG", $Q$2="HKG"), M90,
            AND(Q90="HKD", $Q$2="USD"), M90*$Z$9,
            AND(Q90="HKD", $Q$2="GBP"), M90*$Z$10,
            AND(Q90="HKD", $Q$2="EUR"), M90*$Z$11,
            AND(Q90="EUR", $Q$2="EUR"), M90,
            AND(Q90="EUR", $Q$2="USD"), M90*$Z$12,
            AND(Q90="EUR", $Q$2="GBP"), M90*$Z$13,
            AND(Q90="EUR", $Q$2="HKD"), M90*$Z$14,
        ),
        0
    )
)</f>
        <v>119.78999999999999</v>
      </c>
      <c r="T90" s="1" t="str">
        <f t="shared" si="10"/>
        <v>13</v>
      </c>
      <c r="U90" s="9" t="str">
        <f t="shared" si="11"/>
        <v>03</v>
      </c>
      <c r="V90" s="1" t="str">
        <f t="shared" si="12"/>
        <v>2023</v>
      </c>
      <c r="W90" s="18" t="str">
        <f t="shared" si="13"/>
        <v>星期一</v>
      </c>
    </row>
    <row r="91" spans="1:23">
      <c r="A91" s="17" t="s">
        <v>399</v>
      </c>
      <c r="B91" s="1" t="s">
        <v>348</v>
      </c>
      <c r="C91" s="9">
        <v>44998</v>
      </c>
      <c r="D91" s="1" t="e" vm="17">
        <v>#VALUE!</v>
      </c>
      <c r="E91" s="1" t="s">
        <v>32</v>
      </c>
      <c r="F91" s="1" t="s">
        <v>401</v>
      </c>
      <c r="H91" s="1" t="s">
        <v>347</v>
      </c>
      <c r="I91" s="1">
        <v>3</v>
      </c>
      <c r="J91" s="27">
        <v>59.22</v>
      </c>
      <c r="K91" s="1">
        <v>2</v>
      </c>
      <c r="M91" s="24">
        <f t="shared" si="7"/>
        <v>177.66</v>
      </c>
      <c r="N91" s="36">
        <f t="shared" si="8"/>
        <v>-177.66</v>
      </c>
      <c r="O91" s="34">
        <f>IF(ISBLANK(A91),"",SUMIFS(I$3:I91,D$3:D91,D91,H$3:H91,"Buy")+SUMIFS(I$3:I91,D$3:D91,D91,H$3:H91,"Cash Deposit")+SUMIFS(I$3:I91,D$3:D91,D91,H$3:H91,"Crypto Deposit")+SUMIFS(I$3:I91,D$3:D91,D91,H$3:H91,"Airdrop/Rewards")-SUMIFS(I$3:I91,D$3:D91,D91,H$3:H91,"Sell"))</f>
        <v>25</v>
      </c>
      <c r="P91" s="2" cm="1">
        <f t="array" ref="P91">IF(ISBLANK(A91),"",IFERROR(IF(OR(H91="Sell",F91="Stable Coin"),INDEX(_xlfn._xlws.FILTER(P$2:P90, D$2:D90=D91),COUNT(_xlfn._xlws.FILTER(P$2:P90, D$2:D90=D91))),(INDEX(_xlfn._xlws.FILTER(P$2:P90, D$2:D90=D91),COUNT(_xlfn._xlws.FILTER(P$2:P90, D$2:D90=D91)))*INDEX(_xlfn._xlws.FILTER(O$2:O90, D$2:D90=D91),COUNT(_xlfn._xlws.FILTER(O$2:O90, D$2:D90=D91)))-N91) / O91), J91))</f>
        <v>61.134400000000014</v>
      </c>
      <c r="Q91" s="1" t="str">
        <f t="shared" si="9"/>
        <v>USD</v>
      </c>
      <c r="R91" s="1" cm="1">
        <f t="array" ref="R91">IF(A91="", "",
    IFERROR(
        _xlfn.SWITCH(
            TRUE,
            AND(Q91="USD", $Q$2="USD"), K91,
            AND(Q91="USD", $Q$2="GBP"), K91*$Z$3,
            AND(Q91="USD", $Q$2="HKD"), K91*$Z$4,
            AND(Q91="USD", $Q$2="EUR"), K91*$Z$5,
            AND(Q91="GBP", $Q$2="GBP"), K91,
            AND(Q91="GBP", $Q$2="USD"), K91*$Z$6,
            AND(Q91="GBP", $Q$2="HKD"), K91*$Z$7,
            AND(Q91="HKG", $Q$2="HKG"), K91,
            AND(Q91="HKD", $Q$2="USD"), K91*$Z$9,
            AND(Q91="HKD", $Q$2="GBP"), K91*$Z$10,
            AND(Q91="HKD", $Q$2="EUR"), K91*$Z$11,
            AND(Q91="EUR", $Q$2="EUR"), K91,
            AND(Q91="EUR", $Q$2="USD"), K91*$Z$12,
            AND(Q91="EUR", $Q$2="GBP"), K91*$Z$13,
            AND(Q91="EUR", $Q$2="HKD"), K91*$Z$14,
        ),
        0
    )
)</f>
        <v>2</v>
      </c>
      <c r="S91" s="1" cm="1">
        <f t="array" ref="S91">IF(A91="", "",
    IFERROR(
        _xlfn.SWITCH(
            TRUE,
            AND(Q91="USD", $Q$2="USD"), M91,
            AND(Q91="USD", $Q$2="GBP"), M91*$Z$3,
            AND(Q91="USD", $Q$2="HKD"), M91*$Z$4,
            AND(Q91="USD", $Q$2="EUR"), M91*$Z$5,
            AND(Q91="GBP", $Q$2="GBP"), M91,
            AND(Q91="GBP", $Q$2="USD"), M91*$Z$6,
            AND(Q91="GBP", $Q$2="HKD"), M91*$Z$7,
            AND(Q91="GBP", $Q$2="HKD"), M91*$Z$8,
            AND(Q91="HKG", $Q$2="HKG"), M91,
            AND(Q91="HKD", $Q$2="USD"), M91*$Z$9,
            AND(Q91="HKD", $Q$2="GBP"), M91*$Z$10,
            AND(Q91="HKD", $Q$2="EUR"), M91*$Z$11,
            AND(Q91="EUR", $Q$2="EUR"), M91,
            AND(Q91="EUR", $Q$2="USD"), M91*$Z$12,
            AND(Q91="EUR", $Q$2="GBP"), M91*$Z$13,
            AND(Q91="EUR", $Q$2="HKD"), M91*$Z$14,
        ),
        0
    )
)</f>
        <v>177.66</v>
      </c>
      <c r="T91" s="1" t="str">
        <f t="shared" si="10"/>
        <v>13</v>
      </c>
      <c r="U91" s="9" t="str">
        <f t="shared" si="11"/>
        <v>03</v>
      </c>
      <c r="V91" s="1" t="str">
        <f t="shared" si="12"/>
        <v>2023</v>
      </c>
      <c r="W91" s="18" t="str">
        <f t="shared" si="13"/>
        <v>星期一</v>
      </c>
    </row>
    <row r="92" spans="1:23">
      <c r="A92" s="17" t="s">
        <v>399</v>
      </c>
      <c r="B92" s="1" t="s">
        <v>348</v>
      </c>
      <c r="C92" s="9">
        <v>45001</v>
      </c>
      <c r="D92" s="1" t="e" vm="18">
        <v>#VALUE!</v>
      </c>
      <c r="E92" s="1" t="s">
        <v>400</v>
      </c>
      <c r="F92" s="1" t="s">
        <v>401</v>
      </c>
      <c r="H92" s="1" t="s">
        <v>347</v>
      </c>
      <c r="I92" s="1">
        <v>2</v>
      </c>
      <c r="J92" s="27">
        <v>75.150000000000006</v>
      </c>
      <c r="K92" s="1">
        <v>2</v>
      </c>
      <c r="M92" s="24">
        <f t="shared" si="7"/>
        <v>150.30000000000001</v>
      </c>
      <c r="N92" s="36">
        <f t="shared" si="8"/>
        <v>-150.30000000000001</v>
      </c>
      <c r="O92" s="34">
        <f>IF(ISBLANK(A92),"",SUMIFS(I$3:I92,D$3:D92,D92,H$3:H92,"Buy")+SUMIFS(I$3:I92,D$3:D92,D92,H$3:H92,"Cash Deposit")+SUMIFS(I$3:I92,D$3:D92,D92,H$3:H92,"Crypto Deposit")+SUMIFS(I$3:I92,D$3:D92,D92,H$3:H92,"Airdrop/Rewards")-SUMIFS(I$3:I92,D$3:D92,D92,H$3:H92,"Sell"))</f>
        <v>2</v>
      </c>
      <c r="P92" s="2" cm="1">
        <f t="array" ref="P92">IF(ISBLANK(A92),"",IFERROR(IF(OR(H92="Sell",F92="Stable Coin"),INDEX(_xlfn._xlws.FILTER(P$2:P91, D$2:D91=D92),COUNT(_xlfn._xlws.FILTER(P$2:P91, D$2:D91=D92))),(INDEX(_xlfn._xlws.FILTER(P$2:P91, D$2:D91=D92),COUNT(_xlfn._xlws.FILTER(P$2:P91, D$2:D91=D92)))*INDEX(_xlfn._xlws.FILTER(O$2:O91, D$2:D91=D92),COUNT(_xlfn._xlws.FILTER(O$2:O91, D$2:D91=D92)))-N92) / O92), J92))</f>
        <v>75.150000000000006</v>
      </c>
      <c r="Q92" s="1" t="str">
        <f t="shared" si="9"/>
        <v>USD</v>
      </c>
      <c r="R92" s="1" cm="1">
        <f t="array" ref="R92">IF(A92="", "",
    IFERROR(
        _xlfn.SWITCH(
            TRUE,
            AND(Q92="USD", $Q$2="USD"), K92,
            AND(Q92="USD", $Q$2="GBP"), K92*$Z$3,
            AND(Q92="USD", $Q$2="HKD"), K92*$Z$4,
            AND(Q92="USD", $Q$2="EUR"), K92*$Z$5,
            AND(Q92="GBP", $Q$2="GBP"), K92,
            AND(Q92="GBP", $Q$2="USD"), K92*$Z$6,
            AND(Q92="GBP", $Q$2="HKD"), K92*$Z$7,
            AND(Q92="HKG", $Q$2="HKG"), K92,
            AND(Q92="HKD", $Q$2="USD"), K92*$Z$9,
            AND(Q92="HKD", $Q$2="GBP"), K92*$Z$10,
            AND(Q92="HKD", $Q$2="EUR"), K92*$Z$11,
            AND(Q92="EUR", $Q$2="EUR"), K92,
            AND(Q92="EUR", $Q$2="USD"), K92*$Z$12,
            AND(Q92="EUR", $Q$2="GBP"), K92*$Z$13,
            AND(Q92="EUR", $Q$2="HKD"), K92*$Z$14,
        ),
        0
    )
)</f>
        <v>2</v>
      </c>
      <c r="S92" s="1" cm="1">
        <f t="array" ref="S92">IF(A92="", "",
    IFERROR(
        _xlfn.SWITCH(
            TRUE,
            AND(Q92="USD", $Q$2="USD"), M92,
            AND(Q92="USD", $Q$2="GBP"), M92*$Z$3,
            AND(Q92="USD", $Q$2="HKD"), M92*$Z$4,
            AND(Q92="USD", $Q$2="EUR"), M92*$Z$5,
            AND(Q92="GBP", $Q$2="GBP"), M92,
            AND(Q92="GBP", $Q$2="USD"), M92*$Z$6,
            AND(Q92="GBP", $Q$2="HKD"), M92*$Z$7,
            AND(Q92="GBP", $Q$2="HKD"), M92*$Z$8,
            AND(Q92="HKG", $Q$2="HKG"), M92,
            AND(Q92="HKD", $Q$2="USD"), M92*$Z$9,
            AND(Q92="HKD", $Q$2="GBP"), M92*$Z$10,
            AND(Q92="HKD", $Q$2="EUR"), M92*$Z$11,
            AND(Q92="EUR", $Q$2="EUR"), M92,
            AND(Q92="EUR", $Q$2="USD"), M92*$Z$12,
            AND(Q92="EUR", $Q$2="GBP"), M92*$Z$13,
            AND(Q92="EUR", $Q$2="HKD"), M92*$Z$14,
        ),
        0
    )
)</f>
        <v>150.30000000000001</v>
      </c>
      <c r="T92" s="1" t="str">
        <f t="shared" si="10"/>
        <v>16</v>
      </c>
      <c r="U92" s="9" t="str">
        <f t="shared" si="11"/>
        <v>03</v>
      </c>
      <c r="V92" s="1" t="str">
        <f t="shared" si="12"/>
        <v>2023</v>
      </c>
      <c r="W92" s="18" t="str">
        <f t="shared" si="13"/>
        <v>星期四</v>
      </c>
    </row>
    <row r="93" spans="1:23">
      <c r="A93" s="17" t="s">
        <v>399</v>
      </c>
      <c r="B93" s="1" t="s">
        <v>348</v>
      </c>
      <c r="C93" s="9">
        <v>45005</v>
      </c>
      <c r="D93" s="1" t="e" vm="19">
        <v>#VALUE!</v>
      </c>
      <c r="E93" s="1" t="s">
        <v>412</v>
      </c>
      <c r="F93" s="1" t="s">
        <v>411</v>
      </c>
      <c r="H93" s="1" t="s">
        <v>367</v>
      </c>
      <c r="I93" s="1">
        <v>10</v>
      </c>
      <c r="J93" s="27">
        <v>38.049999999999997</v>
      </c>
      <c r="K93" s="1">
        <v>2.04</v>
      </c>
      <c r="M93" s="24">
        <f t="shared" si="7"/>
        <v>378.46</v>
      </c>
      <c r="N93" s="36">
        <f t="shared" si="8"/>
        <v>380.5</v>
      </c>
      <c r="O93" s="34">
        <f>IF(ISBLANK(A93),"",SUMIFS(I$3:I93,D$3:D93,D93,H$3:H93,"Buy")+SUMIFS(I$3:I93,D$3:D93,D93,H$3:H93,"Cash Deposit")+SUMIFS(I$3:I93,D$3:D93,D93,H$3:H93,"Crypto Deposit")+SUMIFS(I$3:I93,D$3:D93,D93,H$3:H93,"Airdrop/Rewards")-SUMIFS(I$3:I93,D$3:D93,D93,H$3:H93,"Sell"))</f>
        <v>-10</v>
      </c>
      <c r="P93" s="2" cm="1">
        <f t="array" ref="P93">IF(ISBLANK(A93),"",IFERROR(IF(OR(H93="Sell",F93="Stable Coin"),INDEX(_xlfn._xlws.FILTER(P$2:P92, D$2:D92=D93),COUNT(_xlfn._xlws.FILTER(P$2:P92, D$2:D92=D93))),(INDEX(_xlfn._xlws.FILTER(P$2:P92, D$2:D92=D93),COUNT(_xlfn._xlws.FILTER(P$2:P92, D$2:D92=D93)))*INDEX(_xlfn._xlws.FILTER(O$2:O92, D$2:D92=D93),COUNT(_xlfn._xlws.FILTER(O$2:O92, D$2:D92=D93)))-N93) / O93), J93))</f>
        <v>38.049999999999997</v>
      </c>
      <c r="Q93" s="1" t="str">
        <f t="shared" si="9"/>
        <v>USD</v>
      </c>
      <c r="R93" s="1" cm="1">
        <f t="array" ref="R93">IF(A93="", "",
    IFERROR(
        _xlfn.SWITCH(
            TRUE,
            AND(Q93="USD", $Q$2="USD"), K93,
            AND(Q93="USD", $Q$2="GBP"), K93*$Z$3,
            AND(Q93="USD", $Q$2="HKD"), K93*$Z$4,
            AND(Q93="USD", $Q$2="EUR"), K93*$Z$5,
            AND(Q93="GBP", $Q$2="GBP"), K93,
            AND(Q93="GBP", $Q$2="USD"), K93*$Z$6,
            AND(Q93="GBP", $Q$2="HKD"), K93*$Z$7,
            AND(Q93="HKG", $Q$2="HKG"), K93,
            AND(Q93="HKD", $Q$2="USD"), K93*$Z$9,
            AND(Q93="HKD", $Q$2="GBP"), K93*$Z$10,
            AND(Q93="HKD", $Q$2="EUR"), K93*$Z$11,
            AND(Q93="EUR", $Q$2="EUR"), K93,
            AND(Q93="EUR", $Q$2="USD"), K93*$Z$12,
            AND(Q93="EUR", $Q$2="GBP"), K93*$Z$13,
            AND(Q93="EUR", $Q$2="HKD"), K93*$Z$14,
        ),
        0
    )
)</f>
        <v>2.04</v>
      </c>
      <c r="S93" s="1" cm="1">
        <f t="array" ref="S93">IF(A93="", "",
    IFERROR(
        _xlfn.SWITCH(
            TRUE,
            AND(Q93="USD", $Q$2="USD"), M93,
            AND(Q93="USD", $Q$2="GBP"), M93*$Z$3,
            AND(Q93="USD", $Q$2="HKD"), M93*$Z$4,
            AND(Q93="USD", $Q$2="EUR"), M93*$Z$5,
            AND(Q93="GBP", $Q$2="GBP"), M93,
            AND(Q93="GBP", $Q$2="USD"), M93*$Z$6,
            AND(Q93="GBP", $Q$2="HKD"), M93*$Z$7,
            AND(Q93="GBP", $Q$2="HKD"), M93*$Z$8,
            AND(Q93="HKG", $Q$2="HKG"), M93,
            AND(Q93="HKD", $Q$2="USD"), M93*$Z$9,
            AND(Q93="HKD", $Q$2="GBP"), M93*$Z$10,
            AND(Q93="HKD", $Q$2="EUR"), M93*$Z$11,
            AND(Q93="EUR", $Q$2="EUR"), M93,
            AND(Q93="EUR", $Q$2="USD"), M93*$Z$12,
            AND(Q93="EUR", $Q$2="GBP"), M93*$Z$13,
            AND(Q93="EUR", $Q$2="HKD"), M93*$Z$14,
        ),
        0
    )
)</f>
        <v>378.46</v>
      </c>
      <c r="T93" s="1" t="str">
        <f t="shared" si="10"/>
        <v>20</v>
      </c>
      <c r="U93" s="9" t="str">
        <f t="shared" si="11"/>
        <v>03</v>
      </c>
      <c r="V93" s="1" t="str">
        <f t="shared" si="12"/>
        <v>2023</v>
      </c>
      <c r="W93" s="18" t="str">
        <f t="shared" si="13"/>
        <v>星期一</v>
      </c>
    </row>
    <row r="94" spans="1:23">
      <c r="A94" s="17" t="s">
        <v>399</v>
      </c>
      <c r="B94" s="1" t="s">
        <v>348</v>
      </c>
      <c r="C94" s="9">
        <v>45005</v>
      </c>
      <c r="D94" s="1" t="e" vm="19">
        <v>#VALUE!</v>
      </c>
      <c r="E94" s="1" t="s">
        <v>412</v>
      </c>
      <c r="F94" s="1" t="s">
        <v>411</v>
      </c>
      <c r="H94" s="1" t="s">
        <v>347</v>
      </c>
      <c r="I94" s="1">
        <v>10</v>
      </c>
      <c r="J94" s="27">
        <v>38.6</v>
      </c>
      <c r="K94" s="1">
        <v>2.02</v>
      </c>
      <c r="M94" s="24">
        <f t="shared" si="7"/>
        <v>386</v>
      </c>
      <c r="N94" s="36">
        <f t="shared" si="8"/>
        <v>-386</v>
      </c>
      <c r="O94" s="34">
        <f>IF(ISBLANK(A94),"",SUMIFS(I$3:I94,D$3:D94,D94,H$3:H94,"Buy")+SUMIFS(I$3:I94,D$3:D94,D94,H$3:H94,"Cash Deposit")+SUMIFS(I$3:I94,D$3:D94,D94,H$3:H94,"Crypto Deposit")+SUMIFS(I$3:I94,D$3:D94,D94,H$3:H94,"Airdrop/Rewards")-SUMIFS(I$3:I94,D$3:D94,D94,H$3:H94,"Sell"))</f>
        <v>0</v>
      </c>
      <c r="P94" s="2" cm="1">
        <f t="array" ref="P94">IF(ISBLANK(A94),"",IFERROR(IF(OR(H94="Sell",F94="Stable Coin"),INDEX(_xlfn._xlws.FILTER(P$2:P93, D$2:D93=D94),COUNT(_xlfn._xlws.FILTER(P$2:P93, D$2:D93=D94))),(INDEX(_xlfn._xlws.FILTER(P$2:P93, D$2:D93=D94),COUNT(_xlfn._xlws.FILTER(P$2:P93, D$2:D93=D94)))*INDEX(_xlfn._xlws.FILTER(O$2:O93, D$2:D93=D94),COUNT(_xlfn._xlws.FILTER(O$2:O93, D$2:D93=D94)))-N94) / O94), J94))</f>
        <v>38.6</v>
      </c>
      <c r="Q94" s="1" t="str">
        <f t="shared" si="9"/>
        <v>USD</v>
      </c>
      <c r="R94" s="1" cm="1">
        <f t="array" ref="R94">IF(A94="", "",
    IFERROR(
        _xlfn.SWITCH(
            TRUE,
            AND(Q94="USD", $Q$2="USD"), K94,
            AND(Q94="USD", $Q$2="GBP"), K94*$Z$3,
            AND(Q94="USD", $Q$2="HKD"), K94*$Z$4,
            AND(Q94="USD", $Q$2="EUR"), K94*$Z$5,
            AND(Q94="GBP", $Q$2="GBP"), K94,
            AND(Q94="GBP", $Q$2="USD"), K94*$Z$6,
            AND(Q94="GBP", $Q$2="HKD"), K94*$Z$7,
            AND(Q94="HKG", $Q$2="HKG"), K94,
            AND(Q94="HKD", $Q$2="USD"), K94*$Z$9,
            AND(Q94="HKD", $Q$2="GBP"), K94*$Z$10,
            AND(Q94="HKD", $Q$2="EUR"), K94*$Z$11,
            AND(Q94="EUR", $Q$2="EUR"), K94,
            AND(Q94="EUR", $Q$2="USD"), K94*$Z$12,
            AND(Q94="EUR", $Q$2="GBP"), K94*$Z$13,
            AND(Q94="EUR", $Q$2="HKD"), K94*$Z$14,
        ),
        0
    )
)</f>
        <v>2.02</v>
      </c>
      <c r="S94" s="1" cm="1">
        <f t="array" ref="S94">IF(A94="", "",
    IFERROR(
        _xlfn.SWITCH(
            TRUE,
            AND(Q94="USD", $Q$2="USD"), M94,
            AND(Q94="USD", $Q$2="GBP"), M94*$Z$3,
            AND(Q94="USD", $Q$2="HKD"), M94*$Z$4,
            AND(Q94="USD", $Q$2="EUR"), M94*$Z$5,
            AND(Q94="GBP", $Q$2="GBP"), M94,
            AND(Q94="GBP", $Q$2="USD"), M94*$Z$6,
            AND(Q94="GBP", $Q$2="HKD"), M94*$Z$7,
            AND(Q94="GBP", $Q$2="HKD"), M94*$Z$8,
            AND(Q94="HKG", $Q$2="HKG"), M94,
            AND(Q94="HKD", $Q$2="USD"), M94*$Z$9,
            AND(Q94="HKD", $Q$2="GBP"), M94*$Z$10,
            AND(Q94="HKD", $Q$2="EUR"), M94*$Z$11,
            AND(Q94="EUR", $Q$2="EUR"), M94,
            AND(Q94="EUR", $Q$2="USD"), M94*$Z$12,
            AND(Q94="EUR", $Q$2="GBP"), M94*$Z$13,
            AND(Q94="EUR", $Q$2="HKD"), M94*$Z$14,
        ),
        0
    )
)</f>
        <v>386</v>
      </c>
      <c r="T94" s="1" t="str">
        <f t="shared" si="10"/>
        <v>20</v>
      </c>
      <c r="U94" s="9" t="str">
        <f t="shared" si="11"/>
        <v>03</v>
      </c>
      <c r="V94" s="1" t="str">
        <f t="shared" si="12"/>
        <v>2023</v>
      </c>
      <c r="W94" s="18" t="str">
        <f t="shared" si="13"/>
        <v>星期一</v>
      </c>
    </row>
    <row r="95" spans="1:23">
      <c r="A95" s="17" t="s">
        <v>399</v>
      </c>
      <c r="B95" s="1" t="s">
        <v>348</v>
      </c>
      <c r="C95" s="9">
        <v>45008</v>
      </c>
      <c r="D95" s="1" t="e" vm="17">
        <v>#VALUE!</v>
      </c>
      <c r="E95" s="1" t="s">
        <v>32</v>
      </c>
      <c r="F95" s="1" t="s">
        <v>401</v>
      </c>
      <c r="H95" s="1" t="s">
        <v>347</v>
      </c>
      <c r="I95" s="1">
        <v>2</v>
      </c>
      <c r="J95" s="27">
        <v>67.5</v>
      </c>
      <c r="K95" s="1">
        <v>2</v>
      </c>
      <c r="M95" s="24">
        <f t="shared" si="7"/>
        <v>135</v>
      </c>
      <c r="N95" s="36">
        <f t="shared" si="8"/>
        <v>-135</v>
      </c>
      <c r="O95" s="34">
        <f>IF(ISBLANK(A95),"",SUMIFS(I$3:I95,D$3:D95,D95,H$3:H95,"Buy")+SUMIFS(I$3:I95,D$3:D95,D95,H$3:H95,"Cash Deposit")+SUMIFS(I$3:I95,D$3:D95,D95,H$3:H95,"Crypto Deposit")+SUMIFS(I$3:I95,D$3:D95,D95,H$3:H95,"Airdrop/Rewards")-SUMIFS(I$3:I95,D$3:D95,D95,H$3:H95,"Sell"))</f>
        <v>27</v>
      </c>
      <c r="P95" s="2" cm="1">
        <f t="array" ref="P95">IF(ISBLANK(A95),"",IFERROR(IF(OR(H95="Sell",F95="Stable Coin"),INDEX(_xlfn._xlws.FILTER(P$2:P94, D$2:D94=D95),COUNT(_xlfn._xlws.FILTER(P$2:P94, D$2:D94=D95))),(INDEX(_xlfn._xlws.FILTER(P$2:P94, D$2:D94=D95),COUNT(_xlfn._xlws.FILTER(P$2:P94, D$2:D94=D95)))*INDEX(_xlfn._xlws.FILTER(O$2:O94, D$2:D94=D95),COUNT(_xlfn._xlws.FILTER(O$2:O94, D$2:D94=D95)))-N95) / O95), J95))</f>
        <v>61.605925925925938</v>
      </c>
      <c r="Q95" s="1" t="str">
        <f t="shared" si="9"/>
        <v>USD</v>
      </c>
      <c r="R95" s="1" cm="1">
        <f t="array" ref="R95">IF(A95="", "",
    IFERROR(
        _xlfn.SWITCH(
            TRUE,
            AND(Q95="USD", $Q$2="USD"), K95,
            AND(Q95="USD", $Q$2="GBP"), K95*$Z$3,
            AND(Q95="USD", $Q$2="HKD"), K95*$Z$4,
            AND(Q95="USD", $Q$2="EUR"), K95*$Z$5,
            AND(Q95="GBP", $Q$2="GBP"), K95,
            AND(Q95="GBP", $Q$2="USD"), K95*$Z$6,
            AND(Q95="GBP", $Q$2="HKD"), K95*$Z$7,
            AND(Q95="HKG", $Q$2="HKG"), K95,
            AND(Q95="HKD", $Q$2="USD"), K95*$Z$9,
            AND(Q95="HKD", $Q$2="GBP"), K95*$Z$10,
            AND(Q95="HKD", $Q$2="EUR"), K95*$Z$11,
            AND(Q95="EUR", $Q$2="EUR"), K95,
            AND(Q95="EUR", $Q$2="USD"), K95*$Z$12,
            AND(Q95="EUR", $Q$2="GBP"), K95*$Z$13,
            AND(Q95="EUR", $Q$2="HKD"), K95*$Z$14,
        ),
        0
    )
)</f>
        <v>2</v>
      </c>
      <c r="S95" s="1" cm="1">
        <f t="array" ref="S95">IF(A95="", "",
    IFERROR(
        _xlfn.SWITCH(
            TRUE,
            AND(Q95="USD", $Q$2="USD"), M95,
            AND(Q95="USD", $Q$2="GBP"), M95*$Z$3,
            AND(Q95="USD", $Q$2="HKD"), M95*$Z$4,
            AND(Q95="USD", $Q$2="EUR"), M95*$Z$5,
            AND(Q95="GBP", $Q$2="GBP"), M95,
            AND(Q95="GBP", $Q$2="USD"), M95*$Z$6,
            AND(Q95="GBP", $Q$2="HKD"), M95*$Z$7,
            AND(Q95="GBP", $Q$2="HKD"), M95*$Z$8,
            AND(Q95="HKG", $Q$2="HKG"), M95,
            AND(Q95="HKD", $Q$2="USD"), M95*$Z$9,
            AND(Q95="HKD", $Q$2="GBP"), M95*$Z$10,
            AND(Q95="HKD", $Q$2="EUR"), M95*$Z$11,
            AND(Q95="EUR", $Q$2="EUR"), M95,
            AND(Q95="EUR", $Q$2="USD"), M95*$Z$12,
            AND(Q95="EUR", $Q$2="GBP"), M95*$Z$13,
            AND(Q95="EUR", $Q$2="HKD"), M95*$Z$14,
        ),
        0
    )
)</f>
        <v>135</v>
      </c>
      <c r="T95" s="1" t="str">
        <f t="shared" si="10"/>
        <v>23</v>
      </c>
      <c r="U95" s="9" t="str">
        <f t="shared" si="11"/>
        <v>03</v>
      </c>
      <c r="V95" s="1" t="str">
        <f t="shared" si="12"/>
        <v>2023</v>
      </c>
      <c r="W95" s="18" t="str">
        <f t="shared" si="13"/>
        <v>星期四</v>
      </c>
    </row>
    <row r="96" spans="1:23">
      <c r="A96" s="17" t="s">
        <v>399</v>
      </c>
      <c r="B96" s="1" t="s">
        <v>348</v>
      </c>
      <c r="C96" s="9">
        <v>45009</v>
      </c>
      <c r="D96" s="1" t="e" vm="17">
        <v>#VALUE!</v>
      </c>
      <c r="E96" s="1" t="s">
        <v>32</v>
      </c>
      <c r="F96" s="1" t="s">
        <v>401</v>
      </c>
      <c r="H96" s="1" t="s">
        <v>347</v>
      </c>
      <c r="I96" s="1">
        <v>3</v>
      </c>
      <c r="J96" s="27">
        <v>67.349999999999994</v>
      </c>
      <c r="K96" s="1">
        <v>2</v>
      </c>
      <c r="M96" s="24">
        <f t="shared" si="7"/>
        <v>202.04999999999998</v>
      </c>
      <c r="N96" s="36">
        <f t="shared" si="8"/>
        <v>-202.04999999999998</v>
      </c>
      <c r="O96" s="34">
        <f>IF(ISBLANK(A96),"",SUMIFS(I$3:I96,D$3:D96,D96,H$3:H96,"Buy")+SUMIFS(I$3:I96,D$3:D96,D96,H$3:H96,"Cash Deposit")+SUMIFS(I$3:I96,D$3:D96,D96,H$3:H96,"Crypto Deposit")+SUMIFS(I$3:I96,D$3:D96,D96,H$3:H96,"Airdrop/Rewards")-SUMIFS(I$3:I96,D$3:D96,D96,H$3:H96,"Sell"))</f>
        <v>30</v>
      </c>
      <c r="P96" s="2" cm="1">
        <f t="array" ref="P96">IF(ISBLANK(A96),"",IFERROR(IF(OR(H96="Sell",F96="Stable Coin"),INDEX(_xlfn._xlws.FILTER(P$2:P95, D$2:D95=D96),COUNT(_xlfn._xlws.FILTER(P$2:P95, D$2:D95=D96))),(INDEX(_xlfn._xlws.FILTER(P$2:P95, D$2:D95=D96),COUNT(_xlfn._xlws.FILTER(P$2:P95, D$2:D95=D96)))*INDEX(_xlfn._xlws.FILTER(O$2:O95, D$2:D95=D96),COUNT(_xlfn._xlws.FILTER(O$2:O95, D$2:D95=D96)))-N96) / O96), J96))</f>
        <v>62.180333333333344</v>
      </c>
      <c r="Q96" s="1" t="str">
        <f t="shared" si="9"/>
        <v>USD</v>
      </c>
      <c r="R96" s="1" cm="1">
        <f t="array" ref="R96">IF(A96="", "",
    IFERROR(
        _xlfn.SWITCH(
            TRUE,
            AND(Q96="USD", $Q$2="USD"), K96,
            AND(Q96="USD", $Q$2="GBP"), K96*$Z$3,
            AND(Q96="USD", $Q$2="HKD"), K96*$Z$4,
            AND(Q96="USD", $Q$2="EUR"), K96*$Z$5,
            AND(Q96="GBP", $Q$2="GBP"), K96,
            AND(Q96="GBP", $Q$2="USD"), K96*$Z$6,
            AND(Q96="GBP", $Q$2="HKD"), K96*$Z$7,
            AND(Q96="HKG", $Q$2="HKG"), K96,
            AND(Q96="HKD", $Q$2="USD"), K96*$Z$9,
            AND(Q96="HKD", $Q$2="GBP"), K96*$Z$10,
            AND(Q96="HKD", $Q$2="EUR"), K96*$Z$11,
            AND(Q96="EUR", $Q$2="EUR"), K96,
            AND(Q96="EUR", $Q$2="USD"), K96*$Z$12,
            AND(Q96="EUR", $Q$2="GBP"), K96*$Z$13,
            AND(Q96="EUR", $Q$2="HKD"), K96*$Z$14,
        ),
        0
    )
)</f>
        <v>2</v>
      </c>
      <c r="S96" s="1" cm="1">
        <f t="array" ref="S96">IF(A96="", "",
    IFERROR(
        _xlfn.SWITCH(
            TRUE,
            AND(Q96="USD", $Q$2="USD"), M96,
            AND(Q96="USD", $Q$2="GBP"), M96*$Z$3,
            AND(Q96="USD", $Q$2="HKD"), M96*$Z$4,
            AND(Q96="USD", $Q$2="EUR"), M96*$Z$5,
            AND(Q96="GBP", $Q$2="GBP"), M96,
            AND(Q96="GBP", $Q$2="USD"), M96*$Z$6,
            AND(Q96="GBP", $Q$2="HKD"), M96*$Z$7,
            AND(Q96="GBP", $Q$2="HKD"), M96*$Z$8,
            AND(Q96="HKG", $Q$2="HKG"), M96,
            AND(Q96="HKD", $Q$2="USD"), M96*$Z$9,
            AND(Q96="HKD", $Q$2="GBP"), M96*$Z$10,
            AND(Q96="HKD", $Q$2="EUR"), M96*$Z$11,
            AND(Q96="EUR", $Q$2="EUR"), M96,
            AND(Q96="EUR", $Q$2="USD"), M96*$Z$12,
            AND(Q96="EUR", $Q$2="GBP"), M96*$Z$13,
            AND(Q96="EUR", $Q$2="HKD"), M96*$Z$14,
        ),
        0
    )
)</f>
        <v>202.04999999999998</v>
      </c>
      <c r="T96" s="1" t="str">
        <f t="shared" si="10"/>
        <v>24</v>
      </c>
      <c r="U96" s="9" t="str">
        <f t="shared" si="11"/>
        <v>03</v>
      </c>
      <c r="V96" s="1" t="str">
        <f t="shared" si="12"/>
        <v>2023</v>
      </c>
      <c r="W96" s="18" t="str">
        <f t="shared" si="13"/>
        <v>星期五</v>
      </c>
    </row>
    <row r="97" spans="1:23">
      <c r="A97" s="17" t="s">
        <v>399</v>
      </c>
      <c r="B97" s="1" t="s">
        <v>348</v>
      </c>
      <c r="C97" s="9">
        <v>45012</v>
      </c>
      <c r="D97" s="1" t="e" vm="17">
        <v>#VALUE!</v>
      </c>
      <c r="E97" s="1" t="s">
        <v>32</v>
      </c>
      <c r="F97" s="1" t="s">
        <v>401</v>
      </c>
      <c r="H97" s="1" t="s">
        <v>347</v>
      </c>
      <c r="I97" s="1">
        <v>4</v>
      </c>
      <c r="J97" s="27">
        <v>61</v>
      </c>
      <c r="K97" s="1">
        <v>2</v>
      </c>
      <c r="M97" s="24">
        <f t="shared" si="7"/>
        <v>244</v>
      </c>
      <c r="N97" s="36">
        <f t="shared" si="8"/>
        <v>-244</v>
      </c>
      <c r="O97" s="34">
        <f>IF(ISBLANK(A97),"",SUMIFS(I$3:I97,D$3:D97,D97,H$3:H97,"Buy")+SUMIFS(I$3:I97,D$3:D97,D97,H$3:H97,"Cash Deposit")+SUMIFS(I$3:I97,D$3:D97,D97,H$3:H97,"Crypto Deposit")+SUMIFS(I$3:I97,D$3:D97,D97,H$3:H97,"Airdrop/Rewards")-SUMIFS(I$3:I97,D$3:D97,D97,H$3:H97,"Sell"))</f>
        <v>34</v>
      </c>
      <c r="P97" s="2" cm="1">
        <f t="array" ref="P97">IF(ISBLANK(A97),"",IFERROR(IF(OR(H97="Sell",F97="Stable Coin"),INDEX(_xlfn._xlws.FILTER(P$2:P96, D$2:D96=D97),COUNT(_xlfn._xlws.FILTER(P$2:P96, D$2:D96=D97))),(INDEX(_xlfn._xlws.FILTER(P$2:P96, D$2:D96=D97),COUNT(_xlfn._xlws.FILTER(P$2:P96, D$2:D96=D97)))*INDEX(_xlfn._xlws.FILTER(O$2:O96, D$2:D96=D97),COUNT(_xlfn._xlws.FILTER(O$2:O96, D$2:D96=D97)))-N97) / O97), J97))</f>
        <v>62.041470588235306</v>
      </c>
      <c r="Q97" s="1" t="str">
        <f t="shared" si="9"/>
        <v>USD</v>
      </c>
      <c r="R97" s="1" cm="1">
        <f t="array" ref="R97">IF(A97="", "",
    IFERROR(
        _xlfn.SWITCH(
            TRUE,
            AND(Q97="USD", $Q$2="USD"), K97,
            AND(Q97="USD", $Q$2="GBP"), K97*$Z$3,
            AND(Q97="USD", $Q$2="HKD"), K97*$Z$4,
            AND(Q97="USD", $Q$2="EUR"), K97*$Z$5,
            AND(Q97="GBP", $Q$2="GBP"), K97,
            AND(Q97="GBP", $Q$2="USD"), K97*$Z$6,
            AND(Q97="GBP", $Q$2="HKD"), K97*$Z$7,
            AND(Q97="HKG", $Q$2="HKG"), K97,
            AND(Q97="HKD", $Q$2="USD"), K97*$Z$9,
            AND(Q97="HKD", $Q$2="GBP"), K97*$Z$10,
            AND(Q97="HKD", $Q$2="EUR"), K97*$Z$11,
            AND(Q97="EUR", $Q$2="EUR"), K97,
            AND(Q97="EUR", $Q$2="USD"), K97*$Z$12,
            AND(Q97="EUR", $Q$2="GBP"), K97*$Z$13,
            AND(Q97="EUR", $Q$2="HKD"), K97*$Z$14,
        ),
        0
    )
)</f>
        <v>2</v>
      </c>
      <c r="S97" s="1" cm="1">
        <f t="array" ref="S97">IF(A97="", "",
    IFERROR(
        _xlfn.SWITCH(
            TRUE,
            AND(Q97="USD", $Q$2="USD"), M97,
            AND(Q97="USD", $Q$2="GBP"), M97*$Z$3,
            AND(Q97="USD", $Q$2="HKD"), M97*$Z$4,
            AND(Q97="USD", $Q$2="EUR"), M97*$Z$5,
            AND(Q97="GBP", $Q$2="GBP"), M97,
            AND(Q97="GBP", $Q$2="USD"), M97*$Z$6,
            AND(Q97="GBP", $Q$2="HKD"), M97*$Z$7,
            AND(Q97="GBP", $Q$2="HKD"), M97*$Z$8,
            AND(Q97="HKG", $Q$2="HKG"), M97,
            AND(Q97="HKD", $Q$2="USD"), M97*$Z$9,
            AND(Q97="HKD", $Q$2="GBP"), M97*$Z$10,
            AND(Q97="HKD", $Q$2="EUR"), M97*$Z$11,
            AND(Q97="EUR", $Q$2="EUR"), M97,
            AND(Q97="EUR", $Q$2="USD"), M97*$Z$12,
            AND(Q97="EUR", $Q$2="GBP"), M97*$Z$13,
            AND(Q97="EUR", $Q$2="HKD"), M97*$Z$14,
        ),
        0
    )
)</f>
        <v>244</v>
      </c>
      <c r="T97" s="1" t="str">
        <f t="shared" si="10"/>
        <v>27</v>
      </c>
      <c r="U97" s="9" t="str">
        <f t="shared" si="11"/>
        <v>03</v>
      </c>
      <c r="V97" s="1" t="str">
        <f t="shared" si="12"/>
        <v>2023</v>
      </c>
      <c r="W97" s="18" t="str">
        <f t="shared" si="13"/>
        <v>星期一</v>
      </c>
    </row>
    <row r="98" spans="1:23">
      <c r="A98" s="17" t="s">
        <v>399</v>
      </c>
      <c r="B98" s="1" t="s">
        <v>348</v>
      </c>
      <c r="C98" s="9">
        <v>45015</v>
      </c>
      <c r="D98" s="1" t="e" vm="15">
        <v>#VALUE!</v>
      </c>
      <c r="E98" s="1" t="s">
        <v>410</v>
      </c>
      <c r="F98" s="1" t="s">
        <v>401</v>
      </c>
      <c r="H98" s="1" t="s">
        <v>414</v>
      </c>
      <c r="I98" s="1">
        <v>1</v>
      </c>
      <c r="J98" s="27">
        <v>10.14</v>
      </c>
      <c r="K98" s="1">
        <v>3.04</v>
      </c>
      <c r="M98" s="24">
        <f t="shared" si="7"/>
        <v>10.14</v>
      </c>
      <c r="N98" s="36">
        <f t="shared" si="8"/>
        <v>0</v>
      </c>
      <c r="O98" s="34">
        <f>IF(ISBLANK(A98),"",SUMIFS(I$3:I98,D$3:D98,D98,H$3:H98,"Buy")+SUMIFS(I$3:I98,D$3:D98,D98,H$3:H98,"Cash Deposit")+SUMIFS(I$3:I98,D$3:D98,D98,H$3:H98,"Crypto Deposit")+SUMIFS(I$3:I98,D$3:D98,D98,H$3:H98,"Airdrop/Rewards")-SUMIFS(I$3:I98,D$3:D98,D98,H$3:H98,"Sell"))</f>
        <v>60</v>
      </c>
      <c r="P98" s="2" cm="1">
        <f t="array" ref="P98">IF(ISBLANK(A98),"",IFERROR(IF(OR(H98="Sell",F98="Stable Coin"),INDEX(_xlfn._xlws.FILTER(P$2:P97, D$2:D97=D98),COUNT(_xlfn._xlws.FILTER(P$2:P97, D$2:D97=D98))),(INDEX(_xlfn._xlws.FILTER(P$2:P97, D$2:D97=D98),COUNT(_xlfn._xlws.FILTER(P$2:P97, D$2:D97=D98)))*INDEX(_xlfn._xlws.FILTER(O$2:O97, D$2:D97=D98),COUNT(_xlfn._xlws.FILTER(O$2:O97, D$2:D97=D98)))-N98) / O98), J98))</f>
        <v>16.721666666666668</v>
      </c>
      <c r="Q98" s="1" t="str">
        <f t="shared" si="9"/>
        <v>USD</v>
      </c>
      <c r="R98" s="1" cm="1">
        <f t="array" ref="R98">IF(A98="", "",
    IFERROR(
        _xlfn.SWITCH(
            TRUE,
            AND(Q98="USD", $Q$2="USD"), K98,
            AND(Q98="USD", $Q$2="GBP"), K98*$Z$3,
            AND(Q98="USD", $Q$2="HKD"), K98*$Z$4,
            AND(Q98="USD", $Q$2="EUR"), K98*$Z$5,
            AND(Q98="GBP", $Q$2="GBP"), K98,
            AND(Q98="GBP", $Q$2="USD"), K98*$Z$6,
            AND(Q98="GBP", $Q$2="HKD"), K98*$Z$7,
            AND(Q98="HKG", $Q$2="HKG"), K98,
            AND(Q98="HKD", $Q$2="USD"), K98*$Z$9,
            AND(Q98="HKD", $Q$2="GBP"), K98*$Z$10,
            AND(Q98="HKD", $Q$2="EUR"), K98*$Z$11,
            AND(Q98="EUR", $Q$2="EUR"), K98,
            AND(Q98="EUR", $Q$2="USD"), K98*$Z$12,
            AND(Q98="EUR", $Q$2="GBP"), K98*$Z$13,
            AND(Q98="EUR", $Q$2="HKD"), K98*$Z$14,
        ),
        0
    )
)</f>
        <v>3.04</v>
      </c>
      <c r="S98" s="1" cm="1">
        <f t="array" ref="S98">IF(A98="", "",
    IFERROR(
        _xlfn.SWITCH(
            TRUE,
            AND(Q98="USD", $Q$2="USD"), M98,
            AND(Q98="USD", $Q$2="GBP"), M98*$Z$3,
            AND(Q98="USD", $Q$2="HKD"), M98*$Z$4,
            AND(Q98="USD", $Q$2="EUR"), M98*$Z$5,
            AND(Q98="GBP", $Q$2="GBP"), M98,
            AND(Q98="GBP", $Q$2="USD"), M98*$Z$6,
            AND(Q98="GBP", $Q$2="HKD"), M98*$Z$7,
            AND(Q98="GBP", $Q$2="HKD"), M98*$Z$8,
            AND(Q98="HKG", $Q$2="HKG"), M98,
            AND(Q98="HKD", $Q$2="USD"), M98*$Z$9,
            AND(Q98="HKD", $Q$2="GBP"), M98*$Z$10,
            AND(Q98="HKD", $Q$2="EUR"), M98*$Z$11,
            AND(Q98="EUR", $Q$2="EUR"), M98,
            AND(Q98="EUR", $Q$2="USD"), M98*$Z$12,
            AND(Q98="EUR", $Q$2="GBP"), M98*$Z$13,
            AND(Q98="EUR", $Q$2="HKD"), M98*$Z$14,
        ),
        0
    )
)</f>
        <v>10.14</v>
      </c>
      <c r="T98" s="1" t="str">
        <f t="shared" si="10"/>
        <v>30</v>
      </c>
      <c r="U98" s="9" t="str">
        <f t="shared" si="11"/>
        <v>03</v>
      </c>
      <c r="V98" s="1" t="str">
        <f t="shared" si="12"/>
        <v>2023</v>
      </c>
      <c r="W98" s="18" t="str">
        <f t="shared" si="13"/>
        <v>星期四</v>
      </c>
    </row>
    <row r="99" spans="1:23">
      <c r="A99" s="17" t="s">
        <v>399</v>
      </c>
      <c r="B99" s="1" t="s">
        <v>348</v>
      </c>
      <c r="C99" s="9">
        <v>45019</v>
      </c>
      <c r="D99" s="1" t="e" vm="17">
        <v>#VALUE!</v>
      </c>
      <c r="E99" s="1" t="s">
        <v>32</v>
      </c>
      <c r="F99" s="1" t="s">
        <v>401</v>
      </c>
      <c r="H99" s="1" t="s">
        <v>347</v>
      </c>
      <c r="I99" s="1">
        <v>5</v>
      </c>
      <c r="J99" s="27">
        <v>64.66</v>
      </c>
      <c r="K99" s="1">
        <v>2.0099999999999998</v>
      </c>
      <c r="M99" s="24">
        <f t="shared" si="7"/>
        <v>323.29999999999995</v>
      </c>
      <c r="N99" s="36">
        <f t="shared" si="8"/>
        <v>-323.29999999999995</v>
      </c>
      <c r="O99" s="34">
        <f>IF(ISBLANK(A99),"",SUMIFS(I$3:I99,D$3:D99,D99,H$3:H99,"Buy")+SUMIFS(I$3:I99,D$3:D99,D99,H$3:H99,"Cash Deposit")+SUMIFS(I$3:I99,D$3:D99,D99,H$3:H99,"Crypto Deposit")+SUMIFS(I$3:I99,D$3:D99,D99,H$3:H99,"Airdrop/Rewards")-SUMIFS(I$3:I99,D$3:D99,D99,H$3:H99,"Sell"))</f>
        <v>39</v>
      </c>
      <c r="P99" s="2" cm="1">
        <f t="array" ref="P99">IF(ISBLANK(A99),"",IFERROR(IF(OR(H99="Sell",F99="Stable Coin"),INDEX(_xlfn._xlws.FILTER(P$2:P98, D$2:D98=D99),COUNT(_xlfn._xlws.FILTER(P$2:P98, D$2:D98=D99))),(INDEX(_xlfn._xlws.FILTER(P$2:P98, D$2:D98=D99),COUNT(_xlfn._xlws.FILTER(P$2:P98, D$2:D98=D99)))*INDEX(_xlfn._xlws.FILTER(O$2:O98, D$2:D98=D99),COUNT(_xlfn._xlws.FILTER(O$2:O98, D$2:D98=D99)))-N99) / O99), J99))</f>
        <v>62.37717948717949</v>
      </c>
      <c r="Q99" s="1" t="str">
        <f t="shared" si="9"/>
        <v>USD</v>
      </c>
      <c r="R99" s="1" cm="1">
        <f t="array" ref="R99">IF(A99="", "",
    IFERROR(
        _xlfn.SWITCH(
            TRUE,
            AND(Q99="USD", $Q$2="USD"), K99,
            AND(Q99="USD", $Q$2="GBP"), K99*$Z$3,
            AND(Q99="USD", $Q$2="HKD"), K99*$Z$4,
            AND(Q99="USD", $Q$2="EUR"), K99*$Z$5,
            AND(Q99="GBP", $Q$2="GBP"), K99,
            AND(Q99="GBP", $Q$2="USD"), K99*$Z$6,
            AND(Q99="GBP", $Q$2="HKD"), K99*$Z$7,
            AND(Q99="HKG", $Q$2="HKG"), K99,
            AND(Q99="HKD", $Q$2="USD"), K99*$Z$9,
            AND(Q99="HKD", $Q$2="GBP"), K99*$Z$10,
            AND(Q99="HKD", $Q$2="EUR"), K99*$Z$11,
            AND(Q99="EUR", $Q$2="EUR"), K99,
            AND(Q99="EUR", $Q$2="USD"), K99*$Z$12,
            AND(Q99="EUR", $Q$2="GBP"), K99*$Z$13,
            AND(Q99="EUR", $Q$2="HKD"), K99*$Z$14,
        ),
        0
    )
)</f>
        <v>2.0099999999999998</v>
      </c>
      <c r="S99" s="1" cm="1">
        <f t="array" ref="S99">IF(A99="", "",
    IFERROR(
        _xlfn.SWITCH(
            TRUE,
            AND(Q99="USD", $Q$2="USD"), M99,
            AND(Q99="USD", $Q$2="GBP"), M99*$Z$3,
            AND(Q99="USD", $Q$2="HKD"), M99*$Z$4,
            AND(Q99="USD", $Q$2="EUR"), M99*$Z$5,
            AND(Q99="GBP", $Q$2="GBP"), M99,
            AND(Q99="GBP", $Q$2="USD"), M99*$Z$6,
            AND(Q99="GBP", $Q$2="HKD"), M99*$Z$7,
            AND(Q99="GBP", $Q$2="HKD"), M99*$Z$8,
            AND(Q99="HKG", $Q$2="HKG"), M99,
            AND(Q99="HKD", $Q$2="USD"), M99*$Z$9,
            AND(Q99="HKD", $Q$2="GBP"), M99*$Z$10,
            AND(Q99="HKD", $Q$2="EUR"), M99*$Z$11,
            AND(Q99="EUR", $Q$2="EUR"), M99,
            AND(Q99="EUR", $Q$2="USD"), M99*$Z$12,
            AND(Q99="EUR", $Q$2="GBP"), M99*$Z$13,
            AND(Q99="EUR", $Q$2="HKD"), M99*$Z$14,
        ),
        0
    )
)</f>
        <v>323.29999999999995</v>
      </c>
      <c r="T99" s="1" t="str">
        <f t="shared" si="10"/>
        <v>3</v>
      </c>
      <c r="U99" s="9" t="str">
        <f t="shared" si="11"/>
        <v>04</v>
      </c>
      <c r="V99" s="1" t="str">
        <f t="shared" si="12"/>
        <v>2023</v>
      </c>
      <c r="W99" s="18" t="str">
        <f t="shared" si="13"/>
        <v>星期一</v>
      </c>
    </row>
    <row r="100" spans="1:23">
      <c r="A100" s="17" t="s">
        <v>399</v>
      </c>
      <c r="B100" s="1" t="s">
        <v>348</v>
      </c>
      <c r="C100" s="9">
        <v>45022</v>
      </c>
      <c r="D100" s="1" t="e" vm="20">
        <v>#VALUE!</v>
      </c>
      <c r="E100" s="1" t="s">
        <v>402</v>
      </c>
      <c r="F100" s="1" t="s">
        <v>401</v>
      </c>
      <c r="H100" s="1" t="s">
        <v>347</v>
      </c>
      <c r="I100" s="1">
        <v>10</v>
      </c>
      <c r="J100" s="27">
        <v>8.15</v>
      </c>
      <c r="K100" s="1">
        <v>2.02</v>
      </c>
      <c r="M100" s="24">
        <f t="shared" si="7"/>
        <v>81.5</v>
      </c>
      <c r="N100" s="36">
        <f t="shared" si="8"/>
        <v>-81.5</v>
      </c>
      <c r="O100" s="34">
        <f>IF(ISBLANK(A100),"",SUMIFS(I$3:I100,D$3:D100,D100,H$3:H100,"Buy")+SUMIFS(I$3:I100,D$3:D100,D100,H$3:H100,"Cash Deposit")+SUMIFS(I$3:I100,D$3:D100,D100,H$3:H100,"Crypto Deposit")+SUMIFS(I$3:I100,D$3:D100,D100,H$3:H100,"Airdrop/Rewards")-SUMIFS(I$3:I100,D$3:D100,D100,H$3:H100,"Sell"))</f>
        <v>10</v>
      </c>
      <c r="P100" s="2" cm="1">
        <f t="array" ref="P100">IF(ISBLANK(A100),"",IFERROR(IF(OR(H100="Sell",F100="Stable Coin"),INDEX(_xlfn._xlws.FILTER(P$2:P99, D$2:D99=D100),COUNT(_xlfn._xlws.FILTER(P$2:P99, D$2:D99=D100))),(INDEX(_xlfn._xlws.FILTER(P$2:P99, D$2:D99=D100),COUNT(_xlfn._xlws.FILTER(P$2:P99, D$2:D99=D100)))*INDEX(_xlfn._xlws.FILTER(O$2:O99, D$2:D99=D100),COUNT(_xlfn._xlws.FILTER(O$2:O99, D$2:D99=D100)))-N100) / O100), J100))</f>
        <v>8.15</v>
      </c>
      <c r="Q100" s="1" t="str">
        <f t="shared" si="9"/>
        <v>USD</v>
      </c>
      <c r="R100" s="1" cm="1">
        <f t="array" ref="R100">IF(A100="", "",
    IFERROR(
        _xlfn.SWITCH(
            TRUE,
            AND(Q100="USD", $Q$2="USD"), K100,
            AND(Q100="USD", $Q$2="GBP"), K100*$Z$3,
            AND(Q100="USD", $Q$2="HKD"), K100*$Z$4,
            AND(Q100="USD", $Q$2="EUR"), K100*$Z$5,
            AND(Q100="GBP", $Q$2="GBP"), K100,
            AND(Q100="GBP", $Q$2="USD"), K100*$Z$6,
            AND(Q100="GBP", $Q$2="HKD"), K100*$Z$7,
            AND(Q100="HKG", $Q$2="HKG"), K100,
            AND(Q100="HKD", $Q$2="USD"), K100*$Z$9,
            AND(Q100="HKD", $Q$2="GBP"), K100*$Z$10,
            AND(Q100="HKD", $Q$2="EUR"), K100*$Z$11,
            AND(Q100="EUR", $Q$2="EUR"), K100,
            AND(Q100="EUR", $Q$2="USD"), K100*$Z$12,
            AND(Q100="EUR", $Q$2="GBP"), K100*$Z$13,
            AND(Q100="EUR", $Q$2="HKD"), K100*$Z$14,
        ),
        0
    )
)</f>
        <v>2.02</v>
      </c>
      <c r="S100" s="1" cm="1">
        <f t="array" ref="S100">IF(A100="", "",
    IFERROR(
        _xlfn.SWITCH(
            TRUE,
            AND(Q100="USD", $Q$2="USD"), M100,
            AND(Q100="USD", $Q$2="GBP"), M100*$Z$3,
            AND(Q100="USD", $Q$2="HKD"), M100*$Z$4,
            AND(Q100="USD", $Q$2="EUR"), M100*$Z$5,
            AND(Q100="GBP", $Q$2="GBP"), M100,
            AND(Q100="GBP", $Q$2="USD"), M100*$Z$6,
            AND(Q100="GBP", $Q$2="HKD"), M100*$Z$7,
            AND(Q100="GBP", $Q$2="HKD"), M100*$Z$8,
            AND(Q100="HKG", $Q$2="HKG"), M100,
            AND(Q100="HKD", $Q$2="USD"), M100*$Z$9,
            AND(Q100="HKD", $Q$2="GBP"), M100*$Z$10,
            AND(Q100="HKD", $Q$2="EUR"), M100*$Z$11,
            AND(Q100="EUR", $Q$2="EUR"), M100,
            AND(Q100="EUR", $Q$2="USD"), M100*$Z$12,
            AND(Q100="EUR", $Q$2="GBP"), M100*$Z$13,
            AND(Q100="EUR", $Q$2="HKD"), M100*$Z$14,
        ),
        0
    )
)</f>
        <v>81.5</v>
      </c>
      <c r="T100" s="1" t="str">
        <f t="shared" si="10"/>
        <v>6</v>
      </c>
      <c r="U100" s="9" t="str">
        <f t="shared" si="11"/>
        <v>04</v>
      </c>
      <c r="V100" s="1" t="str">
        <f t="shared" si="12"/>
        <v>2023</v>
      </c>
      <c r="W100" s="18" t="str">
        <f t="shared" si="13"/>
        <v>星期四</v>
      </c>
    </row>
    <row r="101" spans="1:23">
      <c r="A101" s="17" t="s">
        <v>399</v>
      </c>
      <c r="B101" s="1" t="s">
        <v>348</v>
      </c>
      <c r="C101" s="9">
        <v>45035</v>
      </c>
      <c r="D101" s="1" t="e" vm="20">
        <v>#VALUE!</v>
      </c>
      <c r="E101" s="1" t="s">
        <v>402</v>
      </c>
      <c r="F101" s="1" t="s">
        <v>401</v>
      </c>
      <c r="H101" s="1" t="s">
        <v>347</v>
      </c>
      <c r="I101" s="1">
        <v>5</v>
      </c>
      <c r="J101" s="27">
        <v>10.7</v>
      </c>
      <c r="K101" s="1">
        <v>2.0099999999999998</v>
      </c>
      <c r="M101" s="24">
        <f t="shared" si="7"/>
        <v>53.5</v>
      </c>
      <c r="N101" s="36">
        <f t="shared" si="8"/>
        <v>-53.5</v>
      </c>
      <c r="O101" s="34">
        <f>IF(ISBLANK(A101),"",SUMIFS(I$3:I101,D$3:D101,D101,H$3:H101,"Buy")+SUMIFS(I$3:I101,D$3:D101,D101,H$3:H101,"Cash Deposit")+SUMIFS(I$3:I101,D$3:D101,D101,H$3:H101,"Crypto Deposit")+SUMIFS(I$3:I101,D$3:D101,D101,H$3:H101,"Airdrop/Rewards")-SUMIFS(I$3:I101,D$3:D101,D101,H$3:H101,"Sell"))</f>
        <v>15</v>
      </c>
      <c r="P101" s="2" cm="1">
        <f t="array" ref="P101">IF(ISBLANK(A101),"",IFERROR(IF(OR(H101="Sell",F101="Stable Coin"),INDEX(_xlfn._xlws.FILTER(P$2:P100, D$2:D100=D101),COUNT(_xlfn._xlws.FILTER(P$2:P100, D$2:D100=D101))),(INDEX(_xlfn._xlws.FILTER(P$2:P100, D$2:D100=D101),COUNT(_xlfn._xlws.FILTER(P$2:P100, D$2:D100=D101)))*INDEX(_xlfn._xlws.FILTER(O$2:O100, D$2:D100=D101),COUNT(_xlfn._xlws.FILTER(O$2:O100, D$2:D100=D101)))-N101) / O101), J101))</f>
        <v>9</v>
      </c>
      <c r="Q101" s="1" t="str">
        <f t="shared" si="9"/>
        <v>USD</v>
      </c>
      <c r="R101" s="1" cm="1">
        <f t="array" ref="R101">IF(A101="", "",
    IFERROR(
        _xlfn.SWITCH(
            TRUE,
            AND(Q101="USD", $Q$2="USD"), K101,
            AND(Q101="USD", $Q$2="GBP"), K101*$Z$3,
            AND(Q101="USD", $Q$2="HKD"), K101*$Z$4,
            AND(Q101="USD", $Q$2="EUR"), K101*$Z$5,
            AND(Q101="GBP", $Q$2="GBP"), K101,
            AND(Q101="GBP", $Q$2="USD"), K101*$Z$6,
            AND(Q101="GBP", $Q$2="HKD"), K101*$Z$7,
            AND(Q101="HKG", $Q$2="HKG"), K101,
            AND(Q101="HKD", $Q$2="USD"), K101*$Z$9,
            AND(Q101="HKD", $Q$2="GBP"), K101*$Z$10,
            AND(Q101="HKD", $Q$2="EUR"), K101*$Z$11,
            AND(Q101="EUR", $Q$2="EUR"), K101,
            AND(Q101="EUR", $Q$2="USD"), K101*$Z$12,
            AND(Q101="EUR", $Q$2="GBP"), K101*$Z$13,
            AND(Q101="EUR", $Q$2="HKD"), K101*$Z$14,
        ),
        0
    )
)</f>
        <v>2.0099999999999998</v>
      </c>
      <c r="S101" s="1" cm="1">
        <f t="array" ref="S101">IF(A101="", "",
    IFERROR(
        _xlfn.SWITCH(
            TRUE,
            AND(Q101="USD", $Q$2="USD"), M101,
            AND(Q101="USD", $Q$2="GBP"), M101*$Z$3,
            AND(Q101="USD", $Q$2="HKD"), M101*$Z$4,
            AND(Q101="USD", $Q$2="EUR"), M101*$Z$5,
            AND(Q101="GBP", $Q$2="GBP"), M101,
            AND(Q101="GBP", $Q$2="USD"), M101*$Z$6,
            AND(Q101="GBP", $Q$2="HKD"), M101*$Z$7,
            AND(Q101="GBP", $Q$2="HKD"), M101*$Z$8,
            AND(Q101="HKG", $Q$2="HKG"), M101,
            AND(Q101="HKD", $Q$2="USD"), M101*$Z$9,
            AND(Q101="HKD", $Q$2="GBP"), M101*$Z$10,
            AND(Q101="HKD", $Q$2="EUR"), M101*$Z$11,
            AND(Q101="EUR", $Q$2="EUR"), M101,
            AND(Q101="EUR", $Q$2="USD"), M101*$Z$12,
            AND(Q101="EUR", $Q$2="GBP"), M101*$Z$13,
            AND(Q101="EUR", $Q$2="HKD"), M101*$Z$14,
        ),
        0
    )
)</f>
        <v>53.5</v>
      </c>
      <c r="T101" s="1" t="str">
        <f t="shared" si="10"/>
        <v>19</v>
      </c>
      <c r="U101" s="9" t="str">
        <f t="shared" si="11"/>
        <v>04</v>
      </c>
      <c r="V101" s="1" t="str">
        <f t="shared" si="12"/>
        <v>2023</v>
      </c>
      <c r="W101" s="18" t="str">
        <f t="shared" si="13"/>
        <v>星期三</v>
      </c>
    </row>
    <row r="102" spans="1:23">
      <c r="A102" s="17" t="s">
        <v>399</v>
      </c>
      <c r="B102" s="1" t="s">
        <v>348</v>
      </c>
      <c r="C102" s="9">
        <v>45035</v>
      </c>
      <c r="D102" s="1" t="e" vm="20">
        <v>#VALUE!</v>
      </c>
      <c r="E102" s="1" t="s">
        <v>402</v>
      </c>
      <c r="F102" s="1" t="s">
        <v>401</v>
      </c>
      <c r="H102" s="1" t="s">
        <v>347</v>
      </c>
      <c r="I102" s="1">
        <v>5</v>
      </c>
      <c r="J102" s="27">
        <v>10.95</v>
      </c>
      <c r="K102" s="1">
        <v>2.0099999999999998</v>
      </c>
      <c r="M102" s="24">
        <f t="shared" si="7"/>
        <v>54.75</v>
      </c>
      <c r="N102" s="36">
        <f t="shared" si="8"/>
        <v>-54.75</v>
      </c>
      <c r="O102" s="34">
        <f>IF(ISBLANK(A102),"",SUMIFS(I$3:I102,D$3:D102,D102,H$3:H102,"Buy")+SUMIFS(I$3:I102,D$3:D102,D102,H$3:H102,"Cash Deposit")+SUMIFS(I$3:I102,D$3:D102,D102,H$3:H102,"Crypto Deposit")+SUMIFS(I$3:I102,D$3:D102,D102,H$3:H102,"Airdrop/Rewards")-SUMIFS(I$3:I102,D$3:D102,D102,H$3:H102,"Sell"))</f>
        <v>20</v>
      </c>
      <c r="P102" s="2" cm="1">
        <f t="array" ref="P102">IF(ISBLANK(A102),"",IFERROR(IF(OR(H102="Sell",F102="Stable Coin"),INDEX(_xlfn._xlws.FILTER(P$2:P101, D$2:D101=D102),COUNT(_xlfn._xlws.FILTER(P$2:P101, D$2:D101=D102))),(INDEX(_xlfn._xlws.FILTER(P$2:P101, D$2:D101=D102),COUNT(_xlfn._xlws.FILTER(P$2:P101, D$2:D101=D102)))*INDEX(_xlfn._xlws.FILTER(O$2:O101, D$2:D101=D102),COUNT(_xlfn._xlws.FILTER(O$2:O101, D$2:D101=D102)))-N102) / O102), J102))</f>
        <v>9.4875000000000007</v>
      </c>
      <c r="Q102" s="1" t="str">
        <f t="shared" si="9"/>
        <v>USD</v>
      </c>
      <c r="R102" s="1" cm="1">
        <f t="array" ref="R102">IF(A102="", "",
    IFERROR(
        _xlfn.SWITCH(
            TRUE,
            AND(Q102="USD", $Q$2="USD"), K102,
            AND(Q102="USD", $Q$2="GBP"), K102*$Z$3,
            AND(Q102="USD", $Q$2="HKD"), K102*$Z$4,
            AND(Q102="USD", $Q$2="EUR"), K102*$Z$5,
            AND(Q102="GBP", $Q$2="GBP"), K102,
            AND(Q102="GBP", $Q$2="USD"), K102*$Z$6,
            AND(Q102="GBP", $Q$2="HKD"), K102*$Z$7,
            AND(Q102="HKG", $Q$2="HKG"), K102,
            AND(Q102="HKD", $Q$2="USD"), K102*$Z$9,
            AND(Q102="HKD", $Q$2="GBP"), K102*$Z$10,
            AND(Q102="HKD", $Q$2="EUR"), K102*$Z$11,
            AND(Q102="EUR", $Q$2="EUR"), K102,
            AND(Q102="EUR", $Q$2="USD"), K102*$Z$12,
            AND(Q102="EUR", $Q$2="GBP"), K102*$Z$13,
            AND(Q102="EUR", $Q$2="HKD"), K102*$Z$14,
        ),
        0
    )
)</f>
        <v>2.0099999999999998</v>
      </c>
      <c r="S102" s="1" cm="1">
        <f t="array" ref="S102">IF(A102="", "",
    IFERROR(
        _xlfn.SWITCH(
            TRUE,
            AND(Q102="USD", $Q$2="USD"), M102,
            AND(Q102="USD", $Q$2="GBP"), M102*$Z$3,
            AND(Q102="USD", $Q$2="HKD"), M102*$Z$4,
            AND(Q102="USD", $Q$2="EUR"), M102*$Z$5,
            AND(Q102="GBP", $Q$2="GBP"), M102,
            AND(Q102="GBP", $Q$2="USD"), M102*$Z$6,
            AND(Q102="GBP", $Q$2="HKD"), M102*$Z$7,
            AND(Q102="GBP", $Q$2="HKD"), M102*$Z$8,
            AND(Q102="HKG", $Q$2="HKG"), M102,
            AND(Q102="HKD", $Q$2="USD"), M102*$Z$9,
            AND(Q102="HKD", $Q$2="GBP"), M102*$Z$10,
            AND(Q102="HKD", $Q$2="EUR"), M102*$Z$11,
            AND(Q102="EUR", $Q$2="EUR"), M102,
            AND(Q102="EUR", $Q$2="USD"), M102*$Z$12,
            AND(Q102="EUR", $Q$2="GBP"), M102*$Z$13,
            AND(Q102="EUR", $Q$2="HKD"), M102*$Z$14,
        ),
        0
    )
)</f>
        <v>54.75</v>
      </c>
      <c r="T102" s="1" t="str">
        <f t="shared" si="10"/>
        <v>19</v>
      </c>
      <c r="U102" s="9" t="str">
        <f t="shared" si="11"/>
        <v>04</v>
      </c>
      <c r="V102" s="1" t="str">
        <f t="shared" si="12"/>
        <v>2023</v>
      </c>
      <c r="W102" s="18" t="str">
        <f t="shared" si="13"/>
        <v>星期三</v>
      </c>
    </row>
    <row r="103" spans="1:23">
      <c r="A103" s="17" t="s">
        <v>399</v>
      </c>
      <c r="B103" s="1" t="s">
        <v>348</v>
      </c>
      <c r="C103" s="9">
        <v>45036</v>
      </c>
      <c r="D103" s="1" t="e" vm="20">
        <v>#VALUE!</v>
      </c>
      <c r="E103" s="1" t="s">
        <v>402</v>
      </c>
      <c r="F103" s="1" t="s">
        <v>401</v>
      </c>
      <c r="H103" s="1" t="s">
        <v>347</v>
      </c>
      <c r="I103" s="1">
        <v>10</v>
      </c>
      <c r="J103" s="27">
        <v>9.94</v>
      </c>
      <c r="K103" s="1">
        <v>2.02</v>
      </c>
      <c r="M103" s="24">
        <f t="shared" si="7"/>
        <v>99.399999999999991</v>
      </c>
      <c r="N103" s="36">
        <f t="shared" si="8"/>
        <v>-99.399999999999991</v>
      </c>
      <c r="O103" s="34">
        <f>IF(ISBLANK(A103),"",SUMIFS(I$3:I103,D$3:D103,D103,H$3:H103,"Buy")+SUMIFS(I$3:I103,D$3:D103,D103,H$3:H103,"Cash Deposit")+SUMIFS(I$3:I103,D$3:D103,D103,H$3:H103,"Crypto Deposit")+SUMIFS(I$3:I103,D$3:D103,D103,H$3:H103,"Airdrop/Rewards")-SUMIFS(I$3:I103,D$3:D103,D103,H$3:H103,"Sell"))</f>
        <v>30</v>
      </c>
      <c r="P103" s="2" cm="1">
        <f t="array" ref="P103">IF(ISBLANK(A103),"",IFERROR(IF(OR(H103="Sell",F103="Stable Coin"),INDEX(_xlfn._xlws.FILTER(P$2:P102, D$2:D102=D103),COUNT(_xlfn._xlws.FILTER(P$2:P102, D$2:D102=D103))),(INDEX(_xlfn._xlws.FILTER(P$2:P102, D$2:D102=D103),COUNT(_xlfn._xlws.FILTER(P$2:P102, D$2:D102=D103)))*INDEX(_xlfn._xlws.FILTER(O$2:O102, D$2:D102=D103),COUNT(_xlfn._xlws.FILTER(O$2:O102, D$2:D102=D103)))-N103) / O103), J103))</f>
        <v>9.6383333333333319</v>
      </c>
      <c r="Q103" s="1" t="str">
        <f t="shared" si="9"/>
        <v>USD</v>
      </c>
      <c r="R103" s="1" cm="1">
        <f t="array" ref="R103">IF(A103="", "",
    IFERROR(
        _xlfn.SWITCH(
            TRUE,
            AND(Q103="USD", $Q$2="USD"), K103,
            AND(Q103="USD", $Q$2="GBP"), K103*$Z$3,
            AND(Q103="USD", $Q$2="HKD"), K103*$Z$4,
            AND(Q103="USD", $Q$2="EUR"), K103*$Z$5,
            AND(Q103="GBP", $Q$2="GBP"), K103,
            AND(Q103="GBP", $Q$2="USD"), K103*$Z$6,
            AND(Q103="GBP", $Q$2="HKD"), K103*$Z$7,
            AND(Q103="HKG", $Q$2="HKG"), K103,
            AND(Q103="HKD", $Q$2="USD"), K103*$Z$9,
            AND(Q103="HKD", $Q$2="GBP"), K103*$Z$10,
            AND(Q103="HKD", $Q$2="EUR"), K103*$Z$11,
            AND(Q103="EUR", $Q$2="EUR"), K103,
            AND(Q103="EUR", $Q$2="USD"), K103*$Z$12,
            AND(Q103="EUR", $Q$2="GBP"), K103*$Z$13,
            AND(Q103="EUR", $Q$2="HKD"), K103*$Z$14,
        ),
        0
    )
)</f>
        <v>2.02</v>
      </c>
      <c r="S103" s="1" cm="1">
        <f t="array" ref="S103">IF(A103="", "",
    IFERROR(
        _xlfn.SWITCH(
            TRUE,
            AND(Q103="USD", $Q$2="USD"), M103,
            AND(Q103="USD", $Q$2="GBP"), M103*$Z$3,
            AND(Q103="USD", $Q$2="HKD"), M103*$Z$4,
            AND(Q103="USD", $Q$2="EUR"), M103*$Z$5,
            AND(Q103="GBP", $Q$2="GBP"), M103,
            AND(Q103="GBP", $Q$2="USD"), M103*$Z$6,
            AND(Q103="GBP", $Q$2="HKD"), M103*$Z$7,
            AND(Q103="GBP", $Q$2="HKD"), M103*$Z$8,
            AND(Q103="HKG", $Q$2="HKG"), M103,
            AND(Q103="HKD", $Q$2="USD"), M103*$Z$9,
            AND(Q103="HKD", $Q$2="GBP"), M103*$Z$10,
            AND(Q103="HKD", $Q$2="EUR"), M103*$Z$11,
            AND(Q103="EUR", $Q$2="EUR"), M103,
            AND(Q103="EUR", $Q$2="USD"), M103*$Z$12,
            AND(Q103="EUR", $Q$2="GBP"), M103*$Z$13,
            AND(Q103="EUR", $Q$2="HKD"), M103*$Z$14,
        ),
        0
    )
)</f>
        <v>99.399999999999991</v>
      </c>
      <c r="T103" s="1" t="str">
        <f t="shared" si="10"/>
        <v>20</v>
      </c>
      <c r="U103" s="9" t="str">
        <f t="shared" si="11"/>
        <v>04</v>
      </c>
      <c r="V103" s="1" t="str">
        <f t="shared" si="12"/>
        <v>2023</v>
      </c>
      <c r="W103" s="18" t="str">
        <f t="shared" si="13"/>
        <v>星期四</v>
      </c>
    </row>
    <row r="104" spans="1:23">
      <c r="A104" s="17" t="s">
        <v>399</v>
      </c>
      <c r="B104" s="1" t="s">
        <v>348</v>
      </c>
      <c r="C104" s="9">
        <v>45037</v>
      </c>
      <c r="D104" s="1" t="e" vm="17">
        <v>#VALUE!</v>
      </c>
      <c r="E104" s="1" t="s">
        <v>32</v>
      </c>
      <c r="F104" s="1" t="s">
        <v>401</v>
      </c>
      <c r="H104" s="1" t="s">
        <v>347</v>
      </c>
      <c r="I104" s="1">
        <v>3</v>
      </c>
      <c r="J104" s="27">
        <v>59.1</v>
      </c>
      <c r="K104" s="1">
        <v>2</v>
      </c>
      <c r="M104" s="24">
        <f t="shared" si="7"/>
        <v>177.3</v>
      </c>
      <c r="N104" s="36">
        <f t="shared" si="8"/>
        <v>-177.3</v>
      </c>
      <c r="O104" s="34">
        <f>IF(ISBLANK(A104),"",SUMIFS(I$3:I104,D$3:D104,D104,H$3:H104,"Buy")+SUMIFS(I$3:I104,D$3:D104,D104,H$3:H104,"Cash Deposit")+SUMIFS(I$3:I104,D$3:D104,D104,H$3:H104,"Crypto Deposit")+SUMIFS(I$3:I104,D$3:D104,D104,H$3:H104,"Airdrop/Rewards")-SUMIFS(I$3:I104,D$3:D104,D104,H$3:H104,"Sell"))</f>
        <v>42</v>
      </c>
      <c r="P104" s="2" cm="1">
        <f t="array" ref="P104">IF(ISBLANK(A104),"",IFERROR(IF(OR(H104="Sell",F104="Stable Coin"),INDEX(_xlfn._xlws.FILTER(P$2:P103, D$2:D103=D104),COUNT(_xlfn._xlws.FILTER(P$2:P103, D$2:D103=D104))),(INDEX(_xlfn._xlws.FILTER(P$2:P103, D$2:D103=D104),COUNT(_xlfn._xlws.FILTER(P$2:P103, D$2:D103=D104)))*INDEX(_xlfn._xlws.FILTER(O$2:O103, D$2:D103=D104),COUNT(_xlfn._xlws.FILTER(O$2:O103, D$2:D103=D104)))-N104) / O104), J104))</f>
        <v>62.143095238095242</v>
      </c>
      <c r="Q104" s="1" t="str">
        <f t="shared" si="9"/>
        <v>USD</v>
      </c>
      <c r="R104" s="1" cm="1">
        <f t="array" ref="R104">IF(A104="", "",
    IFERROR(
        _xlfn.SWITCH(
            TRUE,
            AND(Q104="USD", $Q$2="USD"), K104,
            AND(Q104="USD", $Q$2="GBP"), K104*$Z$3,
            AND(Q104="USD", $Q$2="HKD"), K104*$Z$4,
            AND(Q104="USD", $Q$2="EUR"), K104*$Z$5,
            AND(Q104="GBP", $Q$2="GBP"), K104,
            AND(Q104="GBP", $Q$2="USD"), K104*$Z$6,
            AND(Q104="GBP", $Q$2="HKD"), K104*$Z$7,
            AND(Q104="HKG", $Q$2="HKG"), K104,
            AND(Q104="HKD", $Q$2="USD"), K104*$Z$9,
            AND(Q104="HKD", $Q$2="GBP"), K104*$Z$10,
            AND(Q104="HKD", $Q$2="EUR"), K104*$Z$11,
            AND(Q104="EUR", $Q$2="EUR"), K104,
            AND(Q104="EUR", $Q$2="USD"), K104*$Z$12,
            AND(Q104="EUR", $Q$2="GBP"), K104*$Z$13,
            AND(Q104="EUR", $Q$2="HKD"), K104*$Z$14,
        ),
        0
    )
)</f>
        <v>2</v>
      </c>
      <c r="S104" s="1" cm="1">
        <f t="array" ref="S104">IF(A104="", "",
    IFERROR(
        _xlfn.SWITCH(
            TRUE,
            AND(Q104="USD", $Q$2="USD"), M104,
            AND(Q104="USD", $Q$2="GBP"), M104*$Z$3,
            AND(Q104="USD", $Q$2="HKD"), M104*$Z$4,
            AND(Q104="USD", $Q$2="EUR"), M104*$Z$5,
            AND(Q104="GBP", $Q$2="GBP"), M104,
            AND(Q104="GBP", $Q$2="USD"), M104*$Z$6,
            AND(Q104="GBP", $Q$2="HKD"), M104*$Z$7,
            AND(Q104="GBP", $Q$2="HKD"), M104*$Z$8,
            AND(Q104="HKG", $Q$2="HKG"), M104,
            AND(Q104="HKD", $Q$2="USD"), M104*$Z$9,
            AND(Q104="HKD", $Q$2="GBP"), M104*$Z$10,
            AND(Q104="HKD", $Q$2="EUR"), M104*$Z$11,
            AND(Q104="EUR", $Q$2="EUR"), M104,
            AND(Q104="EUR", $Q$2="USD"), M104*$Z$12,
            AND(Q104="EUR", $Q$2="GBP"), M104*$Z$13,
            AND(Q104="EUR", $Q$2="HKD"), M104*$Z$14,
        ),
        0
    )
)</f>
        <v>177.3</v>
      </c>
      <c r="T104" s="1" t="str">
        <f t="shared" si="10"/>
        <v>21</v>
      </c>
      <c r="U104" s="9" t="str">
        <f t="shared" si="11"/>
        <v>04</v>
      </c>
      <c r="V104" s="1" t="str">
        <f t="shared" si="12"/>
        <v>2023</v>
      </c>
      <c r="W104" s="18" t="str">
        <f t="shared" si="13"/>
        <v>星期五</v>
      </c>
    </row>
    <row r="105" spans="1:23">
      <c r="A105" s="17" t="s">
        <v>399</v>
      </c>
      <c r="B105" s="1" t="s">
        <v>348</v>
      </c>
      <c r="C105" s="9">
        <v>45037</v>
      </c>
      <c r="D105" s="1" t="e" vm="20">
        <v>#VALUE!</v>
      </c>
      <c r="E105" s="1" t="s">
        <v>402</v>
      </c>
      <c r="F105" s="1" t="s">
        <v>401</v>
      </c>
      <c r="H105" s="1" t="s">
        <v>347</v>
      </c>
      <c r="I105" s="1">
        <v>15</v>
      </c>
      <c r="J105" s="27">
        <v>8.94</v>
      </c>
      <c r="K105" s="1">
        <v>2.04</v>
      </c>
      <c r="M105" s="24">
        <f t="shared" si="7"/>
        <v>134.1</v>
      </c>
      <c r="N105" s="36">
        <f t="shared" si="8"/>
        <v>-134.1</v>
      </c>
      <c r="O105" s="34">
        <f>IF(ISBLANK(A105),"",SUMIFS(I$3:I105,D$3:D105,D105,H$3:H105,"Buy")+SUMIFS(I$3:I105,D$3:D105,D105,H$3:H105,"Cash Deposit")+SUMIFS(I$3:I105,D$3:D105,D105,H$3:H105,"Crypto Deposit")+SUMIFS(I$3:I105,D$3:D105,D105,H$3:H105,"Airdrop/Rewards")-SUMIFS(I$3:I105,D$3:D105,D105,H$3:H105,"Sell"))</f>
        <v>45</v>
      </c>
      <c r="P105" s="2" cm="1">
        <f t="array" ref="P105">IF(ISBLANK(A105),"",IFERROR(IF(OR(H105="Sell",F105="Stable Coin"),INDEX(_xlfn._xlws.FILTER(P$2:P104, D$2:D104=D105),COUNT(_xlfn._xlws.FILTER(P$2:P104, D$2:D104=D105))),(INDEX(_xlfn._xlws.FILTER(P$2:P104, D$2:D104=D105),COUNT(_xlfn._xlws.FILTER(P$2:P104, D$2:D104=D105)))*INDEX(_xlfn._xlws.FILTER(O$2:O104, D$2:D104=D105),COUNT(_xlfn._xlws.FILTER(O$2:O104, D$2:D104=D105)))-N105) / O105), J105))</f>
        <v>9.405555555555555</v>
      </c>
      <c r="Q105" s="1" t="str">
        <f t="shared" si="9"/>
        <v>USD</v>
      </c>
      <c r="R105" s="1" cm="1">
        <f t="array" ref="R105">IF(A105="", "",
    IFERROR(
        _xlfn.SWITCH(
            TRUE,
            AND(Q105="USD", $Q$2="USD"), K105,
            AND(Q105="USD", $Q$2="GBP"), K105*$Z$3,
            AND(Q105="USD", $Q$2="HKD"), K105*$Z$4,
            AND(Q105="USD", $Q$2="EUR"), K105*$Z$5,
            AND(Q105="GBP", $Q$2="GBP"), K105,
            AND(Q105="GBP", $Q$2="USD"), K105*$Z$6,
            AND(Q105="GBP", $Q$2="HKD"), K105*$Z$7,
            AND(Q105="HKG", $Q$2="HKG"), K105,
            AND(Q105="HKD", $Q$2="USD"), K105*$Z$9,
            AND(Q105="HKD", $Q$2="GBP"), K105*$Z$10,
            AND(Q105="HKD", $Q$2="EUR"), K105*$Z$11,
            AND(Q105="EUR", $Q$2="EUR"), K105,
            AND(Q105="EUR", $Q$2="USD"), K105*$Z$12,
            AND(Q105="EUR", $Q$2="GBP"), K105*$Z$13,
            AND(Q105="EUR", $Q$2="HKD"), K105*$Z$14,
        ),
        0
    )
)</f>
        <v>2.04</v>
      </c>
      <c r="S105" s="1" cm="1">
        <f t="array" ref="S105">IF(A105="", "",
    IFERROR(
        _xlfn.SWITCH(
            TRUE,
            AND(Q105="USD", $Q$2="USD"), M105,
            AND(Q105="USD", $Q$2="GBP"), M105*$Z$3,
            AND(Q105="USD", $Q$2="HKD"), M105*$Z$4,
            AND(Q105="USD", $Q$2="EUR"), M105*$Z$5,
            AND(Q105="GBP", $Q$2="GBP"), M105,
            AND(Q105="GBP", $Q$2="USD"), M105*$Z$6,
            AND(Q105="GBP", $Q$2="HKD"), M105*$Z$7,
            AND(Q105="GBP", $Q$2="HKD"), M105*$Z$8,
            AND(Q105="HKG", $Q$2="HKG"), M105,
            AND(Q105="HKD", $Q$2="USD"), M105*$Z$9,
            AND(Q105="HKD", $Q$2="GBP"), M105*$Z$10,
            AND(Q105="HKD", $Q$2="EUR"), M105*$Z$11,
            AND(Q105="EUR", $Q$2="EUR"), M105,
            AND(Q105="EUR", $Q$2="USD"), M105*$Z$12,
            AND(Q105="EUR", $Q$2="GBP"), M105*$Z$13,
            AND(Q105="EUR", $Q$2="HKD"), M105*$Z$14,
        ),
        0
    )
)</f>
        <v>134.1</v>
      </c>
      <c r="T105" s="1" t="str">
        <f t="shared" si="10"/>
        <v>21</v>
      </c>
      <c r="U105" s="9" t="str">
        <f t="shared" si="11"/>
        <v>04</v>
      </c>
      <c r="V105" s="1" t="str">
        <f t="shared" si="12"/>
        <v>2023</v>
      </c>
      <c r="W105" s="18" t="str">
        <f t="shared" si="13"/>
        <v>星期五</v>
      </c>
    </row>
    <row r="106" spans="1:23">
      <c r="A106" s="17" t="s">
        <v>32</v>
      </c>
      <c r="B106" s="1" t="s">
        <v>343</v>
      </c>
      <c r="C106" s="9">
        <v>45040</v>
      </c>
      <c r="D106" s="1" t="s">
        <v>345</v>
      </c>
      <c r="E106" s="1" t="s">
        <v>345</v>
      </c>
      <c r="F106" s="1" t="s">
        <v>345</v>
      </c>
      <c r="H106" s="1" t="s">
        <v>344</v>
      </c>
      <c r="I106" s="1">
        <v>1</v>
      </c>
      <c r="J106" s="27">
        <v>100</v>
      </c>
      <c r="M106" s="24">
        <f t="shared" si="7"/>
        <v>100</v>
      </c>
      <c r="N106" s="36">
        <f t="shared" si="8"/>
        <v>-100</v>
      </c>
      <c r="O106" s="34">
        <f>IF(ISBLANK(A106),"",SUMIFS(I$3:I106,D$3:D106,D106,H$3:H106,"Buy")+SUMIFS(I$3:I106,D$3:D106,D106,H$3:H106,"Cash Deposit")+SUMIFS(I$3:I106,D$3:D106,D106,H$3:H106,"Crypto Deposit")+SUMIFS(I$3:I106,D$3:D106,D106,H$3:H106,"Airdrop/Rewards")-SUMIFS(I$3:I106,D$3:D106,D106,H$3:H106,"Sell"))</f>
        <v>3</v>
      </c>
      <c r="P106" s="2" cm="1">
        <f t="array" ref="P106">IF(ISBLANK(A106),"",IFERROR(IF(OR(H106="Sell",F106="Stable Coin"),INDEX(_xlfn._xlws.FILTER(P$2:P105, D$2:D105=D106),COUNT(_xlfn._xlws.FILTER(P$2:P105, D$2:D105=D106))),(INDEX(_xlfn._xlws.FILTER(P$2:P105, D$2:D105=D106),COUNT(_xlfn._xlws.FILTER(P$2:P105, D$2:D105=D106)))*INDEX(_xlfn._xlws.FILTER(O$2:O105, D$2:D105=D106),COUNT(_xlfn._xlws.FILTER(O$2:O105, D$2:D105=D106)))-N106) / O106), J106))</f>
        <v>2626.6666666666665</v>
      </c>
      <c r="Q106" s="1" t="str">
        <f t="shared" si="9"/>
        <v>GBP</v>
      </c>
      <c r="R106" s="1" cm="1">
        <f t="array" ref="R106">IF(A106="", "",
    IFERROR(
        _xlfn.SWITCH(
            TRUE,
            AND(Q106="USD", $Q$2="USD"), K106,
            AND(Q106="USD", $Q$2="GBP"), K106*$Z$3,
            AND(Q106="USD", $Q$2="HKD"), K106*$Z$4,
            AND(Q106="USD", $Q$2="EUR"), K106*$Z$5,
            AND(Q106="GBP", $Q$2="GBP"), K106,
            AND(Q106="GBP", $Q$2="USD"), K106*$Z$6,
            AND(Q106="GBP", $Q$2="HKD"), K106*$Z$7,
            AND(Q106="HKG", $Q$2="HKG"), K106,
            AND(Q106="HKD", $Q$2="USD"), K106*$Z$9,
            AND(Q106="HKD", $Q$2="GBP"), K106*$Z$10,
            AND(Q106="HKD", $Q$2="EUR"), K106*$Z$11,
            AND(Q106="EUR", $Q$2="EUR"), K106,
            AND(Q106="EUR", $Q$2="USD"), K106*$Z$12,
            AND(Q106="EUR", $Q$2="GBP"), K106*$Z$13,
            AND(Q106="EUR", $Q$2="HKD"), K106*$Z$14,
        ),
        0
    )
)</f>
        <v>0</v>
      </c>
      <c r="S106" s="1" cm="1">
        <f t="array" ref="S106">IF(A106="", "",
    IFERROR(
        _xlfn.SWITCH(
            TRUE,
            AND(Q106="USD", $Q$2="USD"), M106,
            AND(Q106="USD", $Q$2="GBP"), M106*$Z$3,
            AND(Q106="USD", $Q$2="HKD"), M106*$Z$4,
            AND(Q106="USD", $Q$2="EUR"), M106*$Z$5,
            AND(Q106="GBP", $Q$2="GBP"), M106,
            AND(Q106="GBP", $Q$2="USD"), M106*$Z$6,
            AND(Q106="GBP", $Q$2="HKD"), M106*$Z$7,
            AND(Q106="GBP", $Q$2="HKD"), M106*$Z$8,
            AND(Q106="HKG", $Q$2="HKG"), M106,
            AND(Q106="HKD", $Q$2="USD"), M106*$Z$9,
            AND(Q106="HKD", $Q$2="GBP"), M106*$Z$10,
            AND(Q106="HKD", $Q$2="EUR"), M106*$Z$11,
            AND(Q106="EUR", $Q$2="EUR"), M106,
            AND(Q106="EUR", $Q$2="USD"), M106*$Z$12,
            AND(Q106="EUR", $Q$2="GBP"), M106*$Z$13,
            AND(Q106="EUR", $Q$2="HKD"), M106*$Z$14,
        ),
        0
    )
)</f>
        <v>127.82</v>
      </c>
      <c r="T106" s="1" t="str">
        <f t="shared" si="10"/>
        <v>24</v>
      </c>
      <c r="U106" s="9" t="str">
        <f t="shared" si="11"/>
        <v>04</v>
      </c>
      <c r="V106" s="1" t="str">
        <f t="shared" si="12"/>
        <v>2023</v>
      </c>
      <c r="W106" s="18" t="str">
        <f t="shared" si="13"/>
        <v>星期一</v>
      </c>
    </row>
    <row r="107" spans="1:23">
      <c r="A107" s="17" t="s">
        <v>399</v>
      </c>
      <c r="B107" s="1" t="s">
        <v>348</v>
      </c>
      <c r="C107" s="9">
        <v>45040</v>
      </c>
      <c r="D107" s="1" t="e" vm="20">
        <v>#VALUE!</v>
      </c>
      <c r="E107" s="1" t="s">
        <v>402</v>
      </c>
      <c r="F107" s="1" t="s">
        <v>401</v>
      </c>
      <c r="H107" s="1" t="s">
        <v>347</v>
      </c>
      <c r="I107" s="1">
        <v>10</v>
      </c>
      <c r="J107" s="27">
        <v>8.98</v>
      </c>
      <c r="K107" s="1">
        <v>2.02</v>
      </c>
      <c r="M107" s="24">
        <f t="shared" si="7"/>
        <v>89.800000000000011</v>
      </c>
      <c r="N107" s="36">
        <f t="shared" si="8"/>
        <v>-89.800000000000011</v>
      </c>
      <c r="O107" s="34">
        <f>IF(ISBLANK(A107),"",SUMIFS(I$3:I107,D$3:D107,D107,H$3:H107,"Buy")+SUMIFS(I$3:I107,D$3:D107,D107,H$3:H107,"Cash Deposit")+SUMIFS(I$3:I107,D$3:D107,D107,H$3:H107,"Crypto Deposit")+SUMIFS(I$3:I107,D$3:D107,D107,H$3:H107,"Airdrop/Rewards")-SUMIFS(I$3:I107,D$3:D107,D107,H$3:H107,"Sell"))</f>
        <v>55</v>
      </c>
      <c r="P107" s="2" cm="1">
        <f t="array" ref="P107">IF(ISBLANK(A107),"",IFERROR(IF(OR(H107="Sell",F107="Stable Coin"),INDEX(_xlfn._xlws.FILTER(P$2:P106, D$2:D106=D107),COUNT(_xlfn._xlws.FILTER(P$2:P106, D$2:D106=D107))),(INDEX(_xlfn._xlws.FILTER(P$2:P106, D$2:D106=D107),COUNT(_xlfn._xlws.FILTER(P$2:P106, D$2:D106=D107)))*INDEX(_xlfn._xlws.FILTER(O$2:O106, D$2:D106=D107),COUNT(_xlfn._xlws.FILTER(O$2:O106, D$2:D106=D107)))-N107) / O107), J107))</f>
        <v>9.3281818181818181</v>
      </c>
      <c r="Q107" s="1" t="str">
        <f t="shared" si="9"/>
        <v>USD</v>
      </c>
      <c r="R107" s="1" cm="1">
        <f t="array" ref="R107">IF(A107="", "",
    IFERROR(
        _xlfn.SWITCH(
            TRUE,
            AND(Q107="USD", $Q$2="USD"), K107,
            AND(Q107="USD", $Q$2="GBP"), K107*$Z$3,
            AND(Q107="USD", $Q$2="HKD"), K107*$Z$4,
            AND(Q107="USD", $Q$2="EUR"), K107*$Z$5,
            AND(Q107="GBP", $Q$2="GBP"), K107,
            AND(Q107="GBP", $Q$2="USD"), K107*$Z$6,
            AND(Q107="GBP", $Q$2="HKD"), K107*$Z$7,
            AND(Q107="HKG", $Q$2="HKG"), K107,
            AND(Q107="HKD", $Q$2="USD"), K107*$Z$9,
            AND(Q107="HKD", $Q$2="GBP"), K107*$Z$10,
            AND(Q107="HKD", $Q$2="EUR"), K107*$Z$11,
            AND(Q107="EUR", $Q$2="EUR"), K107,
            AND(Q107="EUR", $Q$2="USD"), K107*$Z$12,
            AND(Q107="EUR", $Q$2="GBP"), K107*$Z$13,
            AND(Q107="EUR", $Q$2="HKD"), K107*$Z$14,
        ),
        0
    )
)</f>
        <v>2.02</v>
      </c>
      <c r="S107" s="1" cm="1">
        <f t="array" ref="S107">IF(A107="", "",
    IFERROR(
        _xlfn.SWITCH(
            TRUE,
            AND(Q107="USD", $Q$2="USD"), M107,
            AND(Q107="USD", $Q$2="GBP"), M107*$Z$3,
            AND(Q107="USD", $Q$2="HKD"), M107*$Z$4,
            AND(Q107="USD", $Q$2="EUR"), M107*$Z$5,
            AND(Q107="GBP", $Q$2="GBP"), M107,
            AND(Q107="GBP", $Q$2="USD"), M107*$Z$6,
            AND(Q107="GBP", $Q$2="HKD"), M107*$Z$7,
            AND(Q107="GBP", $Q$2="HKD"), M107*$Z$8,
            AND(Q107="HKG", $Q$2="HKG"), M107,
            AND(Q107="HKD", $Q$2="USD"), M107*$Z$9,
            AND(Q107="HKD", $Q$2="GBP"), M107*$Z$10,
            AND(Q107="HKD", $Q$2="EUR"), M107*$Z$11,
            AND(Q107="EUR", $Q$2="EUR"), M107,
            AND(Q107="EUR", $Q$2="USD"), M107*$Z$12,
            AND(Q107="EUR", $Q$2="GBP"), M107*$Z$13,
            AND(Q107="EUR", $Q$2="HKD"), M107*$Z$14,
        ),
        0
    )
)</f>
        <v>89.800000000000011</v>
      </c>
      <c r="T107" s="1" t="str">
        <f t="shared" si="10"/>
        <v>24</v>
      </c>
      <c r="U107" s="9" t="str">
        <f t="shared" si="11"/>
        <v>04</v>
      </c>
      <c r="V107" s="1" t="str">
        <f t="shared" si="12"/>
        <v>2023</v>
      </c>
      <c r="W107" s="18" t="str">
        <f t="shared" si="13"/>
        <v>星期一</v>
      </c>
    </row>
    <row r="108" spans="1:23">
      <c r="A108" s="17" t="s">
        <v>399</v>
      </c>
      <c r="B108" s="1" t="s">
        <v>348</v>
      </c>
      <c r="C108" s="9">
        <v>45040</v>
      </c>
      <c r="D108" s="1" t="e" vm="15">
        <v>#VALUE!</v>
      </c>
      <c r="E108" s="1" t="s">
        <v>410</v>
      </c>
      <c r="F108" s="1" t="s">
        <v>411</v>
      </c>
      <c r="H108" s="1" t="s">
        <v>347</v>
      </c>
      <c r="I108" s="1">
        <v>10</v>
      </c>
      <c r="J108" s="27">
        <v>17.100000000000001</v>
      </c>
      <c r="K108" s="1">
        <v>2.02</v>
      </c>
      <c r="M108" s="24">
        <f t="shared" si="7"/>
        <v>171</v>
      </c>
      <c r="N108" s="36">
        <f t="shared" si="8"/>
        <v>-171</v>
      </c>
      <c r="O108" s="34">
        <f>IF(ISBLANK(A108),"",SUMIFS(I$3:I108,D$3:D108,D108,H$3:H108,"Buy")+SUMIFS(I$3:I108,D$3:D108,D108,H$3:H108,"Cash Deposit")+SUMIFS(I$3:I108,D$3:D108,D108,H$3:H108,"Crypto Deposit")+SUMIFS(I$3:I108,D$3:D108,D108,H$3:H108,"Airdrop/Rewards")-SUMIFS(I$3:I108,D$3:D108,D108,H$3:H108,"Sell"))</f>
        <v>70</v>
      </c>
      <c r="P108" s="2" cm="1">
        <f t="array" ref="P108">IF(ISBLANK(A108),"",IFERROR(IF(OR(H108="Sell",F108="Stable Coin"),INDEX(_xlfn._xlws.FILTER(P$2:P107, D$2:D107=D108),COUNT(_xlfn._xlws.FILTER(P$2:P107, D$2:D107=D108))),(INDEX(_xlfn._xlws.FILTER(P$2:P107, D$2:D107=D108),COUNT(_xlfn._xlws.FILTER(P$2:P107, D$2:D107=D108)))*INDEX(_xlfn._xlws.FILTER(O$2:O107, D$2:D107=D108),COUNT(_xlfn._xlws.FILTER(O$2:O107, D$2:D107=D108)))-N108) / O108), J108))</f>
        <v>16.775714285714287</v>
      </c>
      <c r="Q108" s="1" t="str">
        <f t="shared" si="9"/>
        <v>USD</v>
      </c>
      <c r="R108" s="1" cm="1">
        <f t="array" ref="R108">IF(A108="", "",
    IFERROR(
        _xlfn.SWITCH(
            TRUE,
            AND(Q108="USD", $Q$2="USD"), K108,
            AND(Q108="USD", $Q$2="GBP"), K108*$Z$3,
            AND(Q108="USD", $Q$2="HKD"), K108*$Z$4,
            AND(Q108="USD", $Q$2="EUR"), K108*$Z$5,
            AND(Q108="GBP", $Q$2="GBP"), K108,
            AND(Q108="GBP", $Q$2="USD"), K108*$Z$6,
            AND(Q108="GBP", $Q$2="HKD"), K108*$Z$7,
            AND(Q108="HKG", $Q$2="HKG"), K108,
            AND(Q108="HKD", $Q$2="USD"), K108*$Z$9,
            AND(Q108="HKD", $Q$2="GBP"), K108*$Z$10,
            AND(Q108="HKD", $Q$2="EUR"), K108*$Z$11,
            AND(Q108="EUR", $Q$2="EUR"), K108,
            AND(Q108="EUR", $Q$2="USD"), K108*$Z$12,
            AND(Q108="EUR", $Q$2="GBP"), K108*$Z$13,
            AND(Q108="EUR", $Q$2="HKD"), K108*$Z$14,
        ),
        0
    )
)</f>
        <v>2.02</v>
      </c>
      <c r="S108" s="1" cm="1">
        <f t="array" ref="S108">IF(A108="", "",
    IFERROR(
        _xlfn.SWITCH(
            TRUE,
            AND(Q108="USD", $Q$2="USD"), M108,
            AND(Q108="USD", $Q$2="GBP"), M108*$Z$3,
            AND(Q108="USD", $Q$2="HKD"), M108*$Z$4,
            AND(Q108="USD", $Q$2="EUR"), M108*$Z$5,
            AND(Q108="GBP", $Q$2="GBP"), M108,
            AND(Q108="GBP", $Q$2="USD"), M108*$Z$6,
            AND(Q108="GBP", $Q$2="HKD"), M108*$Z$7,
            AND(Q108="GBP", $Q$2="HKD"), M108*$Z$8,
            AND(Q108="HKG", $Q$2="HKG"), M108,
            AND(Q108="HKD", $Q$2="USD"), M108*$Z$9,
            AND(Q108="HKD", $Q$2="GBP"), M108*$Z$10,
            AND(Q108="HKD", $Q$2="EUR"), M108*$Z$11,
            AND(Q108="EUR", $Q$2="EUR"), M108,
            AND(Q108="EUR", $Q$2="USD"), M108*$Z$12,
            AND(Q108="EUR", $Q$2="GBP"), M108*$Z$13,
            AND(Q108="EUR", $Q$2="HKD"), M108*$Z$14,
        ),
        0
    )
)</f>
        <v>171</v>
      </c>
      <c r="T108" s="1" t="str">
        <f t="shared" si="10"/>
        <v>24</v>
      </c>
      <c r="U108" s="9" t="str">
        <f t="shared" si="11"/>
        <v>04</v>
      </c>
      <c r="V108" s="1" t="str">
        <f t="shared" si="12"/>
        <v>2023</v>
      </c>
      <c r="W108" s="18" t="str">
        <f t="shared" si="13"/>
        <v>星期一</v>
      </c>
    </row>
    <row r="109" spans="1:23">
      <c r="A109" s="17" t="s">
        <v>399</v>
      </c>
      <c r="B109" s="1" t="s">
        <v>348</v>
      </c>
      <c r="C109" s="9">
        <v>45040</v>
      </c>
      <c r="D109" s="1" t="e" vm="17">
        <v>#VALUE!</v>
      </c>
      <c r="E109" s="1" t="s">
        <v>32</v>
      </c>
      <c r="F109" s="1" t="s">
        <v>401</v>
      </c>
      <c r="H109" s="1" t="s">
        <v>347</v>
      </c>
      <c r="I109" s="1">
        <v>4</v>
      </c>
      <c r="J109" s="27">
        <v>54.79</v>
      </c>
      <c r="K109" s="1">
        <v>2</v>
      </c>
      <c r="M109" s="24">
        <f t="shared" si="7"/>
        <v>219.16</v>
      </c>
      <c r="N109" s="36">
        <f t="shared" si="8"/>
        <v>-219.16</v>
      </c>
      <c r="O109" s="34">
        <f>IF(ISBLANK(A109),"",SUMIFS(I$3:I109,D$3:D109,D109,H$3:H109,"Buy")+SUMIFS(I$3:I109,D$3:D109,D109,H$3:H109,"Cash Deposit")+SUMIFS(I$3:I109,D$3:D109,D109,H$3:H109,"Crypto Deposit")+SUMIFS(I$3:I109,D$3:D109,D109,H$3:H109,"Airdrop/Rewards")-SUMIFS(I$3:I109,D$3:D109,D109,H$3:H109,"Sell"))</f>
        <v>46</v>
      </c>
      <c r="P109" s="2" cm="1">
        <f t="array" ref="P109">IF(ISBLANK(A109),"",IFERROR(IF(OR(H109="Sell",F109="Stable Coin"),INDEX(_xlfn._xlws.FILTER(P$2:P108, D$2:D108=D109),COUNT(_xlfn._xlws.FILTER(P$2:P108, D$2:D108=D109))),(INDEX(_xlfn._xlws.FILTER(P$2:P108, D$2:D108=D109),COUNT(_xlfn._xlws.FILTER(P$2:P108, D$2:D108=D109)))*INDEX(_xlfn._xlws.FILTER(O$2:O108, D$2:D108=D109),COUNT(_xlfn._xlws.FILTER(O$2:O108, D$2:D108=D109)))-N109) / O109), J109))</f>
        <v>61.503695652173917</v>
      </c>
      <c r="Q109" s="1" t="str">
        <f t="shared" si="9"/>
        <v>USD</v>
      </c>
      <c r="R109" s="1" cm="1">
        <f t="array" ref="R109">IF(A109="", "",
    IFERROR(
        _xlfn.SWITCH(
            TRUE,
            AND(Q109="USD", $Q$2="USD"), K109,
            AND(Q109="USD", $Q$2="GBP"), K109*$Z$3,
            AND(Q109="USD", $Q$2="HKD"), K109*$Z$4,
            AND(Q109="USD", $Q$2="EUR"), K109*$Z$5,
            AND(Q109="GBP", $Q$2="GBP"), K109,
            AND(Q109="GBP", $Q$2="USD"), K109*$Z$6,
            AND(Q109="GBP", $Q$2="HKD"), K109*$Z$7,
            AND(Q109="HKG", $Q$2="HKG"), K109,
            AND(Q109="HKD", $Q$2="USD"), K109*$Z$9,
            AND(Q109="HKD", $Q$2="GBP"), K109*$Z$10,
            AND(Q109="HKD", $Q$2="EUR"), K109*$Z$11,
            AND(Q109="EUR", $Q$2="EUR"), K109,
            AND(Q109="EUR", $Q$2="USD"), K109*$Z$12,
            AND(Q109="EUR", $Q$2="GBP"), K109*$Z$13,
            AND(Q109="EUR", $Q$2="HKD"), K109*$Z$14,
        ),
        0
    )
)</f>
        <v>2</v>
      </c>
      <c r="S109" s="1" cm="1">
        <f t="array" ref="S109">IF(A109="", "",
    IFERROR(
        _xlfn.SWITCH(
            TRUE,
            AND(Q109="USD", $Q$2="USD"), M109,
            AND(Q109="USD", $Q$2="GBP"), M109*$Z$3,
            AND(Q109="USD", $Q$2="HKD"), M109*$Z$4,
            AND(Q109="USD", $Q$2="EUR"), M109*$Z$5,
            AND(Q109="GBP", $Q$2="GBP"), M109,
            AND(Q109="GBP", $Q$2="USD"), M109*$Z$6,
            AND(Q109="GBP", $Q$2="HKD"), M109*$Z$7,
            AND(Q109="GBP", $Q$2="HKD"), M109*$Z$8,
            AND(Q109="HKG", $Q$2="HKG"), M109,
            AND(Q109="HKD", $Q$2="USD"), M109*$Z$9,
            AND(Q109="HKD", $Q$2="GBP"), M109*$Z$10,
            AND(Q109="HKD", $Q$2="EUR"), M109*$Z$11,
            AND(Q109="EUR", $Q$2="EUR"), M109,
            AND(Q109="EUR", $Q$2="USD"), M109*$Z$12,
            AND(Q109="EUR", $Q$2="GBP"), M109*$Z$13,
            AND(Q109="EUR", $Q$2="HKD"), M109*$Z$14,
        ),
        0
    )
)</f>
        <v>219.16</v>
      </c>
      <c r="T109" s="1" t="str">
        <f t="shared" si="10"/>
        <v>24</v>
      </c>
      <c r="U109" s="9" t="str">
        <f t="shared" si="11"/>
        <v>04</v>
      </c>
      <c r="V109" s="1" t="str">
        <f t="shared" si="12"/>
        <v>2023</v>
      </c>
      <c r="W109" s="18" t="str">
        <f t="shared" si="13"/>
        <v>星期一</v>
      </c>
    </row>
    <row r="110" spans="1:23">
      <c r="A110" s="17" t="s">
        <v>399</v>
      </c>
      <c r="B110" s="1" t="s">
        <v>348</v>
      </c>
      <c r="C110" s="9">
        <v>45042</v>
      </c>
      <c r="D110" s="1" t="e" vm="17">
        <v>#VALUE!</v>
      </c>
      <c r="E110" s="1" t="s">
        <v>32</v>
      </c>
      <c r="F110" s="1" t="s">
        <v>401</v>
      </c>
      <c r="H110" s="1" t="s">
        <v>347</v>
      </c>
      <c r="I110" s="1">
        <v>4</v>
      </c>
      <c r="J110" s="27">
        <v>54.5488</v>
      </c>
      <c r="K110" s="1">
        <v>2</v>
      </c>
      <c r="M110" s="24">
        <f t="shared" si="7"/>
        <v>218.1952</v>
      </c>
      <c r="N110" s="36">
        <f t="shared" si="8"/>
        <v>-218.1952</v>
      </c>
      <c r="O110" s="34">
        <f>IF(ISBLANK(A110),"",SUMIFS(I$3:I110,D$3:D110,D110,H$3:H110,"Buy")+SUMIFS(I$3:I110,D$3:D110,D110,H$3:H110,"Cash Deposit")+SUMIFS(I$3:I110,D$3:D110,D110,H$3:H110,"Crypto Deposit")+SUMIFS(I$3:I110,D$3:D110,D110,H$3:H110,"Airdrop/Rewards")-SUMIFS(I$3:I110,D$3:D110,D110,H$3:H110,"Sell"))</f>
        <v>50</v>
      </c>
      <c r="P110" s="2" cm="1">
        <f t="array" ref="P110">IF(ISBLANK(A110),"",IFERROR(IF(OR(H110="Sell",F110="Stable Coin"),INDEX(_xlfn._xlws.FILTER(P$2:P109, D$2:D109=D110),COUNT(_xlfn._xlws.FILTER(P$2:P109, D$2:D109=D110))),(INDEX(_xlfn._xlws.FILTER(P$2:P109, D$2:D109=D110),COUNT(_xlfn._xlws.FILTER(P$2:P109, D$2:D109=D110)))*INDEX(_xlfn._xlws.FILTER(O$2:O109, D$2:D109=D110),COUNT(_xlfn._xlws.FILTER(O$2:O109, D$2:D109=D110)))-N110) / O110), J110))</f>
        <v>60.947304000000003</v>
      </c>
      <c r="Q110" s="1" t="str">
        <f t="shared" si="9"/>
        <v>USD</v>
      </c>
      <c r="R110" s="1" cm="1">
        <f t="array" ref="R110">IF(A110="", "",
    IFERROR(
        _xlfn.SWITCH(
            TRUE,
            AND(Q110="USD", $Q$2="USD"), K110,
            AND(Q110="USD", $Q$2="GBP"), K110*$Z$3,
            AND(Q110="USD", $Q$2="HKD"), K110*$Z$4,
            AND(Q110="USD", $Q$2="EUR"), K110*$Z$5,
            AND(Q110="GBP", $Q$2="GBP"), K110,
            AND(Q110="GBP", $Q$2="USD"), K110*$Z$6,
            AND(Q110="GBP", $Q$2="HKD"), K110*$Z$7,
            AND(Q110="HKG", $Q$2="HKG"), K110,
            AND(Q110="HKD", $Q$2="USD"), K110*$Z$9,
            AND(Q110="HKD", $Q$2="GBP"), K110*$Z$10,
            AND(Q110="HKD", $Q$2="EUR"), K110*$Z$11,
            AND(Q110="EUR", $Q$2="EUR"), K110,
            AND(Q110="EUR", $Q$2="USD"), K110*$Z$12,
            AND(Q110="EUR", $Q$2="GBP"), K110*$Z$13,
            AND(Q110="EUR", $Q$2="HKD"), K110*$Z$14,
        ),
        0
    )
)</f>
        <v>2</v>
      </c>
      <c r="S110" s="1" cm="1">
        <f t="array" ref="S110">IF(A110="", "",
    IFERROR(
        _xlfn.SWITCH(
            TRUE,
            AND(Q110="USD", $Q$2="USD"), M110,
            AND(Q110="USD", $Q$2="GBP"), M110*$Z$3,
            AND(Q110="USD", $Q$2="HKD"), M110*$Z$4,
            AND(Q110="USD", $Q$2="EUR"), M110*$Z$5,
            AND(Q110="GBP", $Q$2="GBP"), M110,
            AND(Q110="GBP", $Q$2="USD"), M110*$Z$6,
            AND(Q110="GBP", $Q$2="HKD"), M110*$Z$7,
            AND(Q110="GBP", $Q$2="HKD"), M110*$Z$8,
            AND(Q110="HKG", $Q$2="HKG"), M110,
            AND(Q110="HKD", $Q$2="USD"), M110*$Z$9,
            AND(Q110="HKD", $Q$2="GBP"), M110*$Z$10,
            AND(Q110="HKD", $Q$2="EUR"), M110*$Z$11,
            AND(Q110="EUR", $Q$2="EUR"), M110,
            AND(Q110="EUR", $Q$2="USD"), M110*$Z$12,
            AND(Q110="EUR", $Q$2="GBP"), M110*$Z$13,
            AND(Q110="EUR", $Q$2="HKD"), M110*$Z$14,
        ),
        0
    )
)</f>
        <v>218.1952</v>
      </c>
      <c r="T110" s="1" t="str">
        <f t="shared" si="10"/>
        <v>26</v>
      </c>
      <c r="U110" s="9" t="str">
        <f t="shared" si="11"/>
        <v>04</v>
      </c>
      <c r="V110" s="1" t="str">
        <f t="shared" si="12"/>
        <v>2023</v>
      </c>
      <c r="W110" s="18" t="str">
        <f t="shared" si="13"/>
        <v>星期三</v>
      </c>
    </row>
    <row r="111" spans="1:23">
      <c r="A111" s="17" t="s">
        <v>32</v>
      </c>
      <c r="B111" s="1" t="s">
        <v>343</v>
      </c>
      <c r="C111" s="9">
        <v>45043</v>
      </c>
      <c r="D111" s="1" t="s">
        <v>345</v>
      </c>
      <c r="E111" s="1" t="s">
        <v>345</v>
      </c>
      <c r="F111" s="1" t="s">
        <v>345</v>
      </c>
      <c r="I111" s="1">
        <v>1</v>
      </c>
      <c r="J111" s="27">
        <v>100</v>
      </c>
      <c r="M111" s="24">
        <f t="shared" si="7"/>
        <v>100</v>
      </c>
      <c r="N111" s="36">
        <f t="shared" si="8"/>
        <v>0</v>
      </c>
      <c r="O111" s="34">
        <f>IF(ISBLANK(A111),"",SUMIFS(I$3:I111,D$3:D111,D111,H$3:H111,"Buy")+SUMIFS(I$3:I111,D$3:D111,D111,H$3:H111,"Cash Deposit")+SUMIFS(I$3:I111,D$3:D111,D111,H$3:H111,"Crypto Deposit")+SUMIFS(I$3:I111,D$3:D111,D111,H$3:H111,"Airdrop/Rewards")-SUMIFS(I$3:I111,D$3:D111,D111,H$3:H111,"Sell"))</f>
        <v>3</v>
      </c>
      <c r="P111" s="2" cm="1">
        <f t="array" ref="P111">IF(ISBLANK(A111),"",IFERROR(IF(OR(H111="Sell",F111="Stable Coin"),INDEX(_xlfn._xlws.FILTER(P$2:P110, D$2:D110=D111),COUNT(_xlfn._xlws.FILTER(P$2:P110, D$2:D110=D111))),(INDEX(_xlfn._xlws.FILTER(P$2:P110, D$2:D110=D111),COUNT(_xlfn._xlws.FILTER(P$2:P110, D$2:D110=D111)))*INDEX(_xlfn._xlws.FILTER(O$2:O110, D$2:D110=D111),COUNT(_xlfn._xlws.FILTER(O$2:O110, D$2:D110=D111)))-N111) / O111), J111))</f>
        <v>2626.6666666666665</v>
      </c>
      <c r="Q111" s="1" t="str">
        <f t="shared" si="9"/>
        <v>GBP</v>
      </c>
      <c r="R111" s="1" cm="1">
        <f t="array" ref="R111">IF(A111="", "",
    IFERROR(
        _xlfn.SWITCH(
            TRUE,
            AND(Q111="USD", $Q$2="USD"), K111,
            AND(Q111="USD", $Q$2="GBP"), K111*$Z$3,
            AND(Q111="USD", $Q$2="HKD"), K111*$Z$4,
            AND(Q111="USD", $Q$2="EUR"), K111*$Z$5,
            AND(Q111="GBP", $Q$2="GBP"), K111,
            AND(Q111="GBP", $Q$2="USD"), K111*$Z$6,
            AND(Q111="GBP", $Q$2="HKD"), K111*$Z$7,
            AND(Q111="HKG", $Q$2="HKG"), K111,
            AND(Q111="HKD", $Q$2="USD"), K111*$Z$9,
            AND(Q111="HKD", $Q$2="GBP"), K111*$Z$10,
            AND(Q111="HKD", $Q$2="EUR"), K111*$Z$11,
            AND(Q111="EUR", $Q$2="EUR"), K111,
            AND(Q111="EUR", $Q$2="USD"), K111*$Z$12,
            AND(Q111="EUR", $Q$2="GBP"), K111*$Z$13,
            AND(Q111="EUR", $Q$2="HKD"), K111*$Z$14,
        ),
        0
    )
)</f>
        <v>0</v>
      </c>
      <c r="S111" s="1" cm="1">
        <f t="array" ref="S111">IF(A111="", "",
    IFERROR(
        _xlfn.SWITCH(
            TRUE,
            AND(Q111="USD", $Q$2="USD"), M111,
            AND(Q111="USD", $Q$2="GBP"), M111*$Z$3,
            AND(Q111="USD", $Q$2="HKD"), M111*$Z$4,
            AND(Q111="USD", $Q$2="EUR"), M111*$Z$5,
            AND(Q111="GBP", $Q$2="GBP"), M111,
            AND(Q111="GBP", $Q$2="USD"), M111*$Z$6,
            AND(Q111="GBP", $Q$2="HKD"), M111*$Z$7,
            AND(Q111="GBP", $Q$2="HKD"), M111*$Z$8,
            AND(Q111="HKG", $Q$2="HKG"), M111,
            AND(Q111="HKD", $Q$2="USD"), M111*$Z$9,
            AND(Q111="HKD", $Q$2="GBP"), M111*$Z$10,
            AND(Q111="HKD", $Q$2="EUR"), M111*$Z$11,
            AND(Q111="EUR", $Q$2="EUR"), M111,
            AND(Q111="EUR", $Q$2="USD"), M111*$Z$12,
            AND(Q111="EUR", $Q$2="GBP"), M111*$Z$13,
            AND(Q111="EUR", $Q$2="HKD"), M111*$Z$14,
        ),
        0
    )
)</f>
        <v>127.82</v>
      </c>
      <c r="T111" s="1" t="str">
        <f t="shared" si="10"/>
        <v>27</v>
      </c>
      <c r="U111" s="9" t="str">
        <f t="shared" si="11"/>
        <v>04</v>
      </c>
      <c r="V111" s="1" t="str">
        <f t="shared" si="12"/>
        <v>2023</v>
      </c>
      <c r="W111" s="18" t="str">
        <f t="shared" si="13"/>
        <v>星期四</v>
      </c>
    </row>
    <row r="112" spans="1:23">
      <c r="A112" s="17" t="s">
        <v>32</v>
      </c>
      <c r="B112" s="1" t="s">
        <v>348</v>
      </c>
      <c r="C112" s="9">
        <v>45043</v>
      </c>
      <c r="D112" s="1" t="s">
        <v>122</v>
      </c>
      <c r="E112" s="1" t="s">
        <v>122</v>
      </c>
      <c r="F112" s="1" t="s">
        <v>346</v>
      </c>
      <c r="H112" s="1" t="s">
        <v>347</v>
      </c>
      <c r="I112" s="1">
        <v>124.17</v>
      </c>
      <c r="J112" s="27">
        <v>1</v>
      </c>
      <c r="M112" s="24">
        <f t="shared" si="7"/>
        <v>124.17</v>
      </c>
      <c r="N112" s="36">
        <f t="shared" si="8"/>
        <v>-124.17</v>
      </c>
      <c r="O112" s="34">
        <f>IF(ISBLANK(A112),"",SUMIFS(I$3:I112,D$3:D112,D112,H$3:H112,"Buy")+SUMIFS(I$3:I112,D$3:D112,D112,H$3:H112,"Cash Deposit")+SUMIFS(I$3:I112,D$3:D112,D112,H$3:H112,"Crypto Deposit")+SUMIFS(I$3:I112,D$3:D112,D112,H$3:H112,"Airdrop/Rewards")-SUMIFS(I$3:I112,D$3:D112,D112,H$3:H112,"Sell"))</f>
        <v>124.17</v>
      </c>
      <c r="P112" s="2" cm="1">
        <f t="array" ref="P112">IF(ISBLANK(A112),"",IFERROR(IF(OR(H112="Sell",F112="Stable Coin"),INDEX(_xlfn._xlws.FILTER(P$2:P111, D$2:D111=D112),COUNT(_xlfn._xlws.FILTER(P$2:P111, D$2:D111=D112))),(INDEX(_xlfn._xlws.FILTER(P$2:P111, D$2:D111=D112),COUNT(_xlfn._xlws.FILTER(P$2:P111, D$2:D111=D112)))*INDEX(_xlfn._xlws.FILTER(O$2:O111, D$2:D111=D112),COUNT(_xlfn._xlws.FILTER(O$2:O111, D$2:D111=D112)))-N112) / O112), J112))</f>
        <v>1</v>
      </c>
      <c r="Q112" s="1" t="str">
        <f t="shared" si="9"/>
        <v>USD</v>
      </c>
      <c r="R112" s="1" cm="1">
        <f t="array" ref="R112">IF(A112="", "",
    IFERROR(
        _xlfn.SWITCH(
            TRUE,
            AND(Q112="USD", $Q$2="USD"), K112,
            AND(Q112="USD", $Q$2="GBP"), K112*$Z$3,
            AND(Q112="USD", $Q$2="HKD"), K112*$Z$4,
            AND(Q112="USD", $Q$2="EUR"), K112*$Z$5,
            AND(Q112="GBP", $Q$2="GBP"), K112,
            AND(Q112="GBP", $Q$2="USD"), K112*$Z$6,
            AND(Q112="GBP", $Q$2="HKD"), K112*$Z$7,
            AND(Q112="HKG", $Q$2="HKG"), K112,
            AND(Q112="HKD", $Q$2="USD"), K112*$Z$9,
            AND(Q112="HKD", $Q$2="GBP"), K112*$Z$10,
            AND(Q112="HKD", $Q$2="EUR"), K112*$Z$11,
            AND(Q112="EUR", $Q$2="EUR"), K112,
            AND(Q112="EUR", $Q$2="USD"), K112*$Z$12,
            AND(Q112="EUR", $Q$2="GBP"), K112*$Z$13,
            AND(Q112="EUR", $Q$2="HKD"), K112*$Z$14,
        ),
        0
    )
)</f>
        <v>0</v>
      </c>
      <c r="S112" s="1" cm="1">
        <f t="array" ref="S112">IF(A112="", "",
    IFERROR(
        _xlfn.SWITCH(
            TRUE,
            AND(Q112="USD", $Q$2="USD"), M112,
            AND(Q112="USD", $Q$2="GBP"), M112*$Z$3,
            AND(Q112="USD", $Q$2="HKD"), M112*$Z$4,
            AND(Q112="USD", $Q$2="EUR"), M112*$Z$5,
            AND(Q112="GBP", $Q$2="GBP"), M112,
            AND(Q112="GBP", $Q$2="USD"), M112*$Z$6,
            AND(Q112="GBP", $Q$2="HKD"), M112*$Z$7,
            AND(Q112="GBP", $Q$2="HKD"), M112*$Z$8,
            AND(Q112="HKG", $Q$2="HKG"), M112,
            AND(Q112="HKD", $Q$2="USD"), M112*$Z$9,
            AND(Q112="HKD", $Q$2="GBP"), M112*$Z$10,
            AND(Q112="HKD", $Q$2="EUR"), M112*$Z$11,
            AND(Q112="EUR", $Q$2="EUR"), M112,
            AND(Q112="EUR", $Q$2="USD"), M112*$Z$12,
            AND(Q112="EUR", $Q$2="GBP"), M112*$Z$13,
            AND(Q112="EUR", $Q$2="HKD"), M112*$Z$14,
        ),
        0
    )
)</f>
        <v>124.17</v>
      </c>
      <c r="T112" s="1" t="str">
        <f t="shared" si="10"/>
        <v>27</v>
      </c>
      <c r="U112" s="9" t="str">
        <f t="shared" si="11"/>
        <v>04</v>
      </c>
      <c r="V112" s="1" t="str">
        <f t="shared" si="12"/>
        <v>2023</v>
      </c>
      <c r="W112" s="18" t="str">
        <f t="shared" si="13"/>
        <v>星期四</v>
      </c>
    </row>
    <row r="113" spans="1:23">
      <c r="A113" s="17" t="s">
        <v>32</v>
      </c>
      <c r="B113" s="1" t="s">
        <v>348</v>
      </c>
      <c r="C113" s="9">
        <v>45043</v>
      </c>
      <c r="D113" s="1" t="s">
        <v>122</v>
      </c>
      <c r="E113" s="1" t="s">
        <v>122</v>
      </c>
      <c r="F113" s="1" t="s">
        <v>346</v>
      </c>
      <c r="H113" s="1" t="s">
        <v>367</v>
      </c>
      <c r="I113" s="1">
        <v>124.17</v>
      </c>
      <c r="J113" s="27">
        <v>1</v>
      </c>
      <c r="M113" s="24">
        <f t="shared" si="7"/>
        <v>124.17</v>
      </c>
      <c r="N113" s="36">
        <f t="shared" si="8"/>
        <v>124.17</v>
      </c>
      <c r="O113" s="34">
        <f>IF(ISBLANK(A113),"",SUMIFS(I$3:I113,D$3:D113,D113,H$3:H113,"Buy")+SUMIFS(I$3:I113,D$3:D113,D113,H$3:H113,"Cash Deposit")+SUMIFS(I$3:I113,D$3:D113,D113,H$3:H113,"Crypto Deposit")+SUMIFS(I$3:I113,D$3:D113,D113,H$3:H113,"Airdrop/Rewards")-SUMIFS(I$3:I113,D$3:D113,D113,H$3:H113,"Sell"))</f>
        <v>0</v>
      </c>
      <c r="P113" s="2" cm="1">
        <f t="array" ref="P113">IF(ISBLANK(A113),"",IFERROR(IF(OR(H113="Sell",F113="Stable Coin"),INDEX(_xlfn._xlws.FILTER(P$2:P112, D$2:D112=D113),COUNT(_xlfn._xlws.FILTER(P$2:P112, D$2:D112=D113))),(INDEX(_xlfn._xlws.FILTER(P$2:P112, D$2:D112=D113),COUNT(_xlfn._xlws.FILTER(P$2:P112, D$2:D112=D113)))*INDEX(_xlfn._xlws.FILTER(O$2:O112, D$2:D112=D113),COUNT(_xlfn._xlws.FILTER(O$2:O112, D$2:D112=D113)))-N113) / O113), J113))</f>
        <v>1</v>
      </c>
      <c r="Q113" s="1" t="str">
        <f t="shared" si="9"/>
        <v>USD</v>
      </c>
      <c r="R113" s="1" cm="1">
        <f t="array" ref="R113">IF(A113="", "",
    IFERROR(
        _xlfn.SWITCH(
            TRUE,
            AND(Q113="USD", $Q$2="USD"), K113,
            AND(Q113="USD", $Q$2="GBP"), K113*$Z$3,
            AND(Q113="USD", $Q$2="HKD"), K113*$Z$4,
            AND(Q113="USD", $Q$2="EUR"), K113*$Z$5,
            AND(Q113="GBP", $Q$2="GBP"), K113,
            AND(Q113="GBP", $Q$2="USD"), K113*$Z$6,
            AND(Q113="GBP", $Q$2="HKD"), K113*$Z$7,
            AND(Q113="HKG", $Q$2="HKG"), K113,
            AND(Q113="HKD", $Q$2="USD"), K113*$Z$9,
            AND(Q113="HKD", $Q$2="GBP"), K113*$Z$10,
            AND(Q113="HKD", $Q$2="EUR"), K113*$Z$11,
            AND(Q113="EUR", $Q$2="EUR"), K113,
            AND(Q113="EUR", $Q$2="USD"), K113*$Z$12,
            AND(Q113="EUR", $Q$2="GBP"), K113*$Z$13,
            AND(Q113="EUR", $Q$2="HKD"), K113*$Z$14,
        ),
        0
    )
)</f>
        <v>0</v>
      </c>
      <c r="S113" s="1" cm="1">
        <f t="array" ref="S113">IF(A113="", "",
    IFERROR(
        _xlfn.SWITCH(
            TRUE,
            AND(Q113="USD", $Q$2="USD"), M113,
            AND(Q113="USD", $Q$2="GBP"), M113*$Z$3,
            AND(Q113="USD", $Q$2="HKD"), M113*$Z$4,
            AND(Q113="USD", $Q$2="EUR"), M113*$Z$5,
            AND(Q113="GBP", $Q$2="GBP"), M113,
            AND(Q113="GBP", $Q$2="USD"), M113*$Z$6,
            AND(Q113="GBP", $Q$2="HKD"), M113*$Z$7,
            AND(Q113="GBP", $Q$2="HKD"), M113*$Z$8,
            AND(Q113="HKG", $Q$2="HKG"), M113,
            AND(Q113="HKD", $Q$2="USD"), M113*$Z$9,
            AND(Q113="HKD", $Q$2="GBP"), M113*$Z$10,
            AND(Q113="HKD", $Q$2="EUR"), M113*$Z$11,
            AND(Q113="EUR", $Q$2="EUR"), M113,
            AND(Q113="EUR", $Q$2="USD"), M113*$Z$12,
            AND(Q113="EUR", $Q$2="GBP"), M113*$Z$13,
            AND(Q113="EUR", $Q$2="HKD"), M113*$Z$14,
        ),
        0
    )
)</f>
        <v>124.17</v>
      </c>
      <c r="T113" s="1" t="str">
        <f t="shared" si="10"/>
        <v>27</v>
      </c>
      <c r="U113" s="9" t="str">
        <f t="shared" si="11"/>
        <v>04</v>
      </c>
      <c r="V113" s="1" t="str">
        <f t="shared" si="12"/>
        <v>2023</v>
      </c>
      <c r="W113" s="18" t="str">
        <f t="shared" si="13"/>
        <v>星期四</v>
      </c>
    </row>
    <row r="114" spans="1:23">
      <c r="A114" s="17" t="s">
        <v>32</v>
      </c>
      <c r="B114" s="1" t="s">
        <v>348</v>
      </c>
      <c r="C114" s="9">
        <v>45043</v>
      </c>
      <c r="D114" s="1" t="s">
        <v>55</v>
      </c>
      <c r="E114" s="1" t="s">
        <v>31</v>
      </c>
      <c r="F114" s="1" t="s">
        <v>349</v>
      </c>
      <c r="H114" s="1" t="s">
        <v>347</v>
      </c>
      <c r="I114" s="1">
        <v>296.5</v>
      </c>
      <c r="J114" s="27">
        <v>0.41878583473861702</v>
      </c>
      <c r="M114" s="24">
        <f t="shared" si="7"/>
        <v>124.16999999999994</v>
      </c>
      <c r="N114" s="36">
        <f t="shared" si="8"/>
        <v>-124.16999999999994</v>
      </c>
      <c r="O114" s="34">
        <f>IF(ISBLANK(A114),"",SUMIFS(I$3:I114,D$3:D114,D114,H$3:H114,"Buy")+SUMIFS(I$3:I114,D$3:D114,D114,H$3:H114,"Cash Deposit")+SUMIFS(I$3:I114,D$3:D114,D114,H$3:H114,"Crypto Deposit")+SUMIFS(I$3:I114,D$3:D114,D114,H$3:H114,"Airdrop/Rewards")-SUMIFS(I$3:I114,D$3:D114,D114,H$3:H114,"Sell"))</f>
        <v>3295.5</v>
      </c>
      <c r="P114" s="2" cm="1">
        <f t="array" ref="P114">IF(ISBLANK(A114),"",IFERROR(IF(OR(H114="Sell",F114="Stable Coin"),INDEX(_xlfn._xlws.FILTER(P$2:P113, D$2:D113=D114),COUNT(_xlfn._xlws.FILTER(P$2:P113, D$2:D113=D114))),(INDEX(_xlfn._xlws.FILTER(P$2:P113, D$2:D113=D114),COUNT(_xlfn._xlws.FILTER(P$2:P113, D$2:D113=D114)))*INDEX(_xlfn._xlws.FILTER(O$2:O113, D$2:D113=D114),COUNT(_xlfn._xlws.FILTER(O$2:O113, D$2:D113=D114)))-N114) / O114), J114))</f>
        <v>0.42899104839933233</v>
      </c>
      <c r="Q114" s="1" t="str">
        <f t="shared" si="9"/>
        <v>USD</v>
      </c>
      <c r="R114" s="1" cm="1">
        <f t="array" ref="R114">IF(A114="", "",
    IFERROR(
        _xlfn.SWITCH(
            TRUE,
            AND(Q114="USD", $Q$2="USD"), K114,
            AND(Q114="USD", $Q$2="GBP"), K114*$Z$3,
            AND(Q114="USD", $Q$2="HKD"), K114*$Z$4,
            AND(Q114="USD", $Q$2="EUR"), K114*$Z$5,
            AND(Q114="GBP", $Q$2="GBP"), K114,
            AND(Q114="GBP", $Q$2="USD"), K114*$Z$6,
            AND(Q114="GBP", $Q$2="HKD"), K114*$Z$7,
            AND(Q114="HKG", $Q$2="HKG"), K114,
            AND(Q114="HKD", $Q$2="USD"), K114*$Z$9,
            AND(Q114="HKD", $Q$2="GBP"), K114*$Z$10,
            AND(Q114="HKD", $Q$2="EUR"), K114*$Z$11,
            AND(Q114="EUR", $Q$2="EUR"), K114,
            AND(Q114="EUR", $Q$2="USD"), K114*$Z$12,
            AND(Q114="EUR", $Q$2="GBP"), K114*$Z$13,
            AND(Q114="EUR", $Q$2="HKD"), K114*$Z$14,
        ),
        0
    )
)</f>
        <v>0</v>
      </c>
      <c r="S114" s="1" cm="1">
        <f t="array" ref="S114">IF(A114="", "",
    IFERROR(
        _xlfn.SWITCH(
            TRUE,
            AND(Q114="USD", $Q$2="USD"), M114,
            AND(Q114="USD", $Q$2="GBP"), M114*$Z$3,
            AND(Q114="USD", $Q$2="HKD"), M114*$Z$4,
            AND(Q114="USD", $Q$2="EUR"), M114*$Z$5,
            AND(Q114="GBP", $Q$2="GBP"), M114,
            AND(Q114="GBP", $Q$2="USD"), M114*$Z$6,
            AND(Q114="GBP", $Q$2="HKD"), M114*$Z$7,
            AND(Q114="GBP", $Q$2="HKD"), M114*$Z$8,
            AND(Q114="HKG", $Q$2="HKG"), M114,
            AND(Q114="HKD", $Q$2="USD"), M114*$Z$9,
            AND(Q114="HKD", $Q$2="GBP"), M114*$Z$10,
            AND(Q114="HKD", $Q$2="EUR"), M114*$Z$11,
            AND(Q114="EUR", $Q$2="EUR"), M114,
            AND(Q114="EUR", $Q$2="USD"), M114*$Z$12,
            AND(Q114="EUR", $Q$2="GBP"), M114*$Z$13,
            AND(Q114="EUR", $Q$2="HKD"), M114*$Z$14,
        ),
        0
    )
)</f>
        <v>124.16999999999994</v>
      </c>
      <c r="T114" s="1" t="str">
        <f t="shared" si="10"/>
        <v>27</v>
      </c>
      <c r="U114" s="9" t="str">
        <f t="shared" si="11"/>
        <v>04</v>
      </c>
      <c r="V114" s="1" t="str">
        <f t="shared" si="12"/>
        <v>2023</v>
      </c>
      <c r="W114" s="18" t="str">
        <f t="shared" si="13"/>
        <v>星期四</v>
      </c>
    </row>
    <row r="115" spans="1:23">
      <c r="A115" s="17" t="s">
        <v>399</v>
      </c>
      <c r="B115" s="1" t="s">
        <v>348</v>
      </c>
      <c r="C115" s="9">
        <v>45048</v>
      </c>
      <c r="D115" s="1" t="e" vm="20">
        <v>#VALUE!</v>
      </c>
      <c r="E115" s="1" t="s">
        <v>402</v>
      </c>
      <c r="F115" s="1" t="s">
        <v>401</v>
      </c>
      <c r="H115" s="1" t="s">
        <v>347</v>
      </c>
      <c r="I115" s="1">
        <v>20</v>
      </c>
      <c r="J115" s="27">
        <v>9.4278999999999993</v>
      </c>
      <c r="K115" s="1">
        <v>2.0499999999999998</v>
      </c>
      <c r="M115" s="24">
        <f t="shared" si="7"/>
        <v>188.55799999999999</v>
      </c>
      <c r="N115" s="36">
        <f t="shared" si="8"/>
        <v>-188.55799999999999</v>
      </c>
      <c r="O115" s="34">
        <f>IF(ISBLANK(A115),"",SUMIFS(I$3:I115,D$3:D115,D115,H$3:H115,"Buy")+SUMIFS(I$3:I115,D$3:D115,D115,H$3:H115,"Cash Deposit")+SUMIFS(I$3:I115,D$3:D115,D115,H$3:H115,"Crypto Deposit")+SUMIFS(I$3:I115,D$3:D115,D115,H$3:H115,"Airdrop/Rewards")-SUMIFS(I$3:I115,D$3:D115,D115,H$3:H115,"Sell"))</f>
        <v>75</v>
      </c>
      <c r="P115" s="2" cm="1">
        <f t="array" ref="P115">IF(ISBLANK(A115),"",IFERROR(IF(OR(H115="Sell",F115="Stable Coin"),INDEX(_xlfn._xlws.FILTER(P$2:P114, D$2:D114=D115),COUNT(_xlfn._xlws.FILTER(P$2:P114, D$2:D114=D115))),(INDEX(_xlfn._xlws.FILTER(P$2:P114, D$2:D114=D115),COUNT(_xlfn._xlws.FILTER(P$2:P114, D$2:D114=D115)))*INDEX(_xlfn._xlws.FILTER(O$2:O114, D$2:D114=D115),COUNT(_xlfn._xlws.FILTER(O$2:O114, D$2:D114=D115)))-N115) / O115), J115))</f>
        <v>9.3547733333333323</v>
      </c>
      <c r="Q115" s="1" t="str">
        <f t="shared" si="9"/>
        <v>USD</v>
      </c>
      <c r="R115" s="1" cm="1">
        <f t="array" ref="R115">IF(A115="", "",
    IFERROR(
        _xlfn.SWITCH(
            TRUE,
            AND(Q115="USD", $Q$2="USD"), K115,
            AND(Q115="USD", $Q$2="GBP"), K115*$Z$3,
            AND(Q115="USD", $Q$2="HKD"), K115*$Z$4,
            AND(Q115="USD", $Q$2="EUR"), K115*$Z$5,
            AND(Q115="GBP", $Q$2="GBP"), K115,
            AND(Q115="GBP", $Q$2="USD"), K115*$Z$6,
            AND(Q115="GBP", $Q$2="HKD"), K115*$Z$7,
            AND(Q115="HKG", $Q$2="HKG"), K115,
            AND(Q115="HKD", $Q$2="USD"), K115*$Z$9,
            AND(Q115="HKD", $Q$2="GBP"), K115*$Z$10,
            AND(Q115="HKD", $Q$2="EUR"), K115*$Z$11,
            AND(Q115="EUR", $Q$2="EUR"), K115,
            AND(Q115="EUR", $Q$2="USD"), K115*$Z$12,
            AND(Q115="EUR", $Q$2="GBP"), K115*$Z$13,
            AND(Q115="EUR", $Q$2="HKD"), K115*$Z$14,
        ),
        0
    )
)</f>
        <v>2.0499999999999998</v>
      </c>
      <c r="S115" s="1" cm="1">
        <f t="array" ref="S115">IF(A115="", "",
    IFERROR(
        _xlfn.SWITCH(
            TRUE,
            AND(Q115="USD", $Q$2="USD"), M115,
            AND(Q115="USD", $Q$2="GBP"), M115*$Z$3,
            AND(Q115="USD", $Q$2="HKD"), M115*$Z$4,
            AND(Q115="USD", $Q$2="EUR"), M115*$Z$5,
            AND(Q115="GBP", $Q$2="GBP"), M115,
            AND(Q115="GBP", $Q$2="USD"), M115*$Z$6,
            AND(Q115="GBP", $Q$2="HKD"), M115*$Z$7,
            AND(Q115="GBP", $Q$2="HKD"), M115*$Z$8,
            AND(Q115="HKG", $Q$2="HKG"), M115,
            AND(Q115="HKD", $Q$2="USD"), M115*$Z$9,
            AND(Q115="HKD", $Q$2="GBP"), M115*$Z$10,
            AND(Q115="HKD", $Q$2="EUR"), M115*$Z$11,
            AND(Q115="EUR", $Q$2="EUR"), M115,
            AND(Q115="EUR", $Q$2="USD"), M115*$Z$12,
            AND(Q115="EUR", $Q$2="GBP"), M115*$Z$13,
            AND(Q115="EUR", $Q$2="HKD"), M115*$Z$14,
        ),
        0
    )
)</f>
        <v>188.55799999999999</v>
      </c>
      <c r="T115" s="1" t="str">
        <f t="shared" si="10"/>
        <v>2</v>
      </c>
      <c r="U115" s="9" t="str">
        <f t="shared" si="11"/>
        <v>05</v>
      </c>
      <c r="V115" s="1" t="str">
        <f t="shared" si="12"/>
        <v>2023</v>
      </c>
      <c r="W115" s="18" t="str">
        <f t="shared" si="13"/>
        <v>星期二</v>
      </c>
    </row>
    <row r="116" spans="1:23">
      <c r="A116" s="17" t="s">
        <v>399</v>
      </c>
      <c r="B116" s="1" t="s">
        <v>348</v>
      </c>
      <c r="C116" s="9">
        <v>45048</v>
      </c>
      <c r="D116" s="1" t="e" vm="17">
        <v>#VALUE!</v>
      </c>
      <c r="E116" s="1" t="s">
        <v>32</v>
      </c>
      <c r="F116" s="1" t="s">
        <v>401</v>
      </c>
      <c r="H116" s="1" t="s">
        <v>347</v>
      </c>
      <c r="I116" s="1">
        <v>5</v>
      </c>
      <c r="J116" s="27">
        <v>51.34</v>
      </c>
      <c r="K116" s="1">
        <v>2.0099999999999998</v>
      </c>
      <c r="M116" s="24">
        <f t="shared" si="7"/>
        <v>256.70000000000005</v>
      </c>
      <c r="N116" s="36">
        <f t="shared" si="8"/>
        <v>-256.70000000000005</v>
      </c>
      <c r="O116" s="34">
        <f>IF(ISBLANK(A116),"",SUMIFS(I$3:I116,D$3:D116,D116,H$3:H116,"Buy")+SUMIFS(I$3:I116,D$3:D116,D116,H$3:H116,"Cash Deposit")+SUMIFS(I$3:I116,D$3:D116,D116,H$3:H116,"Crypto Deposit")+SUMIFS(I$3:I116,D$3:D116,D116,H$3:H116,"Airdrop/Rewards")-SUMIFS(I$3:I116,D$3:D116,D116,H$3:H116,"Sell"))</f>
        <v>55</v>
      </c>
      <c r="P116" s="2" cm="1">
        <f t="array" ref="P116">IF(ISBLANK(A116),"",IFERROR(IF(OR(H116="Sell",F116="Stable Coin"),INDEX(_xlfn._xlws.FILTER(P$2:P115, D$2:D115=D116),COUNT(_xlfn._xlws.FILTER(P$2:P115, D$2:D115=D116))),(INDEX(_xlfn._xlws.FILTER(P$2:P115, D$2:D115=D116),COUNT(_xlfn._xlws.FILTER(P$2:P115, D$2:D115=D116)))*INDEX(_xlfn._xlws.FILTER(O$2:O115, D$2:D115=D116),COUNT(_xlfn._xlws.FILTER(O$2:O115, D$2:D115=D116)))-N116) / O116), J116))</f>
        <v>60.073912727272727</v>
      </c>
      <c r="Q116" s="1" t="str">
        <f t="shared" si="9"/>
        <v>USD</v>
      </c>
      <c r="R116" s="1" cm="1">
        <f t="array" ref="R116">IF(A116="", "",
    IFERROR(
        _xlfn.SWITCH(
            TRUE,
            AND(Q116="USD", $Q$2="USD"), K116,
            AND(Q116="USD", $Q$2="GBP"), K116*$Z$3,
            AND(Q116="USD", $Q$2="HKD"), K116*$Z$4,
            AND(Q116="USD", $Q$2="EUR"), K116*$Z$5,
            AND(Q116="GBP", $Q$2="GBP"), K116,
            AND(Q116="GBP", $Q$2="USD"), K116*$Z$6,
            AND(Q116="GBP", $Q$2="HKD"), K116*$Z$7,
            AND(Q116="HKG", $Q$2="HKG"), K116,
            AND(Q116="HKD", $Q$2="USD"), K116*$Z$9,
            AND(Q116="HKD", $Q$2="GBP"), K116*$Z$10,
            AND(Q116="HKD", $Q$2="EUR"), K116*$Z$11,
            AND(Q116="EUR", $Q$2="EUR"), K116,
            AND(Q116="EUR", $Q$2="USD"), K116*$Z$12,
            AND(Q116="EUR", $Q$2="GBP"), K116*$Z$13,
            AND(Q116="EUR", $Q$2="HKD"), K116*$Z$14,
        ),
        0
    )
)</f>
        <v>2.0099999999999998</v>
      </c>
      <c r="S116" s="1" cm="1">
        <f t="array" ref="S116">IF(A116="", "",
    IFERROR(
        _xlfn.SWITCH(
            TRUE,
            AND(Q116="USD", $Q$2="USD"), M116,
            AND(Q116="USD", $Q$2="GBP"), M116*$Z$3,
            AND(Q116="USD", $Q$2="HKD"), M116*$Z$4,
            AND(Q116="USD", $Q$2="EUR"), M116*$Z$5,
            AND(Q116="GBP", $Q$2="GBP"), M116,
            AND(Q116="GBP", $Q$2="USD"), M116*$Z$6,
            AND(Q116="GBP", $Q$2="HKD"), M116*$Z$7,
            AND(Q116="GBP", $Q$2="HKD"), M116*$Z$8,
            AND(Q116="HKG", $Q$2="HKG"), M116,
            AND(Q116="HKD", $Q$2="USD"), M116*$Z$9,
            AND(Q116="HKD", $Q$2="GBP"), M116*$Z$10,
            AND(Q116="HKD", $Q$2="EUR"), M116*$Z$11,
            AND(Q116="EUR", $Q$2="EUR"), M116,
            AND(Q116="EUR", $Q$2="USD"), M116*$Z$12,
            AND(Q116="EUR", $Q$2="GBP"), M116*$Z$13,
            AND(Q116="EUR", $Q$2="HKD"), M116*$Z$14,
        ),
        0
    )
)</f>
        <v>256.70000000000005</v>
      </c>
      <c r="T116" s="1" t="str">
        <f t="shared" si="10"/>
        <v>2</v>
      </c>
      <c r="U116" s="9" t="str">
        <f t="shared" si="11"/>
        <v>05</v>
      </c>
      <c r="V116" s="1" t="str">
        <f t="shared" si="12"/>
        <v>2023</v>
      </c>
      <c r="W116" s="18" t="str">
        <f t="shared" si="13"/>
        <v>星期二</v>
      </c>
    </row>
    <row r="117" spans="1:23">
      <c r="A117" s="17" t="s">
        <v>399</v>
      </c>
      <c r="B117" s="1" t="s">
        <v>348</v>
      </c>
      <c r="C117" s="9">
        <v>45049</v>
      </c>
      <c r="D117" s="1" t="e" vm="17">
        <v>#VALUE!</v>
      </c>
      <c r="E117" s="1" t="s">
        <v>32</v>
      </c>
      <c r="F117" s="1" t="s">
        <v>401</v>
      </c>
      <c r="H117" s="1" t="s">
        <v>347</v>
      </c>
      <c r="I117" s="1">
        <v>5</v>
      </c>
      <c r="J117" s="27">
        <v>49.23</v>
      </c>
      <c r="K117" s="1">
        <v>2.0099999999999998</v>
      </c>
      <c r="M117" s="24">
        <f t="shared" si="7"/>
        <v>246.14999999999998</v>
      </c>
      <c r="N117" s="36">
        <f t="shared" si="8"/>
        <v>-246.14999999999998</v>
      </c>
      <c r="O117" s="34">
        <f>IF(ISBLANK(A117),"",SUMIFS(I$3:I117,D$3:D117,D117,H$3:H117,"Buy")+SUMIFS(I$3:I117,D$3:D117,D117,H$3:H117,"Cash Deposit")+SUMIFS(I$3:I117,D$3:D117,D117,H$3:H117,"Crypto Deposit")+SUMIFS(I$3:I117,D$3:D117,D117,H$3:H117,"Airdrop/Rewards")-SUMIFS(I$3:I117,D$3:D117,D117,H$3:H117,"Sell"))</f>
        <v>60</v>
      </c>
      <c r="P117" s="2" cm="1">
        <f t="array" ref="P117">IF(ISBLANK(A117),"",IFERROR(IF(OR(H117="Sell",F117="Stable Coin"),INDEX(_xlfn._xlws.FILTER(P$2:P116, D$2:D116=D117),COUNT(_xlfn._xlws.FILTER(P$2:P116, D$2:D116=D117))),(INDEX(_xlfn._xlws.FILTER(P$2:P116, D$2:D116=D117),COUNT(_xlfn._xlws.FILTER(P$2:P116, D$2:D116=D117)))*INDEX(_xlfn._xlws.FILTER(O$2:O116, D$2:D116=D117),COUNT(_xlfn._xlws.FILTER(O$2:O116, D$2:D116=D117)))-N117) / O117), J117))</f>
        <v>59.170253333333335</v>
      </c>
      <c r="Q117" s="1" t="str">
        <f t="shared" si="9"/>
        <v>USD</v>
      </c>
      <c r="R117" s="1" cm="1">
        <f t="array" ref="R117">IF(A117="", "",
    IFERROR(
        _xlfn.SWITCH(
            TRUE,
            AND(Q117="USD", $Q$2="USD"), K117,
            AND(Q117="USD", $Q$2="GBP"), K117*$Z$3,
            AND(Q117="USD", $Q$2="HKD"), K117*$Z$4,
            AND(Q117="USD", $Q$2="EUR"), K117*$Z$5,
            AND(Q117="GBP", $Q$2="GBP"), K117,
            AND(Q117="GBP", $Q$2="USD"), K117*$Z$6,
            AND(Q117="GBP", $Q$2="HKD"), K117*$Z$7,
            AND(Q117="HKG", $Q$2="HKG"), K117,
            AND(Q117="HKD", $Q$2="USD"), K117*$Z$9,
            AND(Q117="HKD", $Q$2="GBP"), K117*$Z$10,
            AND(Q117="HKD", $Q$2="EUR"), K117*$Z$11,
            AND(Q117="EUR", $Q$2="EUR"), K117,
            AND(Q117="EUR", $Q$2="USD"), K117*$Z$12,
            AND(Q117="EUR", $Q$2="GBP"), K117*$Z$13,
            AND(Q117="EUR", $Q$2="HKD"), K117*$Z$14,
        ),
        0
    )
)</f>
        <v>2.0099999999999998</v>
      </c>
      <c r="S117" s="1" cm="1">
        <f t="array" ref="S117">IF(A117="", "",
    IFERROR(
        _xlfn.SWITCH(
            TRUE,
            AND(Q117="USD", $Q$2="USD"), M117,
            AND(Q117="USD", $Q$2="GBP"), M117*$Z$3,
            AND(Q117="USD", $Q$2="HKD"), M117*$Z$4,
            AND(Q117="USD", $Q$2="EUR"), M117*$Z$5,
            AND(Q117="GBP", $Q$2="GBP"), M117,
            AND(Q117="GBP", $Q$2="USD"), M117*$Z$6,
            AND(Q117="GBP", $Q$2="HKD"), M117*$Z$7,
            AND(Q117="GBP", $Q$2="HKD"), M117*$Z$8,
            AND(Q117="HKG", $Q$2="HKG"), M117,
            AND(Q117="HKD", $Q$2="USD"), M117*$Z$9,
            AND(Q117="HKD", $Q$2="GBP"), M117*$Z$10,
            AND(Q117="HKD", $Q$2="EUR"), M117*$Z$11,
            AND(Q117="EUR", $Q$2="EUR"), M117,
            AND(Q117="EUR", $Q$2="USD"), M117*$Z$12,
            AND(Q117="EUR", $Q$2="GBP"), M117*$Z$13,
            AND(Q117="EUR", $Q$2="HKD"), M117*$Z$14,
        ),
        0
    )
)</f>
        <v>246.14999999999998</v>
      </c>
      <c r="T117" s="1" t="str">
        <f t="shared" si="10"/>
        <v>3</v>
      </c>
      <c r="U117" s="9" t="str">
        <f t="shared" si="11"/>
        <v>05</v>
      </c>
      <c r="V117" s="1" t="str">
        <f t="shared" si="12"/>
        <v>2023</v>
      </c>
      <c r="W117" s="18" t="str">
        <f t="shared" si="13"/>
        <v>星期三</v>
      </c>
    </row>
    <row r="118" spans="1:23">
      <c r="A118" s="17" t="s">
        <v>399</v>
      </c>
      <c r="B118" s="1" t="s">
        <v>348</v>
      </c>
      <c r="C118" s="9">
        <v>45049</v>
      </c>
      <c r="D118" s="1" t="e" vm="15">
        <v>#VALUE!</v>
      </c>
      <c r="E118" s="1" t="s">
        <v>410</v>
      </c>
      <c r="F118" s="1" t="s">
        <v>411</v>
      </c>
      <c r="H118" s="1" t="s">
        <v>414</v>
      </c>
      <c r="I118" s="1">
        <v>1</v>
      </c>
      <c r="J118" s="27">
        <v>10.38</v>
      </c>
      <c r="K118" s="1">
        <v>3.11</v>
      </c>
      <c r="M118" s="24">
        <f t="shared" si="7"/>
        <v>10.38</v>
      </c>
      <c r="N118" s="36">
        <f t="shared" si="8"/>
        <v>0</v>
      </c>
      <c r="O118" s="34">
        <f>IF(ISBLANK(A118),"",SUMIFS(I$3:I118,D$3:D118,D118,H$3:H118,"Buy")+SUMIFS(I$3:I118,D$3:D118,D118,H$3:H118,"Cash Deposit")+SUMIFS(I$3:I118,D$3:D118,D118,H$3:H118,"Crypto Deposit")+SUMIFS(I$3:I118,D$3:D118,D118,H$3:H118,"Airdrop/Rewards")-SUMIFS(I$3:I118,D$3:D118,D118,H$3:H118,"Sell"))</f>
        <v>70</v>
      </c>
      <c r="P118" s="2" cm="1">
        <f t="array" ref="P118">IF(ISBLANK(A118),"",IFERROR(IF(OR(H118="Sell",F118="Stable Coin"),INDEX(_xlfn._xlws.FILTER(P$2:P117, D$2:D117=D118),COUNT(_xlfn._xlws.FILTER(P$2:P117, D$2:D117=D118))),(INDEX(_xlfn._xlws.FILTER(P$2:P117, D$2:D117=D118),COUNT(_xlfn._xlws.FILTER(P$2:P117, D$2:D117=D118)))*INDEX(_xlfn._xlws.FILTER(O$2:O117, D$2:D117=D118),COUNT(_xlfn._xlws.FILTER(O$2:O117, D$2:D117=D118)))-N118) / O118), J118))</f>
        <v>16.775714285714287</v>
      </c>
      <c r="Q118" s="1" t="str">
        <f t="shared" si="9"/>
        <v>USD</v>
      </c>
      <c r="R118" s="1" cm="1">
        <f t="array" ref="R118">IF(A118="", "",
    IFERROR(
        _xlfn.SWITCH(
            TRUE,
            AND(Q118="USD", $Q$2="USD"), K118,
            AND(Q118="USD", $Q$2="GBP"), K118*$Z$3,
            AND(Q118="USD", $Q$2="HKD"), K118*$Z$4,
            AND(Q118="USD", $Q$2="EUR"), K118*$Z$5,
            AND(Q118="GBP", $Q$2="GBP"), K118,
            AND(Q118="GBP", $Q$2="USD"), K118*$Z$6,
            AND(Q118="GBP", $Q$2="HKD"), K118*$Z$7,
            AND(Q118="HKG", $Q$2="HKG"), K118,
            AND(Q118="HKD", $Q$2="USD"), K118*$Z$9,
            AND(Q118="HKD", $Q$2="GBP"), K118*$Z$10,
            AND(Q118="HKD", $Q$2="EUR"), K118*$Z$11,
            AND(Q118="EUR", $Q$2="EUR"), K118,
            AND(Q118="EUR", $Q$2="USD"), K118*$Z$12,
            AND(Q118="EUR", $Q$2="GBP"), K118*$Z$13,
            AND(Q118="EUR", $Q$2="HKD"), K118*$Z$14,
        ),
        0
    )
)</f>
        <v>3.11</v>
      </c>
      <c r="S118" s="1" cm="1">
        <f t="array" ref="S118">IF(A118="", "",
    IFERROR(
        _xlfn.SWITCH(
            TRUE,
            AND(Q118="USD", $Q$2="USD"), M118,
            AND(Q118="USD", $Q$2="GBP"), M118*$Z$3,
            AND(Q118="USD", $Q$2="HKD"), M118*$Z$4,
            AND(Q118="USD", $Q$2="EUR"), M118*$Z$5,
            AND(Q118="GBP", $Q$2="GBP"), M118,
            AND(Q118="GBP", $Q$2="USD"), M118*$Z$6,
            AND(Q118="GBP", $Q$2="HKD"), M118*$Z$7,
            AND(Q118="GBP", $Q$2="HKD"), M118*$Z$8,
            AND(Q118="HKG", $Q$2="HKG"), M118,
            AND(Q118="HKD", $Q$2="USD"), M118*$Z$9,
            AND(Q118="HKD", $Q$2="GBP"), M118*$Z$10,
            AND(Q118="HKD", $Q$2="EUR"), M118*$Z$11,
            AND(Q118="EUR", $Q$2="EUR"), M118,
            AND(Q118="EUR", $Q$2="USD"), M118*$Z$12,
            AND(Q118="EUR", $Q$2="GBP"), M118*$Z$13,
            AND(Q118="EUR", $Q$2="HKD"), M118*$Z$14,
        ),
        0
    )
)</f>
        <v>10.38</v>
      </c>
      <c r="T118" s="1" t="str">
        <f t="shared" si="10"/>
        <v>3</v>
      </c>
      <c r="U118" s="9" t="str">
        <f t="shared" si="11"/>
        <v>05</v>
      </c>
      <c r="V118" s="1" t="str">
        <f t="shared" si="12"/>
        <v>2023</v>
      </c>
      <c r="W118" s="18" t="str">
        <f t="shared" si="13"/>
        <v>星期三</v>
      </c>
    </row>
    <row r="119" spans="1:23">
      <c r="A119" s="17" t="s">
        <v>32</v>
      </c>
      <c r="B119" s="1" t="s">
        <v>343</v>
      </c>
      <c r="C119" s="9">
        <v>45055</v>
      </c>
      <c r="D119" s="1" t="s">
        <v>345</v>
      </c>
      <c r="E119" s="1" t="s">
        <v>345</v>
      </c>
      <c r="F119" s="1" t="s">
        <v>345</v>
      </c>
      <c r="H119" s="1" t="s">
        <v>344</v>
      </c>
      <c r="I119" s="1">
        <v>1</v>
      </c>
      <c r="J119" s="27">
        <v>300</v>
      </c>
      <c r="M119" s="24">
        <f t="shared" si="7"/>
        <v>300</v>
      </c>
      <c r="N119" s="36">
        <f t="shared" si="8"/>
        <v>-300</v>
      </c>
      <c r="O119" s="34">
        <f>IF(ISBLANK(A119),"",SUMIFS(I$3:I119,D$3:D119,D119,H$3:H119,"Buy")+SUMIFS(I$3:I119,D$3:D119,D119,H$3:H119,"Cash Deposit")+SUMIFS(I$3:I119,D$3:D119,D119,H$3:H119,"Crypto Deposit")+SUMIFS(I$3:I119,D$3:D119,D119,H$3:H119,"Airdrop/Rewards")-SUMIFS(I$3:I119,D$3:D119,D119,H$3:H119,"Sell"))</f>
        <v>4</v>
      </c>
      <c r="P119" s="2" cm="1">
        <f t="array" ref="P119">IF(ISBLANK(A119),"",IFERROR(IF(OR(H119="Sell",F119="Stable Coin"),INDEX(_xlfn._xlws.FILTER(P$2:P118, D$2:D118=D119),COUNT(_xlfn._xlws.FILTER(P$2:P118, D$2:D118=D119))),(INDEX(_xlfn._xlws.FILTER(P$2:P118, D$2:D118=D119),COUNT(_xlfn._xlws.FILTER(P$2:P118, D$2:D118=D119)))*INDEX(_xlfn._xlws.FILTER(O$2:O118, D$2:D118=D119),COUNT(_xlfn._xlws.FILTER(O$2:O118, D$2:D118=D119)))-N119) / O119), J119))</f>
        <v>2045</v>
      </c>
      <c r="Q119" s="1" t="str">
        <f t="shared" si="9"/>
        <v>GBP</v>
      </c>
      <c r="R119" s="1" cm="1">
        <f t="array" ref="R119">IF(A119="", "",
    IFERROR(
        _xlfn.SWITCH(
            TRUE,
            AND(Q119="USD", $Q$2="USD"), K119,
            AND(Q119="USD", $Q$2="GBP"), K119*$Z$3,
            AND(Q119="USD", $Q$2="HKD"), K119*$Z$4,
            AND(Q119="USD", $Q$2="EUR"), K119*$Z$5,
            AND(Q119="GBP", $Q$2="GBP"), K119,
            AND(Q119="GBP", $Q$2="USD"), K119*$Z$6,
            AND(Q119="GBP", $Q$2="HKD"), K119*$Z$7,
            AND(Q119="HKG", $Q$2="HKG"), K119,
            AND(Q119="HKD", $Q$2="USD"), K119*$Z$9,
            AND(Q119="HKD", $Q$2="GBP"), K119*$Z$10,
            AND(Q119="HKD", $Q$2="EUR"), K119*$Z$11,
            AND(Q119="EUR", $Q$2="EUR"), K119,
            AND(Q119="EUR", $Q$2="USD"), K119*$Z$12,
            AND(Q119="EUR", $Q$2="GBP"), K119*$Z$13,
            AND(Q119="EUR", $Q$2="HKD"), K119*$Z$14,
        ),
        0
    )
)</f>
        <v>0</v>
      </c>
      <c r="S119" s="1" cm="1">
        <f t="array" ref="S119">IF(A119="", "",
    IFERROR(
        _xlfn.SWITCH(
            TRUE,
            AND(Q119="USD", $Q$2="USD"), M119,
            AND(Q119="USD", $Q$2="GBP"), M119*$Z$3,
            AND(Q119="USD", $Q$2="HKD"), M119*$Z$4,
            AND(Q119="USD", $Q$2="EUR"), M119*$Z$5,
            AND(Q119="GBP", $Q$2="GBP"), M119,
            AND(Q119="GBP", $Q$2="USD"), M119*$Z$6,
            AND(Q119="GBP", $Q$2="HKD"), M119*$Z$7,
            AND(Q119="GBP", $Q$2="HKD"), M119*$Z$8,
            AND(Q119="HKG", $Q$2="HKG"), M119,
            AND(Q119="HKD", $Q$2="USD"), M119*$Z$9,
            AND(Q119="HKD", $Q$2="GBP"), M119*$Z$10,
            AND(Q119="HKD", $Q$2="EUR"), M119*$Z$11,
            AND(Q119="EUR", $Q$2="EUR"), M119,
            AND(Q119="EUR", $Q$2="USD"), M119*$Z$12,
            AND(Q119="EUR", $Q$2="GBP"), M119*$Z$13,
            AND(Q119="EUR", $Q$2="HKD"), M119*$Z$14,
        ),
        0
    )
)</f>
        <v>383.46</v>
      </c>
      <c r="T119" s="1" t="str">
        <f t="shared" si="10"/>
        <v>9</v>
      </c>
      <c r="U119" s="9" t="str">
        <f t="shared" si="11"/>
        <v>05</v>
      </c>
      <c r="V119" s="1" t="str">
        <f t="shared" si="12"/>
        <v>2023</v>
      </c>
      <c r="W119" s="18" t="str">
        <f t="shared" si="13"/>
        <v>星期二</v>
      </c>
    </row>
    <row r="120" spans="1:23">
      <c r="A120" s="17" t="s">
        <v>32</v>
      </c>
      <c r="B120" s="1" t="s">
        <v>343</v>
      </c>
      <c r="C120" s="9">
        <v>45055</v>
      </c>
      <c r="D120" s="1" t="s">
        <v>345</v>
      </c>
      <c r="E120" s="1" t="s">
        <v>345</v>
      </c>
      <c r="F120" s="1" t="s">
        <v>345</v>
      </c>
      <c r="I120" s="1">
        <v>1</v>
      </c>
      <c r="J120" s="27">
        <v>300</v>
      </c>
      <c r="M120" s="24">
        <f t="shared" si="7"/>
        <v>300</v>
      </c>
      <c r="N120" s="36">
        <f t="shared" si="8"/>
        <v>0</v>
      </c>
      <c r="O120" s="34">
        <f>IF(ISBLANK(A120),"",SUMIFS(I$3:I120,D$3:D120,D120,H$3:H120,"Buy")+SUMIFS(I$3:I120,D$3:D120,D120,H$3:H120,"Cash Deposit")+SUMIFS(I$3:I120,D$3:D120,D120,H$3:H120,"Crypto Deposit")+SUMIFS(I$3:I120,D$3:D120,D120,H$3:H120,"Airdrop/Rewards")-SUMIFS(I$3:I120,D$3:D120,D120,H$3:H120,"Sell"))</f>
        <v>4</v>
      </c>
      <c r="P120" s="2" cm="1">
        <f t="array" ref="P120">IF(ISBLANK(A120),"",IFERROR(IF(OR(H120="Sell",F120="Stable Coin"),INDEX(_xlfn._xlws.FILTER(P$2:P119, D$2:D119=D120),COUNT(_xlfn._xlws.FILTER(P$2:P119, D$2:D119=D120))),(INDEX(_xlfn._xlws.FILTER(P$2:P119, D$2:D119=D120),COUNT(_xlfn._xlws.FILTER(P$2:P119, D$2:D119=D120)))*INDEX(_xlfn._xlws.FILTER(O$2:O119, D$2:D119=D120),COUNT(_xlfn._xlws.FILTER(O$2:O119, D$2:D119=D120)))-N120) / O120), J120))</f>
        <v>2045</v>
      </c>
      <c r="Q120" s="1" t="str">
        <f t="shared" si="9"/>
        <v>GBP</v>
      </c>
      <c r="R120" s="1" cm="1">
        <f t="array" ref="R120">IF(A120="", "",
    IFERROR(
        _xlfn.SWITCH(
            TRUE,
            AND(Q120="USD", $Q$2="USD"), K120,
            AND(Q120="USD", $Q$2="GBP"), K120*$Z$3,
            AND(Q120="USD", $Q$2="HKD"), K120*$Z$4,
            AND(Q120="USD", $Q$2="EUR"), K120*$Z$5,
            AND(Q120="GBP", $Q$2="GBP"), K120,
            AND(Q120="GBP", $Q$2="USD"), K120*$Z$6,
            AND(Q120="GBP", $Q$2="HKD"), K120*$Z$7,
            AND(Q120="HKG", $Q$2="HKG"), K120,
            AND(Q120="HKD", $Q$2="USD"), K120*$Z$9,
            AND(Q120="HKD", $Q$2="GBP"), K120*$Z$10,
            AND(Q120="HKD", $Q$2="EUR"), K120*$Z$11,
            AND(Q120="EUR", $Q$2="EUR"), K120,
            AND(Q120="EUR", $Q$2="USD"), K120*$Z$12,
            AND(Q120="EUR", $Q$2="GBP"), K120*$Z$13,
            AND(Q120="EUR", $Q$2="HKD"), K120*$Z$14,
        ),
        0
    )
)</f>
        <v>0</v>
      </c>
      <c r="S120" s="1" cm="1">
        <f t="array" ref="S120">IF(A120="", "",
    IFERROR(
        _xlfn.SWITCH(
            TRUE,
            AND(Q120="USD", $Q$2="USD"), M120,
            AND(Q120="USD", $Q$2="GBP"), M120*$Z$3,
            AND(Q120="USD", $Q$2="HKD"), M120*$Z$4,
            AND(Q120="USD", $Q$2="EUR"), M120*$Z$5,
            AND(Q120="GBP", $Q$2="GBP"), M120,
            AND(Q120="GBP", $Q$2="USD"), M120*$Z$6,
            AND(Q120="GBP", $Q$2="HKD"), M120*$Z$7,
            AND(Q120="GBP", $Q$2="HKD"), M120*$Z$8,
            AND(Q120="HKG", $Q$2="HKG"), M120,
            AND(Q120="HKD", $Q$2="USD"), M120*$Z$9,
            AND(Q120="HKD", $Q$2="GBP"), M120*$Z$10,
            AND(Q120="HKD", $Q$2="EUR"), M120*$Z$11,
            AND(Q120="EUR", $Q$2="EUR"), M120,
            AND(Q120="EUR", $Q$2="USD"), M120*$Z$12,
            AND(Q120="EUR", $Q$2="GBP"), M120*$Z$13,
            AND(Q120="EUR", $Q$2="HKD"), M120*$Z$14,
        ),
        0
    )
)</f>
        <v>383.46</v>
      </c>
      <c r="T120" s="1" t="str">
        <f t="shared" si="10"/>
        <v>9</v>
      </c>
      <c r="U120" s="9" t="str">
        <f t="shared" si="11"/>
        <v>05</v>
      </c>
      <c r="V120" s="1" t="str">
        <f t="shared" si="12"/>
        <v>2023</v>
      </c>
      <c r="W120" s="18" t="str">
        <f t="shared" si="13"/>
        <v>星期二</v>
      </c>
    </row>
    <row r="121" spans="1:23">
      <c r="A121" s="17" t="s">
        <v>32</v>
      </c>
      <c r="B121" s="1" t="s">
        <v>348</v>
      </c>
      <c r="C121" s="9">
        <v>45055</v>
      </c>
      <c r="D121" s="1" t="s">
        <v>122</v>
      </c>
      <c r="E121" s="1" t="s">
        <v>122</v>
      </c>
      <c r="F121" s="1" t="s">
        <v>346</v>
      </c>
      <c r="H121" s="1" t="s">
        <v>347</v>
      </c>
      <c r="I121" s="1">
        <v>376.31</v>
      </c>
      <c r="J121" s="27">
        <v>1</v>
      </c>
      <c r="M121" s="24">
        <f t="shared" si="7"/>
        <v>376.31</v>
      </c>
      <c r="N121" s="36">
        <f t="shared" si="8"/>
        <v>-376.31</v>
      </c>
      <c r="O121" s="34">
        <f>IF(ISBLANK(A121),"",SUMIFS(I$3:I121,D$3:D121,D121,H$3:H121,"Buy")+SUMIFS(I$3:I121,D$3:D121,D121,H$3:H121,"Cash Deposit")+SUMIFS(I$3:I121,D$3:D121,D121,H$3:H121,"Crypto Deposit")+SUMIFS(I$3:I121,D$3:D121,D121,H$3:H121,"Airdrop/Rewards")-SUMIFS(I$3:I121,D$3:D121,D121,H$3:H121,"Sell"))</f>
        <v>376.31</v>
      </c>
      <c r="P121" s="2" cm="1">
        <f t="array" ref="P121">IF(ISBLANK(A121),"",IFERROR(IF(OR(H121="Sell",F121="Stable Coin"),INDEX(_xlfn._xlws.FILTER(P$2:P120, D$2:D120=D121),COUNT(_xlfn._xlws.FILTER(P$2:P120, D$2:D120=D121))),(INDEX(_xlfn._xlws.FILTER(P$2:P120, D$2:D120=D121),COUNT(_xlfn._xlws.FILTER(P$2:P120, D$2:D120=D121)))*INDEX(_xlfn._xlws.FILTER(O$2:O120, D$2:D120=D121),COUNT(_xlfn._xlws.FILTER(O$2:O120, D$2:D120=D121)))-N121) / O121), J121))</f>
        <v>1</v>
      </c>
      <c r="Q121" s="1" t="str">
        <f t="shared" si="9"/>
        <v>USD</v>
      </c>
      <c r="R121" s="1" cm="1">
        <f t="array" ref="R121">IF(A121="", "",
    IFERROR(
        _xlfn.SWITCH(
            TRUE,
            AND(Q121="USD", $Q$2="USD"), K121,
            AND(Q121="USD", $Q$2="GBP"), K121*$Z$3,
            AND(Q121="USD", $Q$2="HKD"), K121*$Z$4,
            AND(Q121="USD", $Q$2="EUR"), K121*$Z$5,
            AND(Q121="GBP", $Q$2="GBP"), K121,
            AND(Q121="GBP", $Q$2="USD"), K121*$Z$6,
            AND(Q121="GBP", $Q$2="HKD"), K121*$Z$7,
            AND(Q121="HKG", $Q$2="HKG"), K121,
            AND(Q121="HKD", $Q$2="USD"), K121*$Z$9,
            AND(Q121="HKD", $Q$2="GBP"), K121*$Z$10,
            AND(Q121="HKD", $Q$2="EUR"), K121*$Z$11,
            AND(Q121="EUR", $Q$2="EUR"), K121,
            AND(Q121="EUR", $Q$2="USD"), K121*$Z$12,
            AND(Q121="EUR", $Q$2="GBP"), K121*$Z$13,
            AND(Q121="EUR", $Q$2="HKD"), K121*$Z$14,
        ),
        0
    )
)</f>
        <v>0</v>
      </c>
      <c r="S121" s="1" cm="1">
        <f t="array" ref="S121">IF(A121="", "",
    IFERROR(
        _xlfn.SWITCH(
            TRUE,
            AND(Q121="USD", $Q$2="USD"), M121,
            AND(Q121="USD", $Q$2="GBP"), M121*$Z$3,
            AND(Q121="USD", $Q$2="HKD"), M121*$Z$4,
            AND(Q121="USD", $Q$2="EUR"), M121*$Z$5,
            AND(Q121="GBP", $Q$2="GBP"), M121,
            AND(Q121="GBP", $Q$2="USD"), M121*$Z$6,
            AND(Q121="GBP", $Q$2="HKD"), M121*$Z$7,
            AND(Q121="GBP", $Q$2="HKD"), M121*$Z$8,
            AND(Q121="HKG", $Q$2="HKG"), M121,
            AND(Q121="HKD", $Q$2="USD"), M121*$Z$9,
            AND(Q121="HKD", $Q$2="GBP"), M121*$Z$10,
            AND(Q121="HKD", $Q$2="EUR"), M121*$Z$11,
            AND(Q121="EUR", $Q$2="EUR"), M121,
            AND(Q121="EUR", $Q$2="USD"), M121*$Z$12,
            AND(Q121="EUR", $Q$2="GBP"), M121*$Z$13,
            AND(Q121="EUR", $Q$2="HKD"), M121*$Z$14,
        ),
        0
    )
)</f>
        <v>376.31</v>
      </c>
      <c r="T121" s="1" t="str">
        <f t="shared" si="10"/>
        <v>9</v>
      </c>
      <c r="U121" s="9" t="str">
        <f t="shared" si="11"/>
        <v>05</v>
      </c>
      <c r="V121" s="1" t="str">
        <f t="shared" si="12"/>
        <v>2023</v>
      </c>
      <c r="W121" s="18" t="str">
        <f t="shared" si="13"/>
        <v>星期二</v>
      </c>
    </row>
    <row r="122" spans="1:23">
      <c r="A122" s="17" t="s">
        <v>32</v>
      </c>
      <c r="B122" s="1" t="s">
        <v>348</v>
      </c>
      <c r="C122" s="9">
        <v>45055</v>
      </c>
      <c r="D122" s="1" t="s">
        <v>122</v>
      </c>
      <c r="E122" s="1" t="s">
        <v>122</v>
      </c>
      <c r="F122" s="1" t="s">
        <v>346</v>
      </c>
      <c r="H122" s="1" t="s">
        <v>367</v>
      </c>
      <c r="I122" s="1">
        <v>80</v>
      </c>
      <c r="J122" s="27">
        <v>1</v>
      </c>
      <c r="M122" s="24">
        <f t="shared" si="7"/>
        <v>80</v>
      </c>
      <c r="N122" s="36">
        <f t="shared" si="8"/>
        <v>80</v>
      </c>
      <c r="O122" s="34">
        <f>IF(ISBLANK(A122),"",SUMIFS(I$3:I122,D$3:D122,D122,H$3:H122,"Buy")+SUMIFS(I$3:I122,D$3:D122,D122,H$3:H122,"Cash Deposit")+SUMIFS(I$3:I122,D$3:D122,D122,H$3:H122,"Crypto Deposit")+SUMIFS(I$3:I122,D$3:D122,D122,H$3:H122,"Airdrop/Rewards")-SUMIFS(I$3:I122,D$3:D122,D122,H$3:H122,"Sell"))</f>
        <v>296.31</v>
      </c>
      <c r="P122" s="2" cm="1">
        <f t="array" ref="P122">IF(ISBLANK(A122),"",IFERROR(IF(OR(H122="Sell",F122="Stable Coin"),INDEX(_xlfn._xlws.FILTER(P$2:P121, D$2:D121=D122),COUNT(_xlfn._xlws.FILTER(P$2:P121, D$2:D121=D122))),(INDEX(_xlfn._xlws.FILTER(P$2:P121, D$2:D121=D122),COUNT(_xlfn._xlws.FILTER(P$2:P121, D$2:D121=D122)))*INDEX(_xlfn._xlws.FILTER(O$2:O121, D$2:D121=D122),COUNT(_xlfn._xlws.FILTER(O$2:O121, D$2:D121=D122)))-N122) / O122), J122))</f>
        <v>1</v>
      </c>
      <c r="Q122" s="1" t="str">
        <f t="shared" si="9"/>
        <v>USD</v>
      </c>
      <c r="R122" s="1" cm="1">
        <f t="array" ref="R122">IF(A122="", "",
    IFERROR(
        _xlfn.SWITCH(
            TRUE,
            AND(Q122="USD", $Q$2="USD"), K122,
            AND(Q122="USD", $Q$2="GBP"), K122*$Z$3,
            AND(Q122="USD", $Q$2="HKD"), K122*$Z$4,
            AND(Q122="USD", $Q$2="EUR"), K122*$Z$5,
            AND(Q122="GBP", $Q$2="GBP"), K122,
            AND(Q122="GBP", $Q$2="USD"), K122*$Z$6,
            AND(Q122="GBP", $Q$2="HKD"), K122*$Z$7,
            AND(Q122="HKG", $Q$2="HKG"), K122,
            AND(Q122="HKD", $Q$2="USD"), K122*$Z$9,
            AND(Q122="HKD", $Q$2="GBP"), K122*$Z$10,
            AND(Q122="HKD", $Q$2="EUR"), K122*$Z$11,
            AND(Q122="EUR", $Q$2="EUR"), K122,
            AND(Q122="EUR", $Q$2="USD"), K122*$Z$12,
            AND(Q122="EUR", $Q$2="GBP"), K122*$Z$13,
            AND(Q122="EUR", $Q$2="HKD"), K122*$Z$14,
        ),
        0
    )
)</f>
        <v>0</v>
      </c>
      <c r="S122" s="1" cm="1">
        <f t="array" ref="S122">IF(A122="", "",
    IFERROR(
        _xlfn.SWITCH(
            TRUE,
            AND(Q122="USD", $Q$2="USD"), M122,
            AND(Q122="USD", $Q$2="GBP"), M122*$Z$3,
            AND(Q122="USD", $Q$2="HKD"), M122*$Z$4,
            AND(Q122="USD", $Q$2="EUR"), M122*$Z$5,
            AND(Q122="GBP", $Q$2="GBP"), M122,
            AND(Q122="GBP", $Q$2="USD"), M122*$Z$6,
            AND(Q122="GBP", $Q$2="HKD"), M122*$Z$7,
            AND(Q122="GBP", $Q$2="HKD"), M122*$Z$8,
            AND(Q122="HKG", $Q$2="HKG"), M122,
            AND(Q122="HKD", $Q$2="USD"), M122*$Z$9,
            AND(Q122="HKD", $Q$2="GBP"), M122*$Z$10,
            AND(Q122="HKD", $Q$2="EUR"), M122*$Z$11,
            AND(Q122="EUR", $Q$2="EUR"), M122,
            AND(Q122="EUR", $Q$2="USD"), M122*$Z$12,
            AND(Q122="EUR", $Q$2="GBP"), M122*$Z$13,
            AND(Q122="EUR", $Q$2="HKD"), M122*$Z$14,
        ),
        0
    )
)</f>
        <v>80</v>
      </c>
      <c r="T122" s="1" t="str">
        <f t="shared" si="10"/>
        <v>9</v>
      </c>
      <c r="U122" s="9" t="str">
        <f t="shared" si="11"/>
        <v>05</v>
      </c>
      <c r="V122" s="1" t="str">
        <f t="shared" si="12"/>
        <v>2023</v>
      </c>
      <c r="W122" s="18" t="str">
        <f t="shared" si="13"/>
        <v>星期二</v>
      </c>
    </row>
    <row r="123" spans="1:23">
      <c r="A123" s="17" t="s">
        <v>32</v>
      </c>
      <c r="B123" s="1" t="s">
        <v>348</v>
      </c>
      <c r="C123" s="9">
        <v>45055</v>
      </c>
      <c r="D123" s="1" t="s">
        <v>55</v>
      </c>
      <c r="E123" s="1" t="s">
        <v>31</v>
      </c>
      <c r="F123" s="1" t="s">
        <v>349</v>
      </c>
      <c r="H123" s="1" t="s">
        <v>347</v>
      </c>
      <c r="I123" s="1">
        <v>216.28</v>
      </c>
      <c r="J123" s="27">
        <v>0.36989088199999998</v>
      </c>
      <c r="M123" s="24">
        <f t="shared" si="7"/>
        <v>79.999999958959989</v>
      </c>
      <c r="N123" s="36">
        <f t="shared" si="8"/>
        <v>-79.999999958959989</v>
      </c>
      <c r="O123" s="34">
        <f>IF(ISBLANK(A123),"",SUMIFS(I$3:I123,D$3:D123,D123,H$3:H123,"Buy")+SUMIFS(I$3:I123,D$3:D123,D123,H$3:H123,"Cash Deposit")+SUMIFS(I$3:I123,D$3:D123,D123,H$3:H123,"Crypto Deposit")+SUMIFS(I$3:I123,D$3:D123,D123,H$3:H123,"Airdrop/Rewards")-SUMIFS(I$3:I123,D$3:D123,D123,H$3:H123,"Sell"))</f>
        <v>3511.78</v>
      </c>
      <c r="P123" s="2" cm="1">
        <f t="array" ref="P123">IF(ISBLANK(A123),"",IFERROR(IF(OR(H123="Sell",F123="Stable Coin"),INDEX(_xlfn._xlws.FILTER(P$2:P122, D$2:D122=D123),COUNT(_xlfn._xlws.FILTER(P$2:P122, D$2:D122=D123))),(INDEX(_xlfn._xlws.FILTER(P$2:P122, D$2:D122=D123),COUNT(_xlfn._xlws.FILTER(P$2:P122, D$2:D122=D123)))*INDEX(_xlfn._xlws.FILTER(O$2:O122, D$2:D122=D123),COUNT(_xlfn._xlws.FILTER(O$2:O122, D$2:D122=D123)))-N123) / O123), J123))</f>
        <v>0.42535124636479499</v>
      </c>
      <c r="Q123" s="1" t="str">
        <f t="shared" si="9"/>
        <v>USD</v>
      </c>
      <c r="R123" s="1" cm="1">
        <f t="array" ref="R123">IF(A123="", "",
    IFERROR(
        _xlfn.SWITCH(
            TRUE,
            AND(Q123="USD", $Q$2="USD"), K123,
            AND(Q123="USD", $Q$2="GBP"), K123*$Z$3,
            AND(Q123="USD", $Q$2="HKD"), K123*$Z$4,
            AND(Q123="USD", $Q$2="EUR"), K123*$Z$5,
            AND(Q123="GBP", $Q$2="GBP"), K123,
            AND(Q123="GBP", $Q$2="USD"), K123*$Z$6,
            AND(Q123="GBP", $Q$2="HKD"), K123*$Z$7,
            AND(Q123="HKG", $Q$2="HKG"), K123,
            AND(Q123="HKD", $Q$2="USD"), K123*$Z$9,
            AND(Q123="HKD", $Q$2="GBP"), K123*$Z$10,
            AND(Q123="HKD", $Q$2="EUR"), K123*$Z$11,
            AND(Q123="EUR", $Q$2="EUR"), K123,
            AND(Q123="EUR", $Q$2="USD"), K123*$Z$12,
            AND(Q123="EUR", $Q$2="GBP"), K123*$Z$13,
            AND(Q123="EUR", $Q$2="HKD"), K123*$Z$14,
        ),
        0
    )
)</f>
        <v>0</v>
      </c>
      <c r="S123" s="1" cm="1">
        <f t="array" ref="S123">IF(A123="", "",
    IFERROR(
        _xlfn.SWITCH(
            TRUE,
            AND(Q123="USD", $Q$2="USD"), M123,
            AND(Q123="USD", $Q$2="GBP"), M123*$Z$3,
            AND(Q123="USD", $Q$2="HKD"), M123*$Z$4,
            AND(Q123="USD", $Q$2="EUR"), M123*$Z$5,
            AND(Q123="GBP", $Q$2="GBP"), M123,
            AND(Q123="GBP", $Q$2="USD"), M123*$Z$6,
            AND(Q123="GBP", $Q$2="HKD"), M123*$Z$7,
            AND(Q123="GBP", $Q$2="HKD"), M123*$Z$8,
            AND(Q123="HKG", $Q$2="HKG"), M123,
            AND(Q123="HKD", $Q$2="USD"), M123*$Z$9,
            AND(Q123="HKD", $Q$2="GBP"), M123*$Z$10,
            AND(Q123="HKD", $Q$2="EUR"), M123*$Z$11,
            AND(Q123="EUR", $Q$2="EUR"), M123,
            AND(Q123="EUR", $Q$2="USD"), M123*$Z$12,
            AND(Q123="EUR", $Q$2="GBP"), M123*$Z$13,
            AND(Q123="EUR", $Q$2="HKD"), M123*$Z$14,
        ),
        0
    )
)</f>
        <v>79.999999958959989</v>
      </c>
      <c r="T123" s="1" t="str">
        <f t="shared" si="10"/>
        <v>9</v>
      </c>
      <c r="U123" s="9" t="str">
        <f t="shared" si="11"/>
        <v>05</v>
      </c>
      <c r="V123" s="1" t="str">
        <f t="shared" si="12"/>
        <v>2023</v>
      </c>
      <c r="W123" s="18" t="str">
        <f t="shared" si="13"/>
        <v>星期二</v>
      </c>
    </row>
    <row r="124" spans="1:23">
      <c r="A124" s="17" t="s">
        <v>399</v>
      </c>
      <c r="B124" s="1" t="s">
        <v>348</v>
      </c>
      <c r="C124" s="9">
        <v>45055</v>
      </c>
      <c r="D124" s="1" t="e" vm="21">
        <v>#VALUE!</v>
      </c>
      <c r="E124" s="1" t="s">
        <v>403</v>
      </c>
      <c r="F124" s="1" t="s">
        <v>401</v>
      </c>
      <c r="H124" s="1" t="s">
        <v>347</v>
      </c>
      <c r="I124" s="1">
        <v>1</v>
      </c>
      <c r="J124" s="27">
        <v>295</v>
      </c>
      <c r="K124" s="1">
        <v>1.99</v>
      </c>
      <c r="M124" s="24">
        <f t="shared" si="7"/>
        <v>295</v>
      </c>
      <c r="N124" s="36">
        <f t="shared" si="8"/>
        <v>-295</v>
      </c>
      <c r="O124" s="34">
        <f>IF(ISBLANK(A124),"",SUMIFS(I$3:I124,D$3:D124,D124,H$3:H124,"Buy")+SUMIFS(I$3:I124,D$3:D124,D124,H$3:H124,"Cash Deposit")+SUMIFS(I$3:I124,D$3:D124,D124,H$3:H124,"Crypto Deposit")+SUMIFS(I$3:I124,D$3:D124,D124,H$3:H124,"Airdrop/Rewards")-SUMIFS(I$3:I124,D$3:D124,D124,H$3:H124,"Sell"))</f>
        <v>1</v>
      </c>
      <c r="P124" s="2" cm="1">
        <f t="array" ref="P124">IF(ISBLANK(A124),"",IFERROR(IF(OR(H124="Sell",F124="Stable Coin"),INDEX(_xlfn._xlws.FILTER(P$2:P123, D$2:D123=D124),COUNT(_xlfn._xlws.FILTER(P$2:P123, D$2:D123=D124))),(INDEX(_xlfn._xlws.FILTER(P$2:P123, D$2:D123=D124),COUNT(_xlfn._xlws.FILTER(P$2:P123, D$2:D123=D124)))*INDEX(_xlfn._xlws.FILTER(O$2:O123, D$2:D123=D124),COUNT(_xlfn._xlws.FILTER(O$2:O123, D$2:D123=D124)))-N124) / O124), J124))</f>
        <v>295</v>
      </c>
      <c r="Q124" s="1" t="str">
        <f t="shared" si="9"/>
        <v>USD</v>
      </c>
      <c r="R124" s="1" cm="1">
        <f t="array" ref="R124">IF(A124="", "",
    IFERROR(
        _xlfn.SWITCH(
            TRUE,
            AND(Q124="USD", $Q$2="USD"), K124,
            AND(Q124="USD", $Q$2="GBP"), K124*$Z$3,
            AND(Q124="USD", $Q$2="HKD"), K124*$Z$4,
            AND(Q124="USD", $Q$2="EUR"), K124*$Z$5,
            AND(Q124="GBP", $Q$2="GBP"), K124,
            AND(Q124="GBP", $Q$2="USD"), K124*$Z$6,
            AND(Q124="GBP", $Q$2="HKD"), K124*$Z$7,
            AND(Q124="HKG", $Q$2="HKG"), K124,
            AND(Q124="HKD", $Q$2="USD"), K124*$Z$9,
            AND(Q124="HKD", $Q$2="GBP"), K124*$Z$10,
            AND(Q124="HKD", $Q$2="EUR"), K124*$Z$11,
            AND(Q124="EUR", $Q$2="EUR"), K124,
            AND(Q124="EUR", $Q$2="USD"), K124*$Z$12,
            AND(Q124="EUR", $Q$2="GBP"), K124*$Z$13,
            AND(Q124="EUR", $Q$2="HKD"), K124*$Z$14,
        ),
        0
    )
)</f>
        <v>1.99</v>
      </c>
      <c r="S124" s="1" cm="1">
        <f t="array" ref="S124">IF(A124="", "",
    IFERROR(
        _xlfn.SWITCH(
            TRUE,
            AND(Q124="USD", $Q$2="USD"), M124,
            AND(Q124="USD", $Q$2="GBP"), M124*$Z$3,
            AND(Q124="USD", $Q$2="HKD"), M124*$Z$4,
            AND(Q124="USD", $Q$2="EUR"), M124*$Z$5,
            AND(Q124="GBP", $Q$2="GBP"), M124,
            AND(Q124="GBP", $Q$2="USD"), M124*$Z$6,
            AND(Q124="GBP", $Q$2="HKD"), M124*$Z$7,
            AND(Q124="GBP", $Q$2="HKD"), M124*$Z$8,
            AND(Q124="HKG", $Q$2="HKG"), M124,
            AND(Q124="HKD", $Q$2="USD"), M124*$Z$9,
            AND(Q124="HKD", $Q$2="GBP"), M124*$Z$10,
            AND(Q124="HKD", $Q$2="EUR"), M124*$Z$11,
            AND(Q124="EUR", $Q$2="EUR"), M124,
            AND(Q124="EUR", $Q$2="USD"), M124*$Z$12,
            AND(Q124="EUR", $Q$2="GBP"), M124*$Z$13,
            AND(Q124="EUR", $Q$2="HKD"), M124*$Z$14,
        ),
        0
    )
)</f>
        <v>295</v>
      </c>
      <c r="T124" s="1" t="str">
        <f t="shared" si="10"/>
        <v>9</v>
      </c>
      <c r="U124" s="9" t="str">
        <f t="shared" si="11"/>
        <v>05</v>
      </c>
      <c r="V124" s="1" t="str">
        <f t="shared" si="12"/>
        <v>2023</v>
      </c>
      <c r="W124" s="18" t="str">
        <f t="shared" si="13"/>
        <v>星期二</v>
      </c>
    </row>
    <row r="125" spans="1:23">
      <c r="A125" s="17" t="s">
        <v>399</v>
      </c>
      <c r="B125" s="1" t="s">
        <v>348</v>
      </c>
      <c r="C125" s="9">
        <v>45055</v>
      </c>
      <c r="D125" s="1" t="e" vm="20">
        <v>#VALUE!</v>
      </c>
      <c r="E125" s="1" t="s">
        <v>402</v>
      </c>
      <c r="F125" s="1" t="s">
        <v>401</v>
      </c>
      <c r="H125" s="1" t="s">
        <v>347</v>
      </c>
      <c r="I125" s="1">
        <v>30</v>
      </c>
      <c r="J125" s="27">
        <v>9.39</v>
      </c>
      <c r="K125" s="1">
        <v>2.08</v>
      </c>
      <c r="M125" s="24">
        <f t="shared" si="7"/>
        <v>281.70000000000005</v>
      </c>
      <c r="N125" s="36">
        <f t="shared" si="8"/>
        <v>-281.70000000000005</v>
      </c>
      <c r="O125" s="34">
        <f>IF(ISBLANK(A125),"",SUMIFS(I$3:I125,D$3:D125,D125,H$3:H125,"Buy")+SUMIFS(I$3:I125,D$3:D125,D125,H$3:H125,"Cash Deposit")+SUMIFS(I$3:I125,D$3:D125,D125,H$3:H125,"Crypto Deposit")+SUMIFS(I$3:I125,D$3:D125,D125,H$3:H125,"Airdrop/Rewards")-SUMIFS(I$3:I125,D$3:D125,D125,H$3:H125,"Sell"))</f>
        <v>105</v>
      </c>
      <c r="P125" s="2" cm="1">
        <f t="array" ref="P125">IF(ISBLANK(A125),"",IFERROR(IF(OR(H125="Sell",F125="Stable Coin"),INDEX(_xlfn._xlws.FILTER(P$2:P124, D$2:D124=D125),COUNT(_xlfn._xlws.FILTER(P$2:P124, D$2:D124=D125))),(INDEX(_xlfn._xlws.FILTER(P$2:P124, D$2:D124=D125),COUNT(_xlfn._xlws.FILTER(P$2:P124, D$2:D124=D125)))*INDEX(_xlfn._xlws.FILTER(O$2:O124, D$2:D124=D125),COUNT(_xlfn._xlws.FILTER(O$2:O124, D$2:D124=D125)))-N125) / O125), J125))</f>
        <v>9.3648380952380954</v>
      </c>
      <c r="Q125" s="1" t="str">
        <f t="shared" si="9"/>
        <v>USD</v>
      </c>
      <c r="R125" s="1" cm="1">
        <f t="array" ref="R125">IF(A125="", "",
    IFERROR(
        _xlfn.SWITCH(
            TRUE,
            AND(Q125="USD", $Q$2="USD"), K125,
            AND(Q125="USD", $Q$2="GBP"), K125*$Z$3,
            AND(Q125="USD", $Q$2="HKD"), K125*$Z$4,
            AND(Q125="USD", $Q$2="EUR"), K125*$Z$5,
            AND(Q125="GBP", $Q$2="GBP"), K125,
            AND(Q125="GBP", $Q$2="USD"), K125*$Z$6,
            AND(Q125="GBP", $Q$2="HKD"), K125*$Z$7,
            AND(Q125="HKG", $Q$2="HKG"), K125,
            AND(Q125="HKD", $Q$2="USD"), K125*$Z$9,
            AND(Q125="HKD", $Q$2="GBP"), K125*$Z$10,
            AND(Q125="HKD", $Q$2="EUR"), K125*$Z$11,
            AND(Q125="EUR", $Q$2="EUR"), K125,
            AND(Q125="EUR", $Q$2="USD"), K125*$Z$12,
            AND(Q125="EUR", $Q$2="GBP"), K125*$Z$13,
            AND(Q125="EUR", $Q$2="HKD"), K125*$Z$14,
        ),
        0
    )
)</f>
        <v>2.08</v>
      </c>
      <c r="S125" s="1" cm="1">
        <f t="array" ref="S125">IF(A125="", "",
    IFERROR(
        _xlfn.SWITCH(
            TRUE,
            AND(Q125="USD", $Q$2="USD"), M125,
            AND(Q125="USD", $Q$2="GBP"), M125*$Z$3,
            AND(Q125="USD", $Q$2="HKD"), M125*$Z$4,
            AND(Q125="USD", $Q$2="EUR"), M125*$Z$5,
            AND(Q125="GBP", $Q$2="GBP"), M125,
            AND(Q125="GBP", $Q$2="USD"), M125*$Z$6,
            AND(Q125="GBP", $Q$2="HKD"), M125*$Z$7,
            AND(Q125="GBP", $Q$2="HKD"), M125*$Z$8,
            AND(Q125="HKG", $Q$2="HKG"), M125,
            AND(Q125="HKD", $Q$2="USD"), M125*$Z$9,
            AND(Q125="HKD", $Q$2="GBP"), M125*$Z$10,
            AND(Q125="HKD", $Q$2="EUR"), M125*$Z$11,
            AND(Q125="EUR", $Q$2="EUR"), M125,
            AND(Q125="EUR", $Q$2="USD"), M125*$Z$12,
            AND(Q125="EUR", $Q$2="GBP"), M125*$Z$13,
            AND(Q125="EUR", $Q$2="HKD"), M125*$Z$14,
        ),
        0
    )
)</f>
        <v>281.70000000000005</v>
      </c>
      <c r="T125" s="1" t="str">
        <f t="shared" si="10"/>
        <v>9</v>
      </c>
      <c r="U125" s="9" t="str">
        <f t="shared" si="11"/>
        <v>05</v>
      </c>
      <c r="V125" s="1" t="str">
        <f t="shared" si="12"/>
        <v>2023</v>
      </c>
      <c r="W125" s="18" t="str">
        <f t="shared" si="13"/>
        <v>星期二</v>
      </c>
    </row>
    <row r="126" spans="1:23">
      <c r="A126" s="17" t="s">
        <v>32</v>
      </c>
      <c r="B126" s="1" t="s">
        <v>348</v>
      </c>
      <c r="C126" s="9">
        <v>45056</v>
      </c>
      <c r="D126" s="1" t="s">
        <v>122</v>
      </c>
      <c r="E126" s="1" t="s">
        <v>122</v>
      </c>
      <c r="F126" s="1" t="s">
        <v>346</v>
      </c>
      <c r="H126" s="1" t="s">
        <v>367</v>
      </c>
      <c r="I126" s="1">
        <v>296.31</v>
      </c>
      <c r="J126" s="27">
        <v>1</v>
      </c>
      <c r="M126" s="24">
        <f t="shared" si="7"/>
        <v>296.31</v>
      </c>
      <c r="N126" s="36">
        <f t="shared" si="8"/>
        <v>296.31</v>
      </c>
      <c r="O126" s="34">
        <f>IF(ISBLANK(A126),"",SUMIFS(I$3:I126,D$3:D126,D126,H$3:H126,"Buy")+SUMIFS(I$3:I126,D$3:D126,D126,H$3:H126,"Cash Deposit")+SUMIFS(I$3:I126,D$3:D126,D126,H$3:H126,"Crypto Deposit")+SUMIFS(I$3:I126,D$3:D126,D126,H$3:H126,"Airdrop/Rewards")-SUMIFS(I$3:I126,D$3:D126,D126,H$3:H126,"Sell"))</f>
        <v>0</v>
      </c>
      <c r="P126" s="2" cm="1">
        <f t="array" ref="P126">IF(ISBLANK(A126),"",IFERROR(IF(OR(H126="Sell",F126="Stable Coin"),INDEX(_xlfn._xlws.FILTER(P$2:P125, D$2:D125=D126),COUNT(_xlfn._xlws.FILTER(P$2:P125, D$2:D125=D126))),(INDEX(_xlfn._xlws.FILTER(P$2:P125, D$2:D125=D126),COUNT(_xlfn._xlws.FILTER(P$2:P125, D$2:D125=D126)))*INDEX(_xlfn._xlws.FILTER(O$2:O125, D$2:D125=D126),COUNT(_xlfn._xlws.FILTER(O$2:O125, D$2:D125=D126)))-N126) / O126), J126))</f>
        <v>1</v>
      </c>
      <c r="Q126" s="1" t="str">
        <f t="shared" si="9"/>
        <v>USD</v>
      </c>
      <c r="R126" s="1" cm="1">
        <f t="array" ref="R126">IF(A126="", "",
    IFERROR(
        _xlfn.SWITCH(
            TRUE,
            AND(Q126="USD", $Q$2="USD"), K126,
            AND(Q126="USD", $Q$2="GBP"), K126*$Z$3,
            AND(Q126="USD", $Q$2="HKD"), K126*$Z$4,
            AND(Q126="USD", $Q$2="EUR"), K126*$Z$5,
            AND(Q126="GBP", $Q$2="GBP"), K126,
            AND(Q126="GBP", $Q$2="USD"), K126*$Z$6,
            AND(Q126="GBP", $Q$2="HKD"), K126*$Z$7,
            AND(Q126="HKG", $Q$2="HKG"), K126,
            AND(Q126="HKD", $Q$2="USD"), K126*$Z$9,
            AND(Q126="HKD", $Q$2="GBP"), K126*$Z$10,
            AND(Q126="HKD", $Q$2="EUR"), K126*$Z$11,
            AND(Q126="EUR", $Q$2="EUR"), K126,
            AND(Q126="EUR", $Q$2="USD"), K126*$Z$12,
            AND(Q126="EUR", $Q$2="GBP"), K126*$Z$13,
            AND(Q126="EUR", $Q$2="HKD"), K126*$Z$14,
        ),
        0
    )
)</f>
        <v>0</v>
      </c>
      <c r="S126" s="1" cm="1">
        <f t="array" ref="S126">IF(A126="", "",
    IFERROR(
        _xlfn.SWITCH(
            TRUE,
            AND(Q126="USD", $Q$2="USD"), M126,
            AND(Q126="USD", $Q$2="GBP"), M126*$Z$3,
            AND(Q126="USD", $Q$2="HKD"), M126*$Z$4,
            AND(Q126="USD", $Q$2="EUR"), M126*$Z$5,
            AND(Q126="GBP", $Q$2="GBP"), M126,
            AND(Q126="GBP", $Q$2="USD"), M126*$Z$6,
            AND(Q126="GBP", $Q$2="HKD"), M126*$Z$7,
            AND(Q126="GBP", $Q$2="HKD"), M126*$Z$8,
            AND(Q126="HKG", $Q$2="HKG"), M126,
            AND(Q126="HKD", $Q$2="USD"), M126*$Z$9,
            AND(Q126="HKD", $Q$2="GBP"), M126*$Z$10,
            AND(Q126="HKD", $Q$2="EUR"), M126*$Z$11,
            AND(Q126="EUR", $Q$2="EUR"), M126,
            AND(Q126="EUR", $Q$2="USD"), M126*$Z$12,
            AND(Q126="EUR", $Q$2="GBP"), M126*$Z$13,
            AND(Q126="EUR", $Q$2="HKD"), M126*$Z$14,
        ),
        0
    )
)</f>
        <v>296.31</v>
      </c>
      <c r="T126" s="1" t="str">
        <f t="shared" si="10"/>
        <v>10</v>
      </c>
      <c r="U126" s="9" t="str">
        <f t="shared" si="11"/>
        <v>05</v>
      </c>
      <c r="V126" s="1" t="str">
        <f t="shared" si="12"/>
        <v>2023</v>
      </c>
      <c r="W126" s="18" t="str">
        <f t="shared" si="13"/>
        <v>星期三</v>
      </c>
    </row>
    <row r="127" spans="1:23">
      <c r="A127" s="17" t="s">
        <v>32</v>
      </c>
      <c r="B127" s="1" t="s">
        <v>348</v>
      </c>
      <c r="C127" s="9">
        <v>45056</v>
      </c>
      <c r="D127" s="1" t="s">
        <v>47</v>
      </c>
      <c r="E127" s="1" t="s">
        <v>4</v>
      </c>
      <c r="F127" s="1" t="s">
        <v>349</v>
      </c>
      <c r="H127" s="1" t="s">
        <v>347</v>
      </c>
      <c r="I127" s="1">
        <v>1.052E-2</v>
      </c>
      <c r="J127" s="27">
        <v>28166.35</v>
      </c>
      <c r="M127" s="24">
        <f t="shared" si="7"/>
        <v>296.310002</v>
      </c>
      <c r="N127" s="36">
        <f t="shared" si="8"/>
        <v>-296.310002</v>
      </c>
      <c r="O127" s="34">
        <f>IF(ISBLANK(A127),"",SUMIFS(I$3:I127,D$3:D127,D127,H$3:H127,"Buy")+SUMIFS(I$3:I127,D$3:D127,D127,H$3:H127,"Cash Deposit")+SUMIFS(I$3:I127,D$3:D127,D127,H$3:H127,"Crypto Deposit")+SUMIFS(I$3:I127,D$3:D127,D127,H$3:H127,"Airdrop/Rewards")-SUMIFS(I$3:I127,D$3:D127,D127,H$3:H127,"Sell"))</f>
        <v>0.30996681999999998</v>
      </c>
      <c r="P127" s="2" cm="1">
        <f t="array" ref="P127">IF(ISBLANK(A127),"",IFERROR(IF(OR(H127="Sell",F127="Stable Coin"),INDEX(_xlfn._xlws.FILTER(P$2:P126, D$2:D126=D127),COUNT(_xlfn._xlws.FILTER(P$2:P126, D$2:D126=D127))),(INDEX(_xlfn._xlws.FILTER(P$2:P126, D$2:D126=D127),COUNT(_xlfn._xlws.FILTER(P$2:P126, D$2:D126=D127)))*INDEX(_xlfn._xlws.FILTER(O$2:O126, D$2:D126=D127),COUNT(_xlfn._xlws.FILTER(O$2:O126, D$2:D126=D127)))-N127) / O127), J127))</f>
        <v>31354.454624302689</v>
      </c>
      <c r="Q127" s="1" t="str">
        <f t="shared" si="9"/>
        <v>USD</v>
      </c>
      <c r="R127" s="1" cm="1">
        <f t="array" ref="R127">IF(A127="", "",
    IFERROR(
        _xlfn.SWITCH(
            TRUE,
            AND(Q127="USD", $Q$2="USD"), K127,
            AND(Q127="USD", $Q$2="GBP"), K127*$Z$3,
            AND(Q127="USD", $Q$2="HKD"), K127*$Z$4,
            AND(Q127="USD", $Q$2="EUR"), K127*$Z$5,
            AND(Q127="GBP", $Q$2="GBP"), K127,
            AND(Q127="GBP", $Q$2="USD"), K127*$Z$6,
            AND(Q127="GBP", $Q$2="HKD"), K127*$Z$7,
            AND(Q127="HKG", $Q$2="HKG"), K127,
            AND(Q127="HKD", $Q$2="USD"), K127*$Z$9,
            AND(Q127="HKD", $Q$2="GBP"), K127*$Z$10,
            AND(Q127="HKD", $Q$2="EUR"), K127*$Z$11,
            AND(Q127="EUR", $Q$2="EUR"), K127,
            AND(Q127="EUR", $Q$2="USD"), K127*$Z$12,
            AND(Q127="EUR", $Q$2="GBP"), K127*$Z$13,
            AND(Q127="EUR", $Q$2="HKD"), K127*$Z$14,
        ),
        0
    )
)</f>
        <v>0</v>
      </c>
      <c r="S127" s="1" cm="1">
        <f t="array" ref="S127">IF(A127="", "",
    IFERROR(
        _xlfn.SWITCH(
            TRUE,
            AND(Q127="USD", $Q$2="USD"), M127,
            AND(Q127="USD", $Q$2="GBP"), M127*$Z$3,
            AND(Q127="USD", $Q$2="HKD"), M127*$Z$4,
            AND(Q127="USD", $Q$2="EUR"), M127*$Z$5,
            AND(Q127="GBP", $Q$2="GBP"), M127,
            AND(Q127="GBP", $Q$2="USD"), M127*$Z$6,
            AND(Q127="GBP", $Q$2="HKD"), M127*$Z$7,
            AND(Q127="GBP", $Q$2="HKD"), M127*$Z$8,
            AND(Q127="HKG", $Q$2="HKG"), M127,
            AND(Q127="HKD", $Q$2="USD"), M127*$Z$9,
            AND(Q127="HKD", $Q$2="GBP"), M127*$Z$10,
            AND(Q127="HKD", $Q$2="EUR"), M127*$Z$11,
            AND(Q127="EUR", $Q$2="EUR"), M127,
            AND(Q127="EUR", $Q$2="USD"), M127*$Z$12,
            AND(Q127="EUR", $Q$2="GBP"), M127*$Z$13,
            AND(Q127="EUR", $Q$2="HKD"), M127*$Z$14,
        ),
        0
    )
)</f>
        <v>296.310002</v>
      </c>
      <c r="T127" s="1" t="str">
        <f t="shared" si="10"/>
        <v>10</v>
      </c>
      <c r="U127" s="9" t="str">
        <f t="shared" si="11"/>
        <v>05</v>
      </c>
      <c r="V127" s="1" t="str">
        <f t="shared" si="12"/>
        <v>2023</v>
      </c>
      <c r="W127" s="18" t="str">
        <f t="shared" si="13"/>
        <v>星期三</v>
      </c>
    </row>
    <row r="128" spans="1:23">
      <c r="A128" s="1" t="s">
        <v>399</v>
      </c>
      <c r="B128" s="1" t="s">
        <v>348</v>
      </c>
      <c r="C128" s="9">
        <v>45056</v>
      </c>
      <c r="D128" s="1" t="s">
        <v>345</v>
      </c>
      <c r="E128" s="1" t="s">
        <v>345</v>
      </c>
      <c r="F128" s="1" t="s">
        <v>345</v>
      </c>
      <c r="H128" s="1" t="s">
        <v>344</v>
      </c>
      <c r="I128" s="1">
        <v>1</v>
      </c>
      <c r="J128" s="27">
        <v>4500</v>
      </c>
      <c r="M128" s="24">
        <f t="shared" si="7"/>
        <v>4500</v>
      </c>
      <c r="N128" s="36">
        <f t="shared" si="8"/>
        <v>-4500</v>
      </c>
      <c r="O128" s="34">
        <f>IF(ISBLANK(A128),"",SUMIFS(I$3:I128,D$3:D128,D128,H$3:H128,"Buy")+SUMIFS(I$3:I128,D$3:D128,D128,H$3:H128,"Cash Deposit")+SUMIFS(I$3:I128,D$3:D128,D128,H$3:H128,"Crypto Deposit")+SUMIFS(I$3:I128,D$3:D128,D128,H$3:H128,"Airdrop/Rewards")-SUMIFS(I$3:I128,D$3:D128,D128,H$3:H128,"Sell"))</f>
        <v>5</v>
      </c>
      <c r="P128" s="2" cm="1">
        <f t="array" ref="P128">IF(ISBLANK(A128),"",IFERROR(IF(OR(H128="Sell",F128="Stable Coin"),INDEX(_xlfn._xlws.FILTER(P$2:P127, D$2:D127=D128),COUNT(_xlfn._xlws.FILTER(P$2:P127, D$2:D127=D128))),(INDEX(_xlfn._xlws.FILTER(P$2:P127, D$2:D127=D128),COUNT(_xlfn._xlws.FILTER(P$2:P127, D$2:D127=D128)))*INDEX(_xlfn._xlws.FILTER(O$2:O127, D$2:D127=D128),COUNT(_xlfn._xlws.FILTER(O$2:O127, D$2:D127=D128)))-N128) / O128), J128))</f>
        <v>2536</v>
      </c>
      <c r="Q128" s="1" t="str">
        <f t="shared" si="9"/>
        <v>USD</v>
      </c>
      <c r="R128" s="1" cm="1">
        <f t="array" ref="R128">IF(A128="", "",
    IFERROR(
        _xlfn.SWITCH(
            TRUE,
            AND(Q128="USD", $Q$2="USD"), K128,
            AND(Q128="USD", $Q$2="GBP"), K128*$Z$3,
            AND(Q128="USD", $Q$2="HKD"), K128*$Z$4,
            AND(Q128="USD", $Q$2="EUR"), K128*$Z$5,
            AND(Q128="GBP", $Q$2="GBP"), K128,
            AND(Q128="GBP", $Q$2="USD"), K128*$Z$6,
            AND(Q128="GBP", $Q$2="HKD"), K128*$Z$7,
            AND(Q128="HKG", $Q$2="HKG"), K128,
            AND(Q128="HKD", $Q$2="USD"), K128*$Z$9,
            AND(Q128="HKD", $Q$2="GBP"), K128*$Z$10,
            AND(Q128="HKD", $Q$2="EUR"), K128*$Z$11,
            AND(Q128="EUR", $Q$2="EUR"), K128,
            AND(Q128="EUR", $Q$2="USD"), K128*$Z$12,
            AND(Q128="EUR", $Q$2="GBP"), K128*$Z$13,
            AND(Q128="EUR", $Q$2="HKD"), K128*$Z$14,
        ),
        0
    )
)</f>
        <v>0</v>
      </c>
      <c r="S128" s="1" cm="1">
        <f t="array" ref="S128">IF(A128="", "",
    IFERROR(
        _xlfn.SWITCH(
            TRUE,
            AND(Q128="USD", $Q$2="USD"), M128,
            AND(Q128="USD", $Q$2="GBP"), M128*$Z$3,
            AND(Q128="USD", $Q$2="HKD"), M128*$Z$4,
            AND(Q128="USD", $Q$2="EUR"), M128*$Z$5,
            AND(Q128="GBP", $Q$2="GBP"), M128,
            AND(Q128="GBP", $Q$2="USD"), M128*$Z$6,
            AND(Q128="GBP", $Q$2="HKD"), M128*$Z$7,
            AND(Q128="GBP", $Q$2="HKD"), M128*$Z$8,
            AND(Q128="HKG", $Q$2="HKG"), M128,
            AND(Q128="HKD", $Q$2="USD"), M128*$Z$9,
            AND(Q128="HKD", $Q$2="GBP"), M128*$Z$10,
            AND(Q128="HKD", $Q$2="EUR"), M128*$Z$11,
            AND(Q128="EUR", $Q$2="EUR"), M128,
            AND(Q128="EUR", $Q$2="USD"), M128*$Z$12,
            AND(Q128="EUR", $Q$2="GBP"), M128*$Z$13,
            AND(Q128="EUR", $Q$2="HKD"), M128*$Z$14,
        ),
        0
    )
)</f>
        <v>4500</v>
      </c>
      <c r="T128" s="1" t="str">
        <f t="shared" si="10"/>
        <v>10</v>
      </c>
      <c r="U128" s="9" t="str">
        <f t="shared" si="11"/>
        <v>05</v>
      </c>
      <c r="V128" s="1" t="str">
        <f t="shared" si="12"/>
        <v>2023</v>
      </c>
      <c r="W128" s="18" t="str">
        <f t="shared" si="13"/>
        <v>星期三</v>
      </c>
    </row>
    <row r="129" spans="1:23">
      <c r="A129" s="17" t="s">
        <v>399</v>
      </c>
      <c r="B129" s="1" t="s">
        <v>348</v>
      </c>
      <c r="C129" s="9">
        <v>45057</v>
      </c>
      <c r="D129" s="1" t="e" vm="20">
        <v>#VALUE!</v>
      </c>
      <c r="E129" s="1" t="s">
        <v>402</v>
      </c>
      <c r="F129" s="1" t="s">
        <v>401</v>
      </c>
      <c r="H129" s="1" t="s">
        <v>347</v>
      </c>
      <c r="I129" s="1">
        <v>10</v>
      </c>
      <c r="J129" s="27">
        <v>8.8175000000000008</v>
      </c>
      <c r="K129" s="1">
        <v>2.02</v>
      </c>
      <c r="M129" s="24">
        <f t="shared" si="7"/>
        <v>88.175000000000011</v>
      </c>
      <c r="N129" s="36">
        <f t="shared" si="8"/>
        <v>-88.175000000000011</v>
      </c>
      <c r="O129" s="34">
        <f>IF(ISBLANK(A129),"",SUMIFS(I$3:I129,D$3:D129,D129,H$3:H129,"Buy")+SUMIFS(I$3:I129,D$3:D129,D129,H$3:H129,"Cash Deposit")+SUMIFS(I$3:I129,D$3:D129,D129,H$3:H129,"Crypto Deposit")+SUMIFS(I$3:I129,D$3:D129,D129,H$3:H129,"Airdrop/Rewards")-SUMIFS(I$3:I129,D$3:D129,D129,H$3:H129,"Sell"))</f>
        <v>115</v>
      </c>
      <c r="P129" s="2" cm="1">
        <f t="array" ref="P129">IF(ISBLANK(A129),"",IFERROR(IF(OR(H129="Sell",F129="Stable Coin"),INDEX(_xlfn._xlws.FILTER(P$2:P128, D$2:D128=D129),COUNT(_xlfn._xlws.FILTER(P$2:P128, D$2:D128=D129))),(INDEX(_xlfn._xlws.FILTER(P$2:P128, D$2:D128=D129),COUNT(_xlfn._xlws.FILTER(P$2:P128, D$2:D128=D129)))*INDEX(_xlfn._xlws.FILTER(O$2:O128, D$2:D128=D129),COUNT(_xlfn._xlws.FILTER(O$2:O128, D$2:D128=D129)))-N129) / O129), J129))</f>
        <v>9.3172434782608686</v>
      </c>
      <c r="Q129" s="1" t="str">
        <f t="shared" si="9"/>
        <v>USD</v>
      </c>
      <c r="R129" s="1" cm="1">
        <f t="array" ref="R129">IF(A129="", "",
    IFERROR(
        _xlfn.SWITCH(
            TRUE,
            AND(Q129="USD", $Q$2="USD"), K129,
            AND(Q129="USD", $Q$2="GBP"), K129*$Z$3,
            AND(Q129="USD", $Q$2="HKD"), K129*$Z$4,
            AND(Q129="USD", $Q$2="EUR"), K129*$Z$5,
            AND(Q129="GBP", $Q$2="GBP"), K129,
            AND(Q129="GBP", $Q$2="USD"), K129*$Z$6,
            AND(Q129="GBP", $Q$2="HKD"), K129*$Z$7,
            AND(Q129="HKG", $Q$2="HKG"), K129,
            AND(Q129="HKD", $Q$2="USD"), K129*$Z$9,
            AND(Q129="HKD", $Q$2="GBP"), K129*$Z$10,
            AND(Q129="HKD", $Q$2="EUR"), K129*$Z$11,
            AND(Q129="EUR", $Q$2="EUR"), K129,
            AND(Q129="EUR", $Q$2="USD"), K129*$Z$12,
            AND(Q129="EUR", $Q$2="GBP"), K129*$Z$13,
            AND(Q129="EUR", $Q$2="HKD"), K129*$Z$14,
        ),
        0
    )
)</f>
        <v>2.02</v>
      </c>
      <c r="S129" s="1" cm="1">
        <f t="array" ref="S129">IF(A129="", "",
    IFERROR(
        _xlfn.SWITCH(
            TRUE,
            AND(Q129="USD", $Q$2="USD"), M129,
            AND(Q129="USD", $Q$2="GBP"), M129*$Z$3,
            AND(Q129="USD", $Q$2="HKD"), M129*$Z$4,
            AND(Q129="USD", $Q$2="EUR"), M129*$Z$5,
            AND(Q129="GBP", $Q$2="GBP"), M129,
            AND(Q129="GBP", $Q$2="USD"), M129*$Z$6,
            AND(Q129="GBP", $Q$2="HKD"), M129*$Z$7,
            AND(Q129="GBP", $Q$2="HKD"), M129*$Z$8,
            AND(Q129="HKG", $Q$2="HKG"), M129,
            AND(Q129="HKD", $Q$2="USD"), M129*$Z$9,
            AND(Q129="HKD", $Q$2="GBP"), M129*$Z$10,
            AND(Q129="HKD", $Q$2="EUR"), M129*$Z$11,
            AND(Q129="EUR", $Q$2="EUR"), M129,
            AND(Q129="EUR", $Q$2="USD"), M129*$Z$12,
            AND(Q129="EUR", $Q$2="GBP"), M129*$Z$13,
            AND(Q129="EUR", $Q$2="HKD"), M129*$Z$14,
        ),
        0
    )
)</f>
        <v>88.175000000000011</v>
      </c>
      <c r="T129" s="1" t="str">
        <f t="shared" si="10"/>
        <v>11</v>
      </c>
      <c r="U129" s="9" t="str">
        <f t="shared" si="11"/>
        <v>05</v>
      </c>
      <c r="V129" s="1" t="str">
        <f t="shared" si="12"/>
        <v>2023</v>
      </c>
      <c r="W129" s="18" t="str">
        <f t="shared" si="13"/>
        <v>星期四</v>
      </c>
    </row>
    <row r="130" spans="1:23">
      <c r="A130" s="17" t="s">
        <v>399</v>
      </c>
      <c r="B130" s="1" t="s">
        <v>348</v>
      </c>
      <c r="C130" s="9">
        <v>45057</v>
      </c>
      <c r="D130" s="1" t="e" vm="18">
        <v>#VALUE!</v>
      </c>
      <c r="E130" s="1" t="s">
        <v>400</v>
      </c>
      <c r="F130" s="1" t="s">
        <v>401</v>
      </c>
      <c r="H130" s="1" t="s">
        <v>347</v>
      </c>
      <c r="I130" s="1">
        <v>4</v>
      </c>
      <c r="J130" s="27">
        <v>57.69</v>
      </c>
      <c r="K130" s="1">
        <v>2</v>
      </c>
      <c r="M130" s="24">
        <f t="shared" si="7"/>
        <v>230.76</v>
      </c>
      <c r="N130" s="36">
        <f t="shared" si="8"/>
        <v>-230.76</v>
      </c>
      <c r="O130" s="34">
        <f>IF(ISBLANK(A130),"",SUMIFS(I$3:I130,D$3:D130,D130,H$3:H130,"Buy")+SUMIFS(I$3:I130,D$3:D130,D130,H$3:H130,"Cash Deposit")+SUMIFS(I$3:I130,D$3:D130,D130,H$3:H130,"Crypto Deposit")+SUMIFS(I$3:I130,D$3:D130,D130,H$3:H130,"Airdrop/Rewards")-SUMIFS(I$3:I130,D$3:D130,D130,H$3:H130,"Sell"))</f>
        <v>6</v>
      </c>
      <c r="P130" s="2" cm="1">
        <f t="array" ref="P130">IF(ISBLANK(A130),"",IFERROR(IF(OR(H130="Sell",F130="Stable Coin"),INDEX(_xlfn._xlws.FILTER(P$2:P129, D$2:D129=D130),COUNT(_xlfn._xlws.FILTER(P$2:P129, D$2:D129=D130))),(INDEX(_xlfn._xlws.FILTER(P$2:P129, D$2:D129=D130),COUNT(_xlfn._xlws.FILTER(P$2:P129, D$2:D129=D130)))*INDEX(_xlfn._xlws.FILTER(O$2:O129, D$2:D129=D130),COUNT(_xlfn._xlws.FILTER(O$2:O129, D$2:D129=D130)))-N130) / O130), J130))</f>
        <v>63.51</v>
      </c>
      <c r="Q130" s="1" t="str">
        <f t="shared" si="9"/>
        <v>USD</v>
      </c>
      <c r="R130" s="1" cm="1">
        <f t="array" ref="R130">IF(A130="", "",
    IFERROR(
        _xlfn.SWITCH(
            TRUE,
            AND(Q130="USD", $Q$2="USD"), K130,
            AND(Q130="USD", $Q$2="GBP"), K130*$Z$3,
            AND(Q130="USD", $Q$2="HKD"), K130*$Z$4,
            AND(Q130="USD", $Q$2="EUR"), K130*$Z$5,
            AND(Q130="GBP", $Q$2="GBP"), K130,
            AND(Q130="GBP", $Q$2="USD"), K130*$Z$6,
            AND(Q130="GBP", $Q$2="HKD"), K130*$Z$7,
            AND(Q130="HKG", $Q$2="HKG"), K130,
            AND(Q130="HKD", $Q$2="USD"), K130*$Z$9,
            AND(Q130="HKD", $Q$2="GBP"), K130*$Z$10,
            AND(Q130="HKD", $Q$2="EUR"), K130*$Z$11,
            AND(Q130="EUR", $Q$2="EUR"), K130,
            AND(Q130="EUR", $Q$2="USD"), K130*$Z$12,
            AND(Q130="EUR", $Q$2="GBP"), K130*$Z$13,
            AND(Q130="EUR", $Q$2="HKD"), K130*$Z$14,
        ),
        0
    )
)</f>
        <v>2</v>
      </c>
      <c r="S130" s="1" cm="1">
        <f t="array" ref="S130">IF(A130="", "",
    IFERROR(
        _xlfn.SWITCH(
            TRUE,
            AND(Q130="USD", $Q$2="USD"), M130,
            AND(Q130="USD", $Q$2="GBP"), M130*$Z$3,
            AND(Q130="USD", $Q$2="HKD"), M130*$Z$4,
            AND(Q130="USD", $Q$2="EUR"), M130*$Z$5,
            AND(Q130="GBP", $Q$2="GBP"), M130,
            AND(Q130="GBP", $Q$2="USD"), M130*$Z$6,
            AND(Q130="GBP", $Q$2="HKD"), M130*$Z$7,
            AND(Q130="GBP", $Q$2="HKD"), M130*$Z$8,
            AND(Q130="HKG", $Q$2="HKG"), M130,
            AND(Q130="HKD", $Q$2="USD"), M130*$Z$9,
            AND(Q130="HKD", $Q$2="GBP"), M130*$Z$10,
            AND(Q130="HKD", $Q$2="EUR"), M130*$Z$11,
            AND(Q130="EUR", $Q$2="EUR"), M130,
            AND(Q130="EUR", $Q$2="USD"), M130*$Z$12,
            AND(Q130="EUR", $Q$2="GBP"), M130*$Z$13,
            AND(Q130="EUR", $Q$2="HKD"), M130*$Z$14,
        ),
        0
    )
)</f>
        <v>230.76</v>
      </c>
      <c r="T130" s="1" t="str">
        <f t="shared" si="10"/>
        <v>11</v>
      </c>
      <c r="U130" s="9" t="str">
        <f t="shared" si="11"/>
        <v>05</v>
      </c>
      <c r="V130" s="1" t="str">
        <f t="shared" si="12"/>
        <v>2023</v>
      </c>
      <c r="W130" s="18" t="str">
        <f t="shared" si="13"/>
        <v>星期四</v>
      </c>
    </row>
    <row r="131" spans="1:23">
      <c r="A131" s="17" t="s">
        <v>399</v>
      </c>
      <c r="B131" s="1" t="s">
        <v>348</v>
      </c>
      <c r="C131" s="9">
        <v>45061</v>
      </c>
      <c r="D131" s="1" t="e" vm="22">
        <v>#VALUE!</v>
      </c>
      <c r="E131" s="1" t="s">
        <v>406</v>
      </c>
      <c r="F131" s="1" t="s">
        <v>411</v>
      </c>
      <c r="H131" s="1" t="s">
        <v>347</v>
      </c>
      <c r="I131" s="1">
        <v>3</v>
      </c>
      <c r="J131" s="27">
        <v>187.29</v>
      </c>
      <c r="K131" s="1">
        <v>2</v>
      </c>
      <c r="M131" s="24">
        <f t="shared" si="7"/>
        <v>561.87</v>
      </c>
      <c r="N131" s="36">
        <f t="shared" si="8"/>
        <v>-561.87</v>
      </c>
      <c r="O131" s="34">
        <f>IF(ISBLANK(A131),"",SUMIFS(I$3:I131,D$3:D131,D131,H$3:H131,"Buy")+SUMIFS(I$3:I131,D$3:D131,D131,H$3:H131,"Cash Deposit")+SUMIFS(I$3:I131,D$3:D131,D131,H$3:H131,"Crypto Deposit")+SUMIFS(I$3:I131,D$3:D131,D131,H$3:H131,"Airdrop/Rewards")-SUMIFS(I$3:I131,D$3:D131,D131,H$3:H131,"Sell"))</f>
        <v>3</v>
      </c>
      <c r="P131" s="2" cm="1">
        <f t="array" ref="P131">IF(ISBLANK(A131),"",IFERROR(IF(OR(H131="Sell",F131="Stable Coin"),INDEX(_xlfn._xlws.FILTER(P$2:P130, D$2:D130=D131),COUNT(_xlfn._xlws.FILTER(P$2:P130, D$2:D130=D131))),(INDEX(_xlfn._xlws.FILTER(P$2:P130, D$2:D130=D131),COUNT(_xlfn._xlws.FILTER(P$2:P130, D$2:D130=D131)))*INDEX(_xlfn._xlws.FILTER(O$2:O130, D$2:D130=D131),COUNT(_xlfn._xlws.FILTER(O$2:O130, D$2:D130=D131)))-N131) / O131), J131))</f>
        <v>187.29</v>
      </c>
      <c r="Q131" s="1" t="str">
        <f t="shared" si="9"/>
        <v>USD</v>
      </c>
      <c r="R131" s="1" cm="1">
        <f t="array" ref="R131">IF(A131="", "",
    IFERROR(
        _xlfn.SWITCH(
            TRUE,
            AND(Q131="USD", $Q$2="USD"), K131,
            AND(Q131="USD", $Q$2="GBP"), K131*$Z$3,
            AND(Q131="USD", $Q$2="HKD"), K131*$Z$4,
            AND(Q131="USD", $Q$2="EUR"), K131*$Z$5,
            AND(Q131="GBP", $Q$2="GBP"), K131,
            AND(Q131="GBP", $Q$2="USD"), K131*$Z$6,
            AND(Q131="GBP", $Q$2="HKD"), K131*$Z$7,
            AND(Q131="HKG", $Q$2="HKG"), K131,
            AND(Q131="HKD", $Q$2="USD"), K131*$Z$9,
            AND(Q131="HKD", $Q$2="GBP"), K131*$Z$10,
            AND(Q131="HKD", $Q$2="EUR"), K131*$Z$11,
            AND(Q131="EUR", $Q$2="EUR"), K131,
            AND(Q131="EUR", $Q$2="USD"), K131*$Z$12,
            AND(Q131="EUR", $Q$2="GBP"), K131*$Z$13,
            AND(Q131="EUR", $Q$2="HKD"), K131*$Z$14,
        ),
        0
    )
)</f>
        <v>2</v>
      </c>
      <c r="S131" s="1" cm="1">
        <f t="array" ref="S131">IF(A131="", "",
    IFERROR(
        _xlfn.SWITCH(
            TRUE,
            AND(Q131="USD", $Q$2="USD"), M131,
            AND(Q131="USD", $Q$2="GBP"), M131*$Z$3,
            AND(Q131="USD", $Q$2="HKD"), M131*$Z$4,
            AND(Q131="USD", $Q$2="EUR"), M131*$Z$5,
            AND(Q131="GBP", $Q$2="GBP"), M131,
            AND(Q131="GBP", $Q$2="USD"), M131*$Z$6,
            AND(Q131="GBP", $Q$2="HKD"), M131*$Z$7,
            AND(Q131="GBP", $Q$2="HKD"), M131*$Z$8,
            AND(Q131="HKG", $Q$2="HKG"), M131,
            AND(Q131="HKD", $Q$2="USD"), M131*$Z$9,
            AND(Q131="HKD", $Q$2="GBP"), M131*$Z$10,
            AND(Q131="HKD", $Q$2="EUR"), M131*$Z$11,
            AND(Q131="EUR", $Q$2="EUR"), M131,
            AND(Q131="EUR", $Q$2="USD"), M131*$Z$12,
            AND(Q131="EUR", $Q$2="GBP"), M131*$Z$13,
            AND(Q131="EUR", $Q$2="HKD"), M131*$Z$14,
        ),
        0
    )
)</f>
        <v>561.87</v>
      </c>
      <c r="T131" s="1" t="str">
        <f t="shared" si="10"/>
        <v>15</v>
      </c>
      <c r="U131" s="9" t="str">
        <f t="shared" si="11"/>
        <v>05</v>
      </c>
      <c r="V131" s="1" t="str">
        <f t="shared" si="12"/>
        <v>2023</v>
      </c>
      <c r="W131" s="18" t="str">
        <f t="shared" si="13"/>
        <v>星期一</v>
      </c>
    </row>
    <row r="132" spans="1:23">
      <c r="A132" s="17" t="s">
        <v>399</v>
      </c>
      <c r="B132" s="1" t="s">
        <v>348</v>
      </c>
      <c r="C132" s="9">
        <v>45062</v>
      </c>
      <c r="D132" s="1" t="e" vm="22">
        <v>#VALUE!</v>
      </c>
      <c r="E132" s="1" t="s">
        <v>406</v>
      </c>
      <c r="F132" s="1" t="s">
        <v>411</v>
      </c>
      <c r="H132" s="1" t="s">
        <v>347</v>
      </c>
      <c r="I132" s="1">
        <v>3</v>
      </c>
      <c r="J132" s="27">
        <v>184.85</v>
      </c>
      <c r="K132" s="1">
        <v>2</v>
      </c>
      <c r="M132" s="24">
        <f t="shared" ref="M132:M195" si="14">IF(ISBLANK(A132),"",IF(OR(H132="Sell", H132="Cash Withdrawal"), (I132*J132)-K132, I132*J132))</f>
        <v>554.54999999999995</v>
      </c>
      <c r="N132" s="36">
        <f t="shared" ref="N132:N195" si="15">IF(ISBLANK(A132),"",IF(OR(H132="Buy",H132="Cash Deposit",H132="Crypto Deposit"),-I132*J132,IF(H132="Sell",I132*J132,0)))</f>
        <v>-554.54999999999995</v>
      </c>
      <c r="O132" s="34">
        <f>IF(ISBLANK(A132),"",SUMIFS(I$3:I132,D$3:D132,D132,H$3:H132,"Buy")+SUMIFS(I$3:I132,D$3:D132,D132,H$3:H132,"Cash Deposit")+SUMIFS(I$3:I132,D$3:D132,D132,H$3:H132,"Crypto Deposit")+SUMIFS(I$3:I132,D$3:D132,D132,H$3:H132,"Airdrop/Rewards")-SUMIFS(I$3:I132,D$3:D132,D132,H$3:H132,"Sell"))</f>
        <v>6</v>
      </c>
      <c r="P132" s="2" cm="1">
        <f t="array" ref="P132">IF(ISBLANK(A132),"",IFERROR(IF(OR(H132="Sell",F132="Stable Coin"),INDEX(_xlfn._xlws.FILTER(P$2:P131, D$2:D131=D132),COUNT(_xlfn._xlws.FILTER(P$2:P131, D$2:D131=D132))),(INDEX(_xlfn._xlws.FILTER(P$2:P131, D$2:D131=D132),COUNT(_xlfn._xlws.FILTER(P$2:P131, D$2:D131=D132)))*INDEX(_xlfn._xlws.FILTER(O$2:O131, D$2:D131=D132),COUNT(_xlfn._xlws.FILTER(O$2:O131, D$2:D131=D132)))-N132) / O132), J132))</f>
        <v>186.07000000000002</v>
      </c>
      <c r="Q132" s="1" t="str">
        <f t="shared" ref="Q132:Q195" si="16">B132</f>
        <v>USD</v>
      </c>
      <c r="R132" s="1" cm="1">
        <f t="array" ref="R132">IF(A132="", "",
    IFERROR(
        _xlfn.SWITCH(
            TRUE,
            AND(Q132="USD", $Q$2="USD"), K132,
            AND(Q132="USD", $Q$2="GBP"), K132*$Z$3,
            AND(Q132="USD", $Q$2="HKD"), K132*$Z$4,
            AND(Q132="USD", $Q$2="EUR"), K132*$Z$5,
            AND(Q132="GBP", $Q$2="GBP"), K132,
            AND(Q132="GBP", $Q$2="USD"), K132*$Z$6,
            AND(Q132="GBP", $Q$2="HKD"), K132*$Z$7,
            AND(Q132="HKG", $Q$2="HKG"), K132,
            AND(Q132="HKD", $Q$2="USD"), K132*$Z$9,
            AND(Q132="HKD", $Q$2="GBP"), K132*$Z$10,
            AND(Q132="HKD", $Q$2="EUR"), K132*$Z$11,
            AND(Q132="EUR", $Q$2="EUR"), K132,
            AND(Q132="EUR", $Q$2="USD"), K132*$Z$12,
            AND(Q132="EUR", $Q$2="GBP"), K132*$Z$13,
            AND(Q132="EUR", $Q$2="HKD"), K132*$Z$14,
        ),
        0
    )
)</f>
        <v>2</v>
      </c>
      <c r="S132" s="1" cm="1">
        <f t="array" ref="S132">IF(A132="", "",
    IFERROR(
        _xlfn.SWITCH(
            TRUE,
            AND(Q132="USD", $Q$2="USD"), M132,
            AND(Q132="USD", $Q$2="GBP"), M132*$Z$3,
            AND(Q132="USD", $Q$2="HKD"), M132*$Z$4,
            AND(Q132="USD", $Q$2="EUR"), M132*$Z$5,
            AND(Q132="GBP", $Q$2="GBP"), M132,
            AND(Q132="GBP", $Q$2="USD"), M132*$Z$6,
            AND(Q132="GBP", $Q$2="HKD"), M132*$Z$7,
            AND(Q132="GBP", $Q$2="HKD"), M132*$Z$8,
            AND(Q132="HKG", $Q$2="HKG"), M132,
            AND(Q132="HKD", $Q$2="USD"), M132*$Z$9,
            AND(Q132="HKD", $Q$2="GBP"), M132*$Z$10,
            AND(Q132="HKD", $Q$2="EUR"), M132*$Z$11,
            AND(Q132="EUR", $Q$2="EUR"), M132,
            AND(Q132="EUR", $Q$2="USD"), M132*$Z$12,
            AND(Q132="EUR", $Q$2="GBP"), M132*$Z$13,
            AND(Q132="EUR", $Q$2="HKD"), M132*$Z$14,
        ),
        0
    )
)</f>
        <v>554.54999999999995</v>
      </c>
      <c r="T132" s="1" t="str">
        <f t="shared" ref="T132:T195" si="17">IF(ISBLANK(A132),"",TEXT(C132,"D"))</f>
        <v>16</v>
      </c>
      <c r="U132" s="9" t="str">
        <f t="shared" ref="U132:U195" si="18">IF(ISBLANK(A132),"",TEXT(C132,"MM"))</f>
        <v>05</v>
      </c>
      <c r="V132" s="1" t="str">
        <f t="shared" ref="V132:V195" si="19">IF(ISBLANK(A132),"",TEXT(C132,"YYYY"))</f>
        <v>2023</v>
      </c>
      <c r="W132" s="18" t="str">
        <f t="shared" ref="W132:W195" si="20">IF(ISBLANK(A132),"",TEXT(WEEKDAY(C132,1),"dddd"))</f>
        <v>星期二</v>
      </c>
    </row>
    <row r="133" spans="1:23">
      <c r="A133" s="17" t="s">
        <v>399</v>
      </c>
      <c r="B133" s="1" t="s">
        <v>348</v>
      </c>
      <c r="C133" s="9">
        <v>45064</v>
      </c>
      <c r="D133" s="1" t="e" vm="22">
        <v>#VALUE!</v>
      </c>
      <c r="E133" s="1" t="s">
        <v>406</v>
      </c>
      <c r="F133" s="1" t="s">
        <v>411</v>
      </c>
      <c r="H133" s="1" t="s">
        <v>347</v>
      </c>
      <c r="I133" s="1">
        <v>3</v>
      </c>
      <c r="J133" s="27">
        <v>181.85</v>
      </c>
      <c r="K133" s="1">
        <v>2</v>
      </c>
      <c r="M133" s="24">
        <f t="shared" si="14"/>
        <v>545.54999999999995</v>
      </c>
      <c r="N133" s="36">
        <f t="shared" si="15"/>
        <v>-545.54999999999995</v>
      </c>
      <c r="O133" s="34">
        <f>IF(ISBLANK(A133),"",SUMIFS(I$3:I133,D$3:D133,D133,H$3:H133,"Buy")+SUMIFS(I$3:I133,D$3:D133,D133,H$3:H133,"Cash Deposit")+SUMIFS(I$3:I133,D$3:D133,D133,H$3:H133,"Crypto Deposit")+SUMIFS(I$3:I133,D$3:D133,D133,H$3:H133,"Airdrop/Rewards")-SUMIFS(I$3:I133,D$3:D133,D133,H$3:H133,"Sell"))</f>
        <v>9</v>
      </c>
      <c r="P133" s="2" cm="1">
        <f t="array" ref="P133">IF(ISBLANK(A133),"",IFERROR(IF(OR(H133="Sell",F133="Stable Coin"),INDEX(_xlfn._xlws.FILTER(P$2:P132, D$2:D132=D133),COUNT(_xlfn._xlws.FILTER(P$2:P132, D$2:D132=D133))),(INDEX(_xlfn._xlws.FILTER(P$2:P132, D$2:D132=D133),COUNT(_xlfn._xlws.FILTER(P$2:P132, D$2:D132=D133)))*INDEX(_xlfn._xlws.FILTER(O$2:O132, D$2:D132=D133),COUNT(_xlfn._xlws.FILTER(O$2:O132, D$2:D132=D133)))-N133) / O133), J133))</f>
        <v>184.66333333333333</v>
      </c>
      <c r="Q133" s="1" t="str">
        <f t="shared" si="16"/>
        <v>USD</v>
      </c>
      <c r="R133" s="1" cm="1">
        <f t="array" ref="R133">IF(A133="", "",
    IFERROR(
        _xlfn.SWITCH(
            TRUE,
            AND(Q133="USD", $Q$2="USD"), K133,
            AND(Q133="USD", $Q$2="GBP"), K133*$Z$3,
            AND(Q133="USD", $Q$2="HKD"), K133*$Z$4,
            AND(Q133="USD", $Q$2="EUR"), K133*$Z$5,
            AND(Q133="GBP", $Q$2="GBP"), K133,
            AND(Q133="GBP", $Q$2="USD"), K133*$Z$6,
            AND(Q133="GBP", $Q$2="HKD"), K133*$Z$7,
            AND(Q133="HKG", $Q$2="HKG"), K133,
            AND(Q133="HKD", $Q$2="USD"), K133*$Z$9,
            AND(Q133="HKD", $Q$2="GBP"), K133*$Z$10,
            AND(Q133="HKD", $Q$2="EUR"), K133*$Z$11,
            AND(Q133="EUR", $Q$2="EUR"), K133,
            AND(Q133="EUR", $Q$2="USD"), K133*$Z$12,
            AND(Q133="EUR", $Q$2="GBP"), K133*$Z$13,
            AND(Q133="EUR", $Q$2="HKD"), K133*$Z$14,
        ),
        0
    )
)</f>
        <v>2</v>
      </c>
      <c r="S133" s="1" cm="1">
        <f t="array" ref="S133">IF(A133="", "",
    IFERROR(
        _xlfn.SWITCH(
            TRUE,
            AND(Q133="USD", $Q$2="USD"), M133,
            AND(Q133="USD", $Q$2="GBP"), M133*$Z$3,
            AND(Q133="USD", $Q$2="HKD"), M133*$Z$4,
            AND(Q133="USD", $Q$2="EUR"), M133*$Z$5,
            AND(Q133="GBP", $Q$2="GBP"), M133,
            AND(Q133="GBP", $Q$2="USD"), M133*$Z$6,
            AND(Q133="GBP", $Q$2="HKD"), M133*$Z$7,
            AND(Q133="GBP", $Q$2="HKD"), M133*$Z$8,
            AND(Q133="HKG", $Q$2="HKG"), M133,
            AND(Q133="HKD", $Q$2="USD"), M133*$Z$9,
            AND(Q133="HKD", $Q$2="GBP"), M133*$Z$10,
            AND(Q133="HKD", $Q$2="EUR"), M133*$Z$11,
            AND(Q133="EUR", $Q$2="EUR"), M133,
            AND(Q133="EUR", $Q$2="USD"), M133*$Z$12,
            AND(Q133="EUR", $Q$2="GBP"), M133*$Z$13,
            AND(Q133="EUR", $Q$2="HKD"), M133*$Z$14,
        ),
        0
    )
)</f>
        <v>545.54999999999995</v>
      </c>
      <c r="T133" s="1" t="str">
        <f t="shared" si="17"/>
        <v>18</v>
      </c>
      <c r="U133" s="9" t="str">
        <f t="shared" si="18"/>
        <v>05</v>
      </c>
      <c r="V133" s="1" t="str">
        <f t="shared" si="19"/>
        <v>2023</v>
      </c>
      <c r="W133" s="18" t="str">
        <f t="shared" si="20"/>
        <v>星期四</v>
      </c>
    </row>
    <row r="134" spans="1:23">
      <c r="A134" s="17" t="s">
        <v>399</v>
      </c>
      <c r="B134" s="1" t="s">
        <v>348</v>
      </c>
      <c r="C134" s="9">
        <v>45068</v>
      </c>
      <c r="D134" s="1" t="e" vm="15">
        <v>#VALUE!</v>
      </c>
      <c r="E134" s="1" t="s">
        <v>410</v>
      </c>
      <c r="F134" s="1" t="s">
        <v>411</v>
      </c>
      <c r="H134" s="1" t="s">
        <v>414</v>
      </c>
      <c r="I134" s="1">
        <v>1</v>
      </c>
      <c r="J134" s="27">
        <v>11.77</v>
      </c>
      <c r="K134" s="1">
        <v>3.53</v>
      </c>
      <c r="M134" s="24">
        <f t="shared" si="14"/>
        <v>11.77</v>
      </c>
      <c r="N134" s="36">
        <f t="shared" si="15"/>
        <v>0</v>
      </c>
      <c r="O134" s="34">
        <f>IF(ISBLANK(A134),"",SUMIFS(I$3:I134,D$3:D134,D134,H$3:H134,"Buy")+SUMIFS(I$3:I134,D$3:D134,D134,H$3:H134,"Cash Deposit")+SUMIFS(I$3:I134,D$3:D134,D134,H$3:H134,"Crypto Deposit")+SUMIFS(I$3:I134,D$3:D134,D134,H$3:H134,"Airdrop/Rewards")-SUMIFS(I$3:I134,D$3:D134,D134,H$3:H134,"Sell"))</f>
        <v>70</v>
      </c>
      <c r="P134" s="2" cm="1">
        <f t="array" ref="P134">IF(ISBLANK(A134),"",IFERROR(IF(OR(H134="Sell",F134="Stable Coin"),INDEX(_xlfn._xlws.FILTER(P$2:P133, D$2:D133=D134),COUNT(_xlfn._xlws.FILTER(P$2:P133, D$2:D133=D134))),(INDEX(_xlfn._xlws.FILTER(P$2:P133, D$2:D133=D134),COUNT(_xlfn._xlws.FILTER(P$2:P133, D$2:D133=D134)))*INDEX(_xlfn._xlws.FILTER(O$2:O133, D$2:D133=D134),COUNT(_xlfn._xlws.FILTER(O$2:O133, D$2:D133=D134)))-N134) / O134), J134))</f>
        <v>16.775714285714287</v>
      </c>
      <c r="Q134" s="1" t="str">
        <f t="shared" si="16"/>
        <v>USD</v>
      </c>
      <c r="R134" s="1" cm="1">
        <f t="array" ref="R134">IF(A134="", "",
    IFERROR(
        _xlfn.SWITCH(
            TRUE,
            AND(Q134="USD", $Q$2="USD"), K134,
            AND(Q134="USD", $Q$2="GBP"), K134*$Z$3,
            AND(Q134="USD", $Q$2="HKD"), K134*$Z$4,
            AND(Q134="USD", $Q$2="EUR"), K134*$Z$5,
            AND(Q134="GBP", $Q$2="GBP"), K134,
            AND(Q134="GBP", $Q$2="USD"), K134*$Z$6,
            AND(Q134="GBP", $Q$2="HKD"), K134*$Z$7,
            AND(Q134="HKG", $Q$2="HKG"), K134,
            AND(Q134="HKD", $Q$2="USD"), K134*$Z$9,
            AND(Q134="HKD", $Q$2="GBP"), K134*$Z$10,
            AND(Q134="HKD", $Q$2="EUR"), K134*$Z$11,
            AND(Q134="EUR", $Q$2="EUR"), K134,
            AND(Q134="EUR", $Q$2="USD"), K134*$Z$12,
            AND(Q134="EUR", $Q$2="GBP"), K134*$Z$13,
            AND(Q134="EUR", $Q$2="HKD"), K134*$Z$14,
        ),
        0
    )
)</f>
        <v>3.53</v>
      </c>
      <c r="S134" s="1" cm="1">
        <f t="array" ref="S134">IF(A134="", "",
    IFERROR(
        _xlfn.SWITCH(
            TRUE,
            AND(Q134="USD", $Q$2="USD"), M134,
            AND(Q134="USD", $Q$2="GBP"), M134*$Z$3,
            AND(Q134="USD", $Q$2="HKD"), M134*$Z$4,
            AND(Q134="USD", $Q$2="EUR"), M134*$Z$5,
            AND(Q134="GBP", $Q$2="GBP"), M134,
            AND(Q134="GBP", $Q$2="USD"), M134*$Z$6,
            AND(Q134="GBP", $Q$2="HKD"), M134*$Z$7,
            AND(Q134="GBP", $Q$2="HKD"), M134*$Z$8,
            AND(Q134="HKG", $Q$2="HKG"), M134,
            AND(Q134="HKD", $Q$2="USD"), M134*$Z$9,
            AND(Q134="HKD", $Q$2="GBP"), M134*$Z$10,
            AND(Q134="HKD", $Q$2="EUR"), M134*$Z$11,
            AND(Q134="EUR", $Q$2="EUR"), M134,
            AND(Q134="EUR", $Q$2="USD"), M134*$Z$12,
            AND(Q134="EUR", $Q$2="GBP"), M134*$Z$13,
            AND(Q134="EUR", $Q$2="HKD"), M134*$Z$14,
        ),
        0
    )
)</f>
        <v>11.77</v>
      </c>
      <c r="T134" s="1" t="str">
        <f t="shared" si="17"/>
        <v>22</v>
      </c>
      <c r="U134" s="9" t="str">
        <f t="shared" si="18"/>
        <v>05</v>
      </c>
      <c r="V134" s="1" t="str">
        <f t="shared" si="19"/>
        <v>2023</v>
      </c>
      <c r="W134" s="18" t="str">
        <f t="shared" si="20"/>
        <v>星期一</v>
      </c>
    </row>
    <row r="135" spans="1:23">
      <c r="A135" s="17" t="s">
        <v>32</v>
      </c>
      <c r="B135" s="1" t="s">
        <v>343</v>
      </c>
      <c r="C135" s="9">
        <v>45071</v>
      </c>
      <c r="D135" s="1" t="s">
        <v>345</v>
      </c>
      <c r="E135" s="1" t="s">
        <v>345</v>
      </c>
      <c r="F135" s="1" t="s">
        <v>345</v>
      </c>
      <c r="H135" s="1" t="s">
        <v>344</v>
      </c>
      <c r="I135" s="1">
        <v>1</v>
      </c>
      <c r="J135" s="27">
        <v>100</v>
      </c>
      <c r="M135" s="24">
        <f t="shared" si="14"/>
        <v>100</v>
      </c>
      <c r="N135" s="36">
        <f t="shared" si="15"/>
        <v>-100</v>
      </c>
      <c r="O135" s="34">
        <f>IF(ISBLANK(A135),"",SUMIFS(I$3:I135,D$3:D135,D135,H$3:H135,"Buy")+SUMIFS(I$3:I135,D$3:D135,D135,H$3:H135,"Cash Deposit")+SUMIFS(I$3:I135,D$3:D135,D135,H$3:H135,"Crypto Deposit")+SUMIFS(I$3:I135,D$3:D135,D135,H$3:H135,"Airdrop/Rewards")-SUMIFS(I$3:I135,D$3:D135,D135,H$3:H135,"Sell"))</f>
        <v>6</v>
      </c>
      <c r="P135" s="2" cm="1">
        <f t="array" ref="P135">IF(ISBLANK(A135),"",IFERROR(IF(OR(H135="Sell",F135="Stable Coin"),INDEX(_xlfn._xlws.FILTER(P$2:P134, D$2:D134=D135),COUNT(_xlfn._xlws.FILTER(P$2:P134, D$2:D134=D135))),(INDEX(_xlfn._xlws.FILTER(P$2:P134, D$2:D134=D135),COUNT(_xlfn._xlws.FILTER(P$2:P134, D$2:D134=D135)))*INDEX(_xlfn._xlws.FILTER(O$2:O134, D$2:D134=D135),COUNT(_xlfn._xlws.FILTER(O$2:O134, D$2:D134=D135)))-N135) / O135), J135))</f>
        <v>2130</v>
      </c>
      <c r="Q135" s="1" t="str">
        <f t="shared" si="16"/>
        <v>GBP</v>
      </c>
      <c r="R135" s="1" cm="1">
        <f t="array" ref="R135">IF(A135="", "",
    IFERROR(
        _xlfn.SWITCH(
            TRUE,
            AND(Q135="USD", $Q$2="USD"), K135,
            AND(Q135="USD", $Q$2="GBP"), K135*$Z$3,
            AND(Q135="USD", $Q$2="HKD"), K135*$Z$4,
            AND(Q135="USD", $Q$2="EUR"), K135*$Z$5,
            AND(Q135="GBP", $Q$2="GBP"), K135,
            AND(Q135="GBP", $Q$2="USD"), K135*$Z$6,
            AND(Q135="GBP", $Q$2="HKD"), K135*$Z$7,
            AND(Q135="HKG", $Q$2="HKG"), K135,
            AND(Q135="HKD", $Q$2="USD"), K135*$Z$9,
            AND(Q135="HKD", $Q$2="GBP"), K135*$Z$10,
            AND(Q135="HKD", $Q$2="EUR"), K135*$Z$11,
            AND(Q135="EUR", $Q$2="EUR"), K135,
            AND(Q135="EUR", $Q$2="USD"), K135*$Z$12,
            AND(Q135="EUR", $Q$2="GBP"), K135*$Z$13,
            AND(Q135="EUR", $Q$2="HKD"), K135*$Z$14,
        ),
        0
    )
)</f>
        <v>0</v>
      </c>
      <c r="S135" s="1" cm="1">
        <f t="array" ref="S135">IF(A135="", "",
    IFERROR(
        _xlfn.SWITCH(
            TRUE,
            AND(Q135="USD", $Q$2="USD"), M135,
            AND(Q135="USD", $Q$2="GBP"), M135*$Z$3,
            AND(Q135="USD", $Q$2="HKD"), M135*$Z$4,
            AND(Q135="USD", $Q$2="EUR"), M135*$Z$5,
            AND(Q135="GBP", $Q$2="GBP"), M135,
            AND(Q135="GBP", $Q$2="USD"), M135*$Z$6,
            AND(Q135="GBP", $Q$2="HKD"), M135*$Z$7,
            AND(Q135="GBP", $Q$2="HKD"), M135*$Z$8,
            AND(Q135="HKG", $Q$2="HKG"), M135,
            AND(Q135="HKD", $Q$2="USD"), M135*$Z$9,
            AND(Q135="HKD", $Q$2="GBP"), M135*$Z$10,
            AND(Q135="HKD", $Q$2="EUR"), M135*$Z$11,
            AND(Q135="EUR", $Q$2="EUR"), M135,
            AND(Q135="EUR", $Q$2="USD"), M135*$Z$12,
            AND(Q135="EUR", $Q$2="GBP"), M135*$Z$13,
            AND(Q135="EUR", $Q$2="HKD"), M135*$Z$14,
        ),
        0
    )
)</f>
        <v>127.82</v>
      </c>
      <c r="T135" s="1" t="str">
        <f t="shared" si="17"/>
        <v>25</v>
      </c>
      <c r="U135" s="9" t="str">
        <f t="shared" si="18"/>
        <v>05</v>
      </c>
      <c r="V135" s="1" t="str">
        <f t="shared" si="19"/>
        <v>2023</v>
      </c>
      <c r="W135" s="18" t="str">
        <f t="shared" si="20"/>
        <v>星期四</v>
      </c>
    </row>
    <row r="136" spans="1:23">
      <c r="A136" s="17" t="s">
        <v>32</v>
      </c>
      <c r="B136" s="1" t="s">
        <v>343</v>
      </c>
      <c r="C136" s="9">
        <v>45071</v>
      </c>
      <c r="D136" s="1" t="s">
        <v>345</v>
      </c>
      <c r="E136" s="1" t="s">
        <v>345</v>
      </c>
      <c r="F136" s="1" t="s">
        <v>345</v>
      </c>
      <c r="I136" s="1">
        <v>1</v>
      </c>
      <c r="J136" s="27">
        <v>100</v>
      </c>
      <c r="M136" s="24">
        <f t="shared" si="14"/>
        <v>100</v>
      </c>
      <c r="N136" s="36">
        <f t="shared" si="15"/>
        <v>0</v>
      </c>
      <c r="O136" s="34">
        <f>IF(ISBLANK(A136),"",SUMIFS(I$3:I136,D$3:D136,D136,H$3:H136,"Buy")+SUMIFS(I$3:I136,D$3:D136,D136,H$3:H136,"Cash Deposit")+SUMIFS(I$3:I136,D$3:D136,D136,H$3:H136,"Crypto Deposit")+SUMIFS(I$3:I136,D$3:D136,D136,H$3:H136,"Airdrop/Rewards")-SUMIFS(I$3:I136,D$3:D136,D136,H$3:H136,"Sell"))</f>
        <v>6</v>
      </c>
      <c r="P136" s="2" cm="1">
        <f t="array" ref="P136">IF(ISBLANK(A136),"",IFERROR(IF(OR(H136="Sell",F136="Stable Coin"),INDEX(_xlfn._xlws.FILTER(P$2:P135, D$2:D135=D136),COUNT(_xlfn._xlws.FILTER(P$2:P135, D$2:D135=D136))),(INDEX(_xlfn._xlws.FILTER(P$2:P135, D$2:D135=D136),COUNT(_xlfn._xlws.FILTER(P$2:P135, D$2:D135=D136)))*INDEX(_xlfn._xlws.FILTER(O$2:O135, D$2:D135=D136),COUNT(_xlfn._xlws.FILTER(O$2:O135, D$2:D135=D136)))-N136) / O136), J136))</f>
        <v>2130</v>
      </c>
      <c r="Q136" s="1" t="str">
        <f t="shared" si="16"/>
        <v>GBP</v>
      </c>
      <c r="R136" s="1" cm="1">
        <f t="array" ref="R136">IF(A136="", "",
    IFERROR(
        _xlfn.SWITCH(
            TRUE,
            AND(Q136="USD", $Q$2="USD"), K136,
            AND(Q136="USD", $Q$2="GBP"), K136*$Z$3,
            AND(Q136="USD", $Q$2="HKD"), K136*$Z$4,
            AND(Q136="USD", $Q$2="EUR"), K136*$Z$5,
            AND(Q136="GBP", $Q$2="GBP"), K136,
            AND(Q136="GBP", $Q$2="USD"), K136*$Z$6,
            AND(Q136="GBP", $Q$2="HKD"), K136*$Z$7,
            AND(Q136="HKG", $Q$2="HKG"), K136,
            AND(Q136="HKD", $Q$2="USD"), K136*$Z$9,
            AND(Q136="HKD", $Q$2="GBP"), K136*$Z$10,
            AND(Q136="HKD", $Q$2="EUR"), K136*$Z$11,
            AND(Q136="EUR", $Q$2="EUR"), K136,
            AND(Q136="EUR", $Q$2="USD"), K136*$Z$12,
            AND(Q136="EUR", $Q$2="GBP"), K136*$Z$13,
            AND(Q136="EUR", $Q$2="HKD"), K136*$Z$14,
        ),
        0
    )
)</f>
        <v>0</v>
      </c>
      <c r="S136" s="1" cm="1">
        <f t="array" ref="S136">IF(A136="", "",
    IFERROR(
        _xlfn.SWITCH(
            TRUE,
            AND(Q136="USD", $Q$2="USD"), M136,
            AND(Q136="USD", $Q$2="GBP"), M136*$Z$3,
            AND(Q136="USD", $Q$2="HKD"), M136*$Z$4,
            AND(Q136="USD", $Q$2="EUR"), M136*$Z$5,
            AND(Q136="GBP", $Q$2="GBP"), M136,
            AND(Q136="GBP", $Q$2="USD"), M136*$Z$6,
            AND(Q136="GBP", $Q$2="HKD"), M136*$Z$7,
            AND(Q136="GBP", $Q$2="HKD"), M136*$Z$8,
            AND(Q136="HKG", $Q$2="HKG"), M136,
            AND(Q136="HKD", $Q$2="USD"), M136*$Z$9,
            AND(Q136="HKD", $Q$2="GBP"), M136*$Z$10,
            AND(Q136="HKD", $Q$2="EUR"), M136*$Z$11,
            AND(Q136="EUR", $Q$2="EUR"), M136,
            AND(Q136="EUR", $Q$2="USD"), M136*$Z$12,
            AND(Q136="EUR", $Q$2="GBP"), M136*$Z$13,
            AND(Q136="EUR", $Q$2="HKD"), M136*$Z$14,
        ),
        0
    )
)</f>
        <v>127.82</v>
      </c>
      <c r="T136" s="1" t="str">
        <f t="shared" si="17"/>
        <v>25</v>
      </c>
      <c r="U136" s="9" t="str">
        <f t="shared" si="18"/>
        <v>05</v>
      </c>
      <c r="V136" s="1" t="str">
        <f t="shared" si="19"/>
        <v>2023</v>
      </c>
      <c r="W136" s="18" t="str">
        <f t="shared" si="20"/>
        <v>星期四</v>
      </c>
    </row>
    <row r="137" spans="1:23">
      <c r="A137" s="17" t="s">
        <v>32</v>
      </c>
      <c r="B137" s="1" t="s">
        <v>348</v>
      </c>
      <c r="C137" s="9">
        <v>45071</v>
      </c>
      <c r="D137" s="1" t="s">
        <v>122</v>
      </c>
      <c r="E137" s="1" t="s">
        <v>122</v>
      </c>
      <c r="F137" s="1" t="s">
        <v>346</v>
      </c>
      <c r="H137" s="1" t="s">
        <v>347</v>
      </c>
      <c r="I137" s="1">
        <v>122.66</v>
      </c>
      <c r="J137" s="27">
        <v>1</v>
      </c>
      <c r="M137" s="24">
        <f t="shared" si="14"/>
        <v>122.66</v>
      </c>
      <c r="N137" s="36">
        <f t="shared" si="15"/>
        <v>-122.66</v>
      </c>
      <c r="O137" s="34">
        <f>IF(ISBLANK(A137),"",SUMIFS(I$3:I137,D$3:D137,D137,H$3:H137,"Buy")+SUMIFS(I$3:I137,D$3:D137,D137,H$3:H137,"Cash Deposit")+SUMIFS(I$3:I137,D$3:D137,D137,H$3:H137,"Crypto Deposit")+SUMIFS(I$3:I137,D$3:D137,D137,H$3:H137,"Airdrop/Rewards")-SUMIFS(I$3:I137,D$3:D137,D137,H$3:H137,"Sell"))</f>
        <v>122.65999999999997</v>
      </c>
      <c r="P137" s="2" cm="1">
        <f t="array" ref="P137">IF(ISBLANK(A137),"",IFERROR(IF(OR(H137="Sell",F137="Stable Coin"),INDEX(_xlfn._xlws.FILTER(P$2:P136, D$2:D136=D137),COUNT(_xlfn._xlws.FILTER(P$2:P136, D$2:D136=D137))),(INDEX(_xlfn._xlws.FILTER(P$2:P136, D$2:D136=D137),COUNT(_xlfn._xlws.FILTER(P$2:P136, D$2:D136=D137)))*INDEX(_xlfn._xlws.FILTER(O$2:O136, D$2:D136=D137),COUNT(_xlfn._xlws.FILTER(O$2:O136, D$2:D136=D137)))-N137) / O137), J137))</f>
        <v>1</v>
      </c>
      <c r="Q137" s="1" t="str">
        <f t="shared" si="16"/>
        <v>USD</v>
      </c>
      <c r="R137" s="1" cm="1">
        <f t="array" ref="R137">IF(A137="", "",
    IFERROR(
        _xlfn.SWITCH(
            TRUE,
            AND(Q137="USD", $Q$2="USD"), K137,
            AND(Q137="USD", $Q$2="GBP"), K137*$Z$3,
            AND(Q137="USD", $Q$2="HKD"), K137*$Z$4,
            AND(Q137="USD", $Q$2="EUR"), K137*$Z$5,
            AND(Q137="GBP", $Q$2="GBP"), K137,
            AND(Q137="GBP", $Q$2="USD"), K137*$Z$6,
            AND(Q137="GBP", $Q$2="HKD"), K137*$Z$7,
            AND(Q137="HKG", $Q$2="HKG"), K137,
            AND(Q137="HKD", $Q$2="USD"), K137*$Z$9,
            AND(Q137="HKD", $Q$2="GBP"), K137*$Z$10,
            AND(Q137="HKD", $Q$2="EUR"), K137*$Z$11,
            AND(Q137="EUR", $Q$2="EUR"), K137,
            AND(Q137="EUR", $Q$2="USD"), K137*$Z$12,
            AND(Q137="EUR", $Q$2="GBP"), K137*$Z$13,
            AND(Q137="EUR", $Q$2="HKD"), K137*$Z$14,
        ),
        0
    )
)</f>
        <v>0</v>
      </c>
      <c r="S137" s="1" cm="1">
        <f t="array" ref="S137">IF(A137="", "",
    IFERROR(
        _xlfn.SWITCH(
            TRUE,
            AND(Q137="USD", $Q$2="USD"), M137,
            AND(Q137="USD", $Q$2="GBP"), M137*$Z$3,
            AND(Q137="USD", $Q$2="HKD"), M137*$Z$4,
            AND(Q137="USD", $Q$2="EUR"), M137*$Z$5,
            AND(Q137="GBP", $Q$2="GBP"), M137,
            AND(Q137="GBP", $Q$2="USD"), M137*$Z$6,
            AND(Q137="GBP", $Q$2="HKD"), M137*$Z$7,
            AND(Q137="GBP", $Q$2="HKD"), M137*$Z$8,
            AND(Q137="HKG", $Q$2="HKG"), M137,
            AND(Q137="HKD", $Q$2="USD"), M137*$Z$9,
            AND(Q137="HKD", $Q$2="GBP"), M137*$Z$10,
            AND(Q137="HKD", $Q$2="EUR"), M137*$Z$11,
            AND(Q137="EUR", $Q$2="EUR"), M137,
            AND(Q137="EUR", $Q$2="USD"), M137*$Z$12,
            AND(Q137="EUR", $Q$2="GBP"), M137*$Z$13,
            AND(Q137="EUR", $Q$2="HKD"), M137*$Z$14,
        ),
        0
    )
)</f>
        <v>122.66</v>
      </c>
      <c r="T137" s="1" t="str">
        <f t="shared" si="17"/>
        <v>25</v>
      </c>
      <c r="U137" s="9" t="str">
        <f t="shared" si="18"/>
        <v>05</v>
      </c>
      <c r="V137" s="1" t="str">
        <f t="shared" si="19"/>
        <v>2023</v>
      </c>
      <c r="W137" s="18" t="str">
        <f t="shared" si="20"/>
        <v>星期四</v>
      </c>
    </row>
    <row r="138" spans="1:23">
      <c r="A138" s="17" t="s">
        <v>32</v>
      </c>
      <c r="B138" s="1" t="s">
        <v>348</v>
      </c>
      <c r="C138" s="9">
        <v>45071</v>
      </c>
      <c r="D138" s="1" t="s">
        <v>122</v>
      </c>
      <c r="E138" s="1" t="s">
        <v>122</v>
      </c>
      <c r="F138" s="1" t="s">
        <v>346</v>
      </c>
      <c r="H138" s="1" t="s">
        <v>367</v>
      </c>
      <c r="I138" s="1">
        <v>99.5</v>
      </c>
      <c r="J138" s="27">
        <v>1</v>
      </c>
      <c r="M138" s="24">
        <f t="shared" si="14"/>
        <v>99.5</v>
      </c>
      <c r="N138" s="36">
        <f t="shared" si="15"/>
        <v>99.5</v>
      </c>
      <c r="O138" s="34">
        <f>IF(ISBLANK(A138),"",SUMIFS(I$3:I138,D$3:D138,D138,H$3:H138,"Buy")+SUMIFS(I$3:I138,D$3:D138,D138,H$3:H138,"Cash Deposit")+SUMIFS(I$3:I138,D$3:D138,D138,H$3:H138,"Crypto Deposit")+SUMIFS(I$3:I138,D$3:D138,D138,H$3:H138,"Airdrop/Rewards")-SUMIFS(I$3:I138,D$3:D138,D138,H$3:H138,"Sell"))</f>
        <v>23.159999999999968</v>
      </c>
      <c r="P138" s="2" cm="1">
        <f t="array" ref="P138">IF(ISBLANK(A138),"",IFERROR(IF(OR(H138="Sell",F138="Stable Coin"),INDEX(_xlfn._xlws.FILTER(P$2:P137, D$2:D137=D138),COUNT(_xlfn._xlws.FILTER(P$2:P137, D$2:D137=D138))),(INDEX(_xlfn._xlws.FILTER(P$2:P137, D$2:D137=D138),COUNT(_xlfn._xlws.FILTER(P$2:P137, D$2:D137=D138)))*INDEX(_xlfn._xlws.FILTER(O$2:O137, D$2:D137=D138),COUNT(_xlfn._xlws.FILTER(O$2:O137, D$2:D137=D138)))-N138) / O138), J138))</f>
        <v>1</v>
      </c>
      <c r="Q138" s="1" t="str">
        <f t="shared" si="16"/>
        <v>USD</v>
      </c>
      <c r="R138" s="1" cm="1">
        <f t="array" ref="R138">IF(A138="", "",
    IFERROR(
        _xlfn.SWITCH(
            TRUE,
            AND(Q138="USD", $Q$2="USD"), K138,
            AND(Q138="USD", $Q$2="GBP"), K138*$Z$3,
            AND(Q138="USD", $Q$2="HKD"), K138*$Z$4,
            AND(Q138="USD", $Q$2="EUR"), K138*$Z$5,
            AND(Q138="GBP", $Q$2="GBP"), K138,
            AND(Q138="GBP", $Q$2="USD"), K138*$Z$6,
            AND(Q138="GBP", $Q$2="HKD"), K138*$Z$7,
            AND(Q138="HKG", $Q$2="HKG"), K138,
            AND(Q138="HKD", $Q$2="USD"), K138*$Z$9,
            AND(Q138="HKD", $Q$2="GBP"), K138*$Z$10,
            AND(Q138="HKD", $Q$2="EUR"), K138*$Z$11,
            AND(Q138="EUR", $Q$2="EUR"), K138,
            AND(Q138="EUR", $Q$2="USD"), K138*$Z$12,
            AND(Q138="EUR", $Q$2="GBP"), K138*$Z$13,
            AND(Q138="EUR", $Q$2="HKD"), K138*$Z$14,
        ),
        0
    )
)</f>
        <v>0</v>
      </c>
      <c r="S138" s="1" cm="1">
        <f t="array" ref="S138">IF(A138="", "",
    IFERROR(
        _xlfn.SWITCH(
            TRUE,
            AND(Q138="USD", $Q$2="USD"), M138,
            AND(Q138="USD", $Q$2="GBP"), M138*$Z$3,
            AND(Q138="USD", $Q$2="HKD"), M138*$Z$4,
            AND(Q138="USD", $Q$2="EUR"), M138*$Z$5,
            AND(Q138="GBP", $Q$2="GBP"), M138,
            AND(Q138="GBP", $Q$2="USD"), M138*$Z$6,
            AND(Q138="GBP", $Q$2="HKD"), M138*$Z$7,
            AND(Q138="GBP", $Q$2="HKD"), M138*$Z$8,
            AND(Q138="HKG", $Q$2="HKG"), M138,
            AND(Q138="HKD", $Q$2="USD"), M138*$Z$9,
            AND(Q138="HKD", $Q$2="GBP"), M138*$Z$10,
            AND(Q138="HKD", $Q$2="EUR"), M138*$Z$11,
            AND(Q138="EUR", $Q$2="EUR"), M138,
            AND(Q138="EUR", $Q$2="USD"), M138*$Z$12,
            AND(Q138="EUR", $Q$2="GBP"), M138*$Z$13,
            AND(Q138="EUR", $Q$2="HKD"), M138*$Z$14,
        ),
        0
    )
)</f>
        <v>99.5</v>
      </c>
      <c r="T138" s="1" t="str">
        <f t="shared" si="17"/>
        <v>25</v>
      </c>
      <c r="U138" s="9" t="str">
        <f t="shared" si="18"/>
        <v>05</v>
      </c>
      <c r="V138" s="1" t="str">
        <f t="shared" si="19"/>
        <v>2023</v>
      </c>
      <c r="W138" s="18" t="str">
        <f t="shared" si="20"/>
        <v>星期四</v>
      </c>
    </row>
    <row r="139" spans="1:23">
      <c r="A139" s="17" t="s">
        <v>32</v>
      </c>
      <c r="B139" s="1" t="s">
        <v>348</v>
      </c>
      <c r="C139" s="9">
        <v>45071</v>
      </c>
      <c r="D139" s="1" t="s">
        <v>47</v>
      </c>
      <c r="E139" s="1" t="s">
        <v>4</v>
      </c>
      <c r="F139" s="1" t="s">
        <v>349</v>
      </c>
      <c r="H139" s="1" t="s">
        <v>347</v>
      </c>
      <c r="I139" s="1">
        <v>3.6939999999999998E-3</v>
      </c>
      <c r="J139" s="27">
        <v>26935.57</v>
      </c>
      <c r="M139" s="24">
        <f t="shared" si="14"/>
        <v>99.49999557999999</v>
      </c>
      <c r="N139" s="36">
        <f t="shared" si="15"/>
        <v>-99.49999557999999</v>
      </c>
      <c r="O139" s="34">
        <f>IF(ISBLANK(A139),"",SUMIFS(I$3:I139,D$3:D139,D139,H$3:H139,"Buy")+SUMIFS(I$3:I139,D$3:D139,D139,H$3:H139,"Cash Deposit")+SUMIFS(I$3:I139,D$3:D139,D139,H$3:H139,"Crypto Deposit")+SUMIFS(I$3:I139,D$3:D139,D139,H$3:H139,"Airdrop/Rewards")-SUMIFS(I$3:I139,D$3:D139,D139,H$3:H139,"Sell"))</f>
        <v>0.31366081999999995</v>
      </c>
      <c r="P139" s="2" cm="1">
        <f t="array" ref="P139">IF(ISBLANK(A139),"",IFERROR(IF(OR(H139="Sell",F139="Stable Coin"),INDEX(_xlfn._xlws.FILTER(P$2:P138, D$2:D138=D139),COUNT(_xlfn._xlws.FILTER(P$2:P138, D$2:D138=D139))),(INDEX(_xlfn._xlws.FILTER(P$2:P138, D$2:D138=D139),COUNT(_xlfn._xlws.FILTER(P$2:P138, D$2:D138=D139)))*INDEX(_xlfn._xlws.FILTER(O$2:O138, D$2:D138=D139),COUNT(_xlfn._xlws.FILTER(O$2:O138, D$2:D138=D139)))-N139) / O139), J139))</f>
        <v>31302.413187306593</v>
      </c>
      <c r="Q139" s="1" t="str">
        <f t="shared" si="16"/>
        <v>USD</v>
      </c>
      <c r="R139" s="1" cm="1">
        <f t="array" ref="R139">IF(A139="", "",
    IFERROR(
        _xlfn.SWITCH(
            TRUE,
            AND(Q139="USD", $Q$2="USD"), K139,
            AND(Q139="USD", $Q$2="GBP"), K139*$Z$3,
            AND(Q139="USD", $Q$2="HKD"), K139*$Z$4,
            AND(Q139="USD", $Q$2="EUR"), K139*$Z$5,
            AND(Q139="GBP", $Q$2="GBP"), K139,
            AND(Q139="GBP", $Q$2="USD"), K139*$Z$6,
            AND(Q139="GBP", $Q$2="HKD"), K139*$Z$7,
            AND(Q139="HKG", $Q$2="HKG"), K139,
            AND(Q139="HKD", $Q$2="USD"), K139*$Z$9,
            AND(Q139="HKD", $Q$2="GBP"), K139*$Z$10,
            AND(Q139="HKD", $Q$2="EUR"), K139*$Z$11,
            AND(Q139="EUR", $Q$2="EUR"), K139,
            AND(Q139="EUR", $Q$2="USD"), K139*$Z$12,
            AND(Q139="EUR", $Q$2="GBP"), K139*$Z$13,
            AND(Q139="EUR", $Q$2="HKD"), K139*$Z$14,
        ),
        0
    )
)</f>
        <v>0</v>
      </c>
      <c r="S139" s="1" cm="1">
        <f t="array" ref="S139">IF(A139="", "",
    IFERROR(
        _xlfn.SWITCH(
            TRUE,
            AND(Q139="USD", $Q$2="USD"), M139,
            AND(Q139="USD", $Q$2="GBP"), M139*$Z$3,
            AND(Q139="USD", $Q$2="HKD"), M139*$Z$4,
            AND(Q139="USD", $Q$2="EUR"), M139*$Z$5,
            AND(Q139="GBP", $Q$2="GBP"), M139,
            AND(Q139="GBP", $Q$2="USD"), M139*$Z$6,
            AND(Q139="GBP", $Q$2="HKD"), M139*$Z$7,
            AND(Q139="GBP", $Q$2="HKD"), M139*$Z$8,
            AND(Q139="HKG", $Q$2="HKG"), M139,
            AND(Q139="HKD", $Q$2="USD"), M139*$Z$9,
            AND(Q139="HKD", $Q$2="GBP"), M139*$Z$10,
            AND(Q139="HKD", $Q$2="EUR"), M139*$Z$11,
            AND(Q139="EUR", $Q$2="EUR"), M139,
            AND(Q139="EUR", $Q$2="USD"), M139*$Z$12,
            AND(Q139="EUR", $Q$2="GBP"), M139*$Z$13,
            AND(Q139="EUR", $Q$2="HKD"), M139*$Z$14,
        ),
        0
    )
)</f>
        <v>99.49999557999999</v>
      </c>
      <c r="T139" s="1" t="str">
        <f t="shared" si="17"/>
        <v>25</v>
      </c>
      <c r="U139" s="9" t="str">
        <f t="shared" si="18"/>
        <v>05</v>
      </c>
      <c r="V139" s="1" t="str">
        <f t="shared" si="19"/>
        <v>2023</v>
      </c>
      <c r="W139" s="18" t="str">
        <f t="shared" si="20"/>
        <v>星期四</v>
      </c>
    </row>
    <row r="140" spans="1:23">
      <c r="A140" s="17" t="s">
        <v>399</v>
      </c>
      <c r="B140" s="1" t="s">
        <v>348</v>
      </c>
      <c r="C140" s="9">
        <v>45078</v>
      </c>
      <c r="D140" s="1" t="e" vm="14">
        <v>#VALUE!</v>
      </c>
      <c r="E140" s="1" t="s">
        <v>409</v>
      </c>
      <c r="F140" s="1" t="s">
        <v>401</v>
      </c>
      <c r="H140" s="1" t="s">
        <v>367</v>
      </c>
      <c r="I140" s="1">
        <v>1</v>
      </c>
      <c r="J140" s="27">
        <v>156.94999999999999</v>
      </c>
      <c r="K140" s="1">
        <v>2.0099999999999998</v>
      </c>
      <c r="M140" s="24">
        <f t="shared" si="14"/>
        <v>154.94</v>
      </c>
      <c r="N140" s="36">
        <f t="shared" si="15"/>
        <v>156.94999999999999</v>
      </c>
      <c r="O140" s="34">
        <f>IF(ISBLANK(A140),"",SUMIFS(I$3:I140,D$3:D140,D140,H$3:H140,"Buy")+SUMIFS(I$3:I140,D$3:D140,D140,H$3:H140,"Cash Deposit")+SUMIFS(I$3:I140,D$3:D140,D140,H$3:H140,"Crypto Deposit")+SUMIFS(I$3:I140,D$3:D140,D140,H$3:H140,"Airdrop/Rewards")-SUMIFS(I$3:I140,D$3:D140,D140,H$3:H140,"Sell"))</f>
        <v>0</v>
      </c>
      <c r="P140" s="2" cm="1">
        <f t="array" ref="P140">IF(ISBLANK(A140),"",IFERROR(IF(OR(H140="Sell",F140="Stable Coin"),INDEX(_xlfn._xlws.FILTER(P$2:P139, D$2:D139=D140),COUNT(_xlfn._xlws.FILTER(P$2:P139, D$2:D139=D140))),(INDEX(_xlfn._xlws.FILTER(P$2:P139, D$2:D139=D140),COUNT(_xlfn._xlws.FILTER(P$2:P139, D$2:D139=D140)))*INDEX(_xlfn._xlws.FILTER(O$2:O139, D$2:D139=D140),COUNT(_xlfn._xlws.FILTER(O$2:O139, D$2:D139=D140)))-N140) / O140), J140))</f>
        <v>111.2</v>
      </c>
      <c r="Q140" s="1" t="str">
        <f t="shared" si="16"/>
        <v>USD</v>
      </c>
      <c r="R140" s="1" cm="1">
        <f t="array" ref="R140">IF(A140="", "",
    IFERROR(
        _xlfn.SWITCH(
            TRUE,
            AND(Q140="USD", $Q$2="USD"), K140,
            AND(Q140="USD", $Q$2="GBP"), K140*$Z$3,
            AND(Q140="USD", $Q$2="HKD"), K140*$Z$4,
            AND(Q140="USD", $Q$2="EUR"), K140*$Z$5,
            AND(Q140="GBP", $Q$2="GBP"), K140,
            AND(Q140="GBP", $Q$2="USD"), K140*$Z$6,
            AND(Q140="GBP", $Q$2="HKD"), K140*$Z$7,
            AND(Q140="HKG", $Q$2="HKG"), K140,
            AND(Q140="HKD", $Q$2="USD"), K140*$Z$9,
            AND(Q140="HKD", $Q$2="GBP"), K140*$Z$10,
            AND(Q140="HKD", $Q$2="EUR"), K140*$Z$11,
            AND(Q140="EUR", $Q$2="EUR"), K140,
            AND(Q140="EUR", $Q$2="USD"), K140*$Z$12,
            AND(Q140="EUR", $Q$2="GBP"), K140*$Z$13,
            AND(Q140="EUR", $Q$2="HKD"), K140*$Z$14,
        ),
        0
    )
)</f>
        <v>2.0099999999999998</v>
      </c>
      <c r="S140" s="1" cm="1">
        <f t="array" ref="S140">IF(A140="", "",
    IFERROR(
        _xlfn.SWITCH(
            TRUE,
            AND(Q140="USD", $Q$2="USD"), M140,
            AND(Q140="USD", $Q$2="GBP"), M140*$Z$3,
            AND(Q140="USD", $Q$2="HKD"), M140*$Z$4,
            AND(Q140="USD", $Q$2="EUR"), M140*$Z$5,
            AND(Q140="GBP", $Q$2="GBP"), M140,
            AND(Q140="GBP", $Q$2="USD"), M140*$Z$6,
            AND(Q140="GBP", $Q$2="HKD"), M140*$Z$7,
            AND(Q140="GBP", $Q$2="HKD"), M140*$Z$8,
            AND(Q140="HKG", $Q$2="HKG"), M140,
            AND(Q140="HKD", $Q$2="USD"), M140*$Z$9,
            AND(Q140="HKD", $Q$2="GBP"), M140*$Z$10,
            AND(Q140="HKD", $Q$2="EUR"), M140*$Z$11,
            AND(Q140="EUR", $Q$2="EUR"), M140,
            AND(Q140="EUR", $Q$2="USD"), M140*$Z$12,
            AND(Q140="EUR", $Q$2="GBP"), M140*$Z$13,
            AND(Q140="EUR", $Q$2="HKD"), M140*$Z$14,
        ),
        0
    )
)</f>
        <v>154.94</v>
      </c>
      <c r="T140" s="1" t="str">
        <f t="shared" si="17"/>
        <v>1</v>
      </c>
      <c r="U140" s="9" t="str">
        <f t="shared" si="18"/>
        <v>06</v>
      </c>
      <c r="V140" s="1" t="str">
        <f t="shared" si="19"/>
        <v>2023</v>
      </c>
      <c r="W140" s="18" t="str">
        <f t="shared" si="20"/>
        <v>星期四</v>
      </c>
    </row>
    <row r="141" spans="1:23">
      <c r="A141" s="17" t="s">
        <v>399</v>
      </c>
      <c r="B141" s="1" t="s">
        <v>348</v>
      </c>
      <c r="C141" s="9">
        <v>45079</v>
      </c>
      <c r="D141" s="1" t="e" vm="22">
        <v>#VALUE!</v>
      </c>
      <c r="E141" s="1" t="s">
        <v>406</v>
      </c>
      <c r="F141" s="1" t="s">
        <v>401</v>
      </c>
      <c r="H141" s="1" t="s">
        <v>347</v>
      </c>
      <c r="I141" s="1">
        <v>3</v>
      </c>
      <c r="J141" s="27">
        <v>181.39</v>
      </c>
      <c r="K141" s="1">
        <v>2</v>
      </c>
      <c r="M141" s="24">
        <f t="shared" si="14"/>
        <v>544.16999999999996</v>
      </c>
      <c r="N141" s="36">
        <f t="shared" si="15"/>
        <v>-544.16999999999996</v>
      </c>
      <c r="O141" s="34">
        <f>IF(ISBLANK(A141),"",SUMIFS(I$3:I141,D$3:D141,D141,H$3:H141,"Buy")+SUMIFS(I$3:I141,D$3:D141,D141,H$3:H141,"Cash Deposit")+SUMIFS(I$3:I141,D$3:D141,D141,H$3:H141,"Crypto Deposit")+SUMIFS(I$3:I141,D$3:D141,D141,H$3:H141,"Airdrop/Rewards")-SUMIFS(I$3:I141,D$3:D141,D141,H$3:H141,"Sell"))</f>
        <v>12</v>
      </c>
      <c r="P141" s="2" cm="1">
        <f t="array" ref="P141">IF(ISBLANK(A141),"",IFERROR(IF(OR(H141="Sell",F141="Stable Coin"),INDEX(_xlfn._xlws.FILTER(P$2:P140, D$2:D140=D141),COUNT(_xlfn._xlws.FILTER(P$2:P140, D$2:D140=D141))),(INDEX(_xlfn._xlws.FILTER(P$2:P140, D$2:D140=D141),COUNT(_xlfn._xlws.FILTER(P$2:P140, D$2:D140=D141)))*INDEX(_xlfn._xlws.FILTER(O$2:O140, D$2:D140=D141),COUNT(_xlfn._xlws.FILTER(O$2:O140, D$2:D140=D141)))-N141) / O141), J141))</f>
        <v>183.845</v>
      </c>
      <c r="Q141" s="1" t="str">
        <f t="shared" si="16"/>
        <v>USD</v>
      </c>
      <c r="R141" s="1" cm="1">
        <f t="array" ref="R141">IF(A141="", "",
    IFERROR(
        _xlfn.SWITCH(
            TRUE,
            AND(Q141="USD", $Q$2="USD"), K141,
            AND(Q141="USD", $Q$2="GBP"), K141*$Z$3,
            AND(Q141="USD", $Q$2="HKD"), K141*$Z$4,
            AND(Q141="USD", $Q$2="EUR"), K141*$Z$5,
            AND(Q141="GBP", $Q$2="GBP"), K141,
            AND(Q141="GBP", $Q$2="USD"), K141*$Z$6,
            AND(Q141="GBP", $Q$2="HKD"), K141*$Z$7,
            AND(Q141="HKG", $Q$2="HKG"), K141,
            AND(Q141="HKD", $Q$2="USD"), K141*$Z$9,
            AND(Q141="HKD", $Q$2="GBP"), K141*$Z$10,
            AND(Q141="HKD", $Q$2="EUR"), K141*$Z$11,
            AND(Q141="EUR", $Q$2="EUR"), K141,
            AND(Q141="EUR", $Q$2="USD"), K141*$Z$12,
            AND(Q141="EUR", $Q$2="GBP"), K141*$Z$13,
            AND(Q141="EUR", $Q$2="HKD"), K141*$Z$14,
        ),
        0
    )
)</f>
        <v>2</v>
      </c>
      <c r="S141" s="1" cm="1">
        <f t="array" ref="S141">IF(A141="", "",
    IFERROR(
        _xlfn.SWITCH(
            TRUE,
            AND(Q141="USD", $Q$2="USD"), M141,
            AND(Q141="USD", $Q$2="GBP"), M141*$Z$3,
            AND(Q141="USD", $Q$2="HKD"), M141*$Z$4,
            AND(Q141="USD", $Q$2="EUR"), M141*$Z$5,
            AND(Q141="GBP", $Q$2="GBP"), M141,
            AND(Q141="GBP", $Q$2="USD"), M141*$Z$6,
            AND(Q141="GBP", $Q$2="HKD"), M141*$Z$7,
            AND(Q141="GBP", $Q$2="HKD"), M141*$Z$8,
            AND(Q141="HKG", $Q$2="HKG"), M141,
            AND(Q141="HKD", $Q$2="USD"), M141*$Z$9,
            AND(Q141="HKD", $Q$2="GBP"), M141*$Z$10,
            AND(Q141="HKD", $Q$2="EUR"), M141*$Z$11,
            AND(Q141="EUR", $Q$2="EUR"), M141,
            AND(Q141="EUR", $Q$2="USD"), M141*$Z$12,
            AND(Q141="EUR", $Q$2="GBP"), M141*$Z$13,
            AND(Q141="EUR", $Q$2="HKD"), M141*$Z$14,
        ),
        0
    )
)</f>
        <v>544.16999999999996</v>
      </c>
      <c r="T141" s="1" t="str">
        <f t="shared" si="17"/>
        <v>2</v>
      </c>
      <c r="U141" s="9" t="str">
        <f t="shared" si="18"/>
        <v>06</v>
      </c>
      <c r="V141" s="1" t="str">
        <f t="shared" si="19"/>
        <v>2023</v>
      </c>
      <c r="W141" s="18" t="str">
        <f t="shared" si="20"/>
        <v>星期五</v>
      </c>
    </row>
    <row r="142" spans="1:23">
      <c r="A142" s="17" t="s">
        <v>32</v>
      </c>
      <c r="B142" s="1" t="s">
        <v>348</v>
      </c>
      <c r="C142" s="9">
        <v>45082</v>
      </c>
      <c r="D142" s="1" t="s">
        <v>122</v>
      </c>
      <c r="E142" s="1" t="s">
        <v>122</v>
      </c>
      <c r="F142" s="1" t="s">
        <v>346</v>
      </c>
      <c r="H142" s="1" t="s">
        <v>350</v>
      </c>
      <c r="I142" s="1">
        <v>5.032E-3</v>
      </c>
      <c r="J142" s="27">
        <v>1</v>
      </c>
      <c r="M142" s="24">
        <f t="shared" si="14"/>
        <v>5.032E-3</v>
      </c>
      <c r="N142" s="36">
        <f t="shared" si="15"/>
        <v>0</v>
      </c>
      <c r="O142" s="34">
        <f>IF(ISBLANK(A142),"",SUMIFS(I$3:I142,D$3:D142,D142,H$3:H142,"Buy")+SUMIFS(I$3:I142,D$3:D142,D142,H$3:H142,"Cash Deposit")+SUMIFS(I$3:I142,D$3:D142,D142,H$3:H142,"Crypto Deposit")+SUMIFS(I$3:I142,D$3:D142,D142,H$3:H142,"Airdrop/Rewards")-SUMIFS(I$3:I142,D$3:D142,D142,H$3:H142,"Sell"))</f>
        <v>23.159999999999968</v>
      </c>
      <c r="P142" s="2" cm="1">
        <f t="array" ref="P142">IF(ISBLANK(A142),"",IFERROR(IF(OR(H142="Sell",F142="Stable Coin"),INDEX(_xlfn._xlws.FILTER(P$2:P141, D$2:D141=D142),COUNT(_xlfn._xlws.FILTER(P$2:P141, D$2:D141=D142))),(INDEX(_xlfn._xlws.FILTER(P$2:P141, D$2:D141=D142),COUNT(_xlfn._xlws.FILTER(P$2:P141, D$2:D141=D142)))*INDEX(_xlfn._xlws.FILTER(O$2:O141, D$2:D141=D142),COUNT(_xlfn._xlws.FILTER(O$2:O141, D$2:D141=D142)))-N142) / O142), J142))</f>
        <v>1</v>
      </c>
      <c r="Q142" s="1" t="str">
        <f t="shared" si="16"/>
        <v>USD</v>
      </c>
      <c r="R142" s="1" cm="1">
        <f t="array" ref="R142">IF(A142="", "",
    IFERROR(
        _xlfn.SWITCH(
            TRUE,
            AND(Q142="USD", $Q$2="USD"), K142,
            AND(Q142="USD", $Q$2="GBP"), K142*$Z$3,
            AND(Q142="USD", $Q$2="HKD"), K142*$Z$4,
            AND(Q142="USD", $Q$2="EUR"), K142*$Z$5,
            AND(Q142="GBP", $Q$2="GBP"), K142,
            AND(Q142="GBP", $Q$2="USD"), K142*$Z$6,
            AND(Q142="GBP", $Q$2="HKD"), K142*$Z$7,
            AND(Q142="HKG", $Q$2="HKG"), K142,
            AND(Q142="HKD", $Q$2="USD"), K142*$Z$9,
            AND(Q142="HKD", $Q$2="GBP"), K142*$Z$10,
            AND(Q142="HKD", $Q$2="EUR"), K142*$Z$11,
            AND(Q142="EUR", $Q$2="EUR"), K142,
            AND(Q142="EUR", $Q$2="USD"), K142*$Z$12,
            AND(Q142="EUR", $Q$2="GBP"), K142*$Z$13,
            AND(Q142="EUR", $Q$2="HKD"), K142*$Z$14,
        ),
        0
    )
)</f>
        <v>0</v>
      </c>
      <c r="S142" s="1" cm="1">
        <f t="array" ref="S142">IF(A142="", "",
    IFERROR(
        _xlfn.SWITCH(
            TRUE,
            AND(Q142="USD", $Q$2="USD"), M142,
            AND(Q142="USD", $Q$2="GBP"), M142*$Z$3,
            AND(Q142="USD", $Q$2="HKD"), M142*$Z$4,
            AND(Q142="USD", $Q$2="EUR"), M142*$Z$5,
            AND(Q142="GBP", $Q$2="GBP"), M142,
            AND(Q142="GBP", $Q$2="USD"), M142*$Z$6,
            AND(Q142="GBP", $Q$2="HKD"), M142*$Z$7,
            AND(Q142="GBP", $Q$2="HKD"), M142*$Z$8,
            AND(Q142="HKG", $Q$2="HKG"), M142,
            AND(Q142="HKD", $Q$2="USD"), M142*$Z$9,
            AND(Q142="HKD", $Q$2="GBP"), M142*$Z$10,
            AND(Q142="HKD", $Q$2="EUR"), M142*$Z$11,
            AND(Q142="EUR", $Q$2="EUR"), M142,
            AND(Q142="EUR", $Q$2="USD"), M142*$Z$12,
            AND(Q142="EUR", $Q$2="GBP"), M142*$Z$13,
            AND(Q142="EUR", $Q$2="HKD"), M142*$Z$14,
        ),
        0
    )
)</f>
        <v>5.032E-3</v>
      </c>
      <c r="T142" s="1" t="str">
        <f t="shared" si="17"/>
        <v>5</v>
      </c>
      <c r="U142" s="9" t="str">
        <f t="shared" si="18"/>
        <v>06</v>
      </c>
      <c r="V142" s="1" t="str">
        <f t="shared" si="19"/>
        <v>2023</v>
      </c>
      <c r="W142" s="18" t="str">
        <f t="shared" si="20"/>
        <v>星期一</v>
      </c>
    </row>
    <row r="143" spans="1:23">
      <c r="A143" s="17" t="s">
        <v>399</v>
      </c>
      <c r="B143" s="1" t="s">
        <v>348</v>
      </c>
      <c r="C143" s="9">
        <v>45082</v>
      </c>
      <c r="D143" s="1" t="e" vm="17">
        <v>#VALUE!</v>
      </c>
      <c r="E143" s="1" t="s">
        <v>32</v>
      </c>
      <c r="F143" s="1" t="s">
        <v>401</v>
      </c>
      <c r="H143" s="1" t="s">
        <v>347</v>
      </c>
      <c r="I143" s="1">
        <v>2</v>
      </c>
      <c r="J143" s="27">
        <v>58.51</v>
      </c>
      <c r="K143" s="1">
        <v>2</v>
      </c>
      <c r="M143" s="24">
        <f t="shared" si="14"/>
        <v>117.02</v>
      </c>
      <c r="N143" s="36">
        <f t="shared" si="15"/>
        <v>-117.02</v>
      </c>
      <c r="O143" s="34">
        <f>IF(ISBLANK(A143),"",SUMIFS(I$3:I143,D$3:D143,D143,H$3:H143,"Buy")+SUMIFS(I$3:I143,D$3:D143,D143,H$3:H143,"Cash Deposit")+SUMIFS(I$3:I143,D$3:D143,D143,H$3:H143,"Crypto Deposit")+SUMIFS(I$3:I143,D$3:D143,D143,H$3:H143,"Airdrop/Rewards")-SUMIFS(I$3:I143,D$3:D143,D143,H$3:H143,"Sell"))</f>
        <v>62</v>
      </c>
      <c r="P143" s="2" cm="1">
        <f t="array" ref="P143">IF(ISBLANK(A143),"",IFERROR(IF(OR(H143="Sell",F143="Stable Coin"),INDEX(_xlfn._xlws.FILTER(P$2:P142, D$2:D142=D143),COUNT(_xlfn._xlws.FILTER(P$2:P142, D$2:D142=D143))),(INDEX(_xlfn._xlws.FILTER(P$2:P142, D$2:D142=D143),COUNT(_xlfn._xlws.FILTER(P$2:P142, D$2:D142=D143)))*INDEX(_xlfn._xlws.FILTER(O$2:O142, D$2:D142=D143),COUNT(_xlfn._xlws.FILTER(O$2:O142, D$2:D142=D143)))-N143) / O143), J143))</f>
        <v>59.148954838709678</v>
      </c>
      <c r="Q143" s="1" t="str">
        <f t="shared" si="16"/>
        <v>USD</v>
      </c>
      <c r="R143" s="1" cm="1">
        <f t="array" ref="R143">IF(A143="", "",
    IFERROR(
        _xlfn.SWITCH(
            TRUE,
            AND(Q143="USD", $Q$2="USD"), K143,
            AND(Q143="USD", $Q$2="GBP"), K143*$Z$3,
            AND(Q143="USD", $Q$2="HKD"), K143*$Z$4,
            AND(Q143="USD", $Q$2="EUR"), K143*$Z$5,
            AND(Q143="GBP", $Q$2="GBP"), K143,
            AND(Q143="GBP", $Q$2="USD"), K143*$Z$6,
            AND(Q143="GBP", $Q$2="HKD"), K143*$Z$7,
            AND(Q143="HKG", $Q$2="HKG"), K143,
            AND(Q143="HKD", $Q$2="USD"), K143*$Z$9,
            AND(Q143="HKD", $Q$2="GBP"), K143*$Z$10,
            AND(Q143="HKD", $Q$2="EUR"), K143*$Z$11,
            AND(Q143="EUR", $Q$2="EUR"), K143,
            AND(Q143="EUR", $Q$2="USD"), K143*$Z$12,
            AND(Q143="EUR", $Q$2="GBP"), K143*$Z$13,
            AND(Q143="EUR", $Q$2="HKD"), K143*$Z$14,
        ),
        0
    )
)</f>
        <v>2</v>
      </c>
      <c r="S143" s="1" cm="1">
        <f t="array" ref="S143">IF(A143="", "",
    IFERROR(
        _xlfn.SWITCH(
            TRUE,
            AND(Q143="USD", $Q$2="USD"), M143,
            AND(Q143="USD", $Q$2="GBP"), M143*$Z$3,
            AND(Q143="USD", $Q$2="HKD"), M143*$Z$4,
            AND(Q143="USD", $Q$2="EUR"), M143*$Z$5,
            AND(Q143="GBP", $Q$2="GBP"), M143,
            AND(Q143="GBP", $Q$2="USD"), M143*$Z$6,
            AND(Q143="GBP", $Q$2="HKD"), M143*$Z$7,
            AND(Q143="GBP", $Q$2="HKD"), M143*$Z$8,
            AND(Q143="HKG", $Q$2="HKG"), M143,
            AND(Q143="HKD", $Q$2="USD"), M143*$Z$9,
            AND(Q143="HKD", $Q$2="GBP"), M143*$Z$10,
            AND(Q143="HKD", $Q$2="EUR"), M143*$Z$11,
            AND(Q143="EUR", $Q$2="EUR"), M143,
            AND(Q143="EUR", $Q$2="USD"), M143*$Z$12,
            AND(Q143="EUR", $Q$2="GBP"), M143*$Z$13,
            AND(Q143="EUR", $Q$2="HKD"), M143*$Z$14,
        ),
        0
    )
)</f>
        <v>117.02</v>
      </c>
      <c r="T143" s="1" t="str">
        <f t="shared" si="17"/>
        <v>5</v>
      </c>
      <c r="U143" s="9" t="str">
        <f t="shared" si="18"/>
        <v>06</v>
      </c>
      <c r="V143" s="1" t="str">
        <f t="shared" si="19"/>
        <v>2023</v>
      </c>
      <c r="W143" s="18" t="str">
        <f t="shared" si="20"/>
        <v>星期一</v>
      </c>
    </row>
    <row r="144" spans="1:23">
      <c r="A144" s="17" t="s">
        <v>399</v>
      </c>
      <c r="B144" s="1" t="s">
        <v>348</v>
      </c>
      <c r="C144" s="9">
        <v>45082</v>
      </c>
      <c r="D144" s="1" t="e" vm="20">
        <v>#VALUE!</v>
      </c>
      <c r="E144" s="1" t="s">
        <v>402</v>
      </c>
      <c r="F144" s="1" t="s">
        <v>401</v>
      </c>
      <c r="H144" s="1" t="s">
        <v>347</v>
      </c>
      <c r="I144" s="1">
        <v>10</v>
      </c>
      <c r="J144" s="27">
        <v>9.19</v>
      </c>
      <c r="K144" s="1">
        <v>2</v>
      </c>
      <c r="M144" s="24">
        <f t="shared" si="14"/>
        <v>91.899999999999991</v>
      </c>
      <c r="N144" s="36">
        <f t="shared" si="15"/>
        <v>-91.899999999999991</v>
      </c>
      <c r="O144" s="34">
        <f>IF(ISBLANK(A144),"",SUMIFS(I$3:I144,D$3:D144,D144,H$3:H144,"Buy")+SUMIFS(I$3:I144,D$3:D144,D144,H$3:H144,"Cash Deposit")+SUMIFS(I$3:I144,D$3:D144,D144,H$3:H144,"Crypto Deposit")+SUMIFS(I$3:I144,D$3:D144,D144,H$3:H144,"Airdrop/Rewards")-SUMIFS(I$3:I144,D$3:D144,D144,H$3:H144,"Sell"))</f>
        <v>125</v>
      </c>
      <c r="P144" s="2" cm="1">
        <f t="array" ref="P144">IF(ISBLANK(A144),"",IFERROR(IF(OR(H144="Sell",F144="Stable Coin"),INDEX(_xlfn._xlws.FILTER(P$2:P143, D$2:D143=D144),COUNT(_xlfn._xlws.FILTER(P$2:P143, D$2:D143=D144))),(INDEX(_xlfn._xlws.FILTER(P$2:P143, D$2:D143=D144),COUNT(_xlfn._xlws.FILTER(P$2:P143, D$2:D143=D144)))*INDEX(_xlfn._xlws.FILTER(O$2:O143, D$2:D143=D144),COUNT(_xlfn._xlws.FILTER(O$2:O143, D$2:D143=D144)))-N144) / O144), J144))</f>
        <v>9.3070640000000004</v>
      </c>
      <c r="Q144" s="1" t="str">
        <f t="shared" si="16"/>
        <v>USD</v>
      </c>
      <c r="R144" s="1" cm="1">
        <f t="array" ref="R144">IF(A144="", "",
    IFERROR(
        _xlfn.SWITCH(
            TRUE,
            AND(Q144="USD", $Q$2="USD"), K144,
            AND(Q144="USD", $Q$2="GBP"), K144*$Z$3,
            AND(Q144="USD", $Q$2="HKD"), K144*$Z$4,
            AND(Q144="USD", $Q$2="EUR"), K144*$Z$5,
            AND(Q144="GBP", $Q$2="GBP"), K144,
            AND(Q144="GBP", $Q$2="USD"), K144*$Z$6,
            AND(Q144="GBP", $Q$2="HKD"), K144*$Z$7,
            AND(Q144="HKG", $Q$2="HKG"), K144,
            AND(Q144="HKD", $Q$2="USD"), K144*$Z$9,
            AND(Q144="HKD", $Q$2="GBP"), K144*$Z$10,
            AND(Q144="HKD", $Q$2="EUR"), K144*$Z$11,
            AND(Q144="EUR", $Q$2="EUR"), K144,
            AND(Q144="EUR", $Q$2="USD"), K144*$Z$12,
            AND(Q144="EUR", $Q$2="GBP"), K144*$Z$13,
            AND(Q144="EUR", $Q$2="HKD"), K144*$Z$14,
        ),
        0
    )
)</f>
        <v>2</v>
      </c>
      <c r="S144" s="1" cm="1">
        <f t="array" ref="S144">IF(A144="", "",
    IFERROR(
        _xlfn.SWITCH(
            TRUE,
            AND(Q144="USD", $Q$2="USD"), M144,
            AND(Q144="USD", $Q$2="GBP"), M144*$Z$3,
            AND(Q144="USD", $Q$2="HKD"), M144*$Z$4,
            AND(Q144="USD", $Q$2="EUR"), M144*$Z$5,
            AND(Q144="GBP", $Q$2="GBP"), M144,
            AND(Q144="GBP", $Q$2="USD"), M144*$Z$6,
            AND(Q144="GBP", $Q$2="HKD"), M144*$Z$7,
            AND(Q144="GBP", $Q$2="HKD"), M144*$Z$8,
            AND(Q144="HKG", $Q$2="HKG"), M144,
            AND(Q144="HKD", $Q$2="USD"), M144*$Z$9,
            AND(Q144="HKD", $Q$2="GBP"), M144*$Z$10,
            AND(Q144="HKD", $Q$2="EUR"), M144*$Z$11,
            AND(Q144="EUR", $Q$2="EUR"), M144,
            AND(Q144="EUR", $Q$2="USD"), M144*$Z$12,
            AND(Q144="EUR", $Q$2="GBP"), M144*$Z$13,
            AND(Q144="EUR", $Q$2="HKD"), M144*$Z$14,
        ),
        0
    )
)</f>
        <v>91.899999999999991</v>
      </c>
      <c r="T144" s="1" t="str">
        <f t="shared" si="17"/>
        <v>5</v>
      </c>
      <c r="U144" s="9" t="str">
        <f t="shared" si="18"/>
        <v>06</v>
      </c>
      <c r="V144" s="1" t="str">
        <f t="shared" si="19"/>
        <v>2023</v>
      </c>
      <c r="W144" s="18" t="str">
        <f t="shared" si="20"/>
        <v>星期一</v>
      </c>
    </row>
    <row r="145" spans="1:23">
      <c r="A145" s="17" t="s">
        <v>399</v>
      </c>
      <c r="B145" s="1" t="s">
        <v>348</v>
      </c>
      <c r="C145" s="9">
        <v>45082</v>
      </c>
      <c r="D145" s="1" t="e" vm="21">
        <v>#VALUE!</v>
      </c>
      <c r="E145" s="1" t="s">
        <v>403</v>
      </c>
      <c r="F145" s="1" t="s">
        <v>401</v>
      </c>
      <c r="H145" s="1" t="s">
        <v>347</v>
      </c>
      <c r="I145" s="1">
        <v>1</v>
      </c>
      <c r="J145" s="27">
        <v>277.33999999999997</v>
      </c>
      <c r="K145" s="1">
        <v>1.99</v>
      </c>
      <c r="M145" s="24">
        <f t="shared" si="14"/>
        <v>277.33999999999997</v>
      </c>
      <c r="N145" s="36">
        <f t="shared" si="15"/>
        <v>-277.33999999999997</v>
      </c>
      <c r="O145" s="34">
        <f>IF(ISBLANK(A145),"",SUMIFS(I$3:I145,D$3:D145,D145,H$3:H145,"Buy")+SUMIFS(I$3:I145,D$3:D145,D145,H$3:H145,"Cash Deposit")+SUMIFS(I$3:I145,D$3:D145,D145,H$3:H145,"Crypto Deposit")+SUMIFS(I$3:I145,D$3:D145,D145,H$3:H145,"Airdrop/Rewards")-SUMIFS(I$3:I145,D$3:D145,D145,H$3:H145,"Sell"))</f>
        <v>2</v>
      </c>
      <c r="P145" s="2" cm="1">
        <f t="array" ref="P145">IF(ISBLANK(A145),"",IFERROR(IF(OR(H145="Sell",F145="Stable Coin"),INDEX(_xlfn._xlws.FILTER(P$2:P144, D$2:D144=D145),COUNT(_xlfn._xlws.FILTER(P$2:P144, D$2:D144=D145))),(INDEX(_xlfn._xlws.FILTER(P$2:P144, D$2:D144=D145),COUNT(_xlfn._xlws.FILTER(P$2:P144, D$2:D144=D145)))*INDEX(_xlfn._xlws.FILTER(O$2:O144, D$2:D144=D145),COUNT(_xlfn._xlws.FILTER(O$2:O144, D$2:D144=D145)))-N145) / O145), J145))</f>
        <v>286.16999999999996</v>
      </c>
      <c r="Q145" s="1" t="str">
        <f t="shared" si="16"/>
        <v>USD</v>
      </c>
      <c r="R145" s="1" cm="1">
        <f t="array" ref="R145">IF(A145="", "",
    IFERROR(
        _xlfn.SWITCH(
            TRUE,
            AND(Q145="USD", $Q$2="USD"), K145,
            AND(Q145="USD", $Q$2="GBP"), K145*$Z$3,
            AND(Q145="USD", $Q$2="HKD"), K145*$Z$4,
            AND(Q145="USD", $Q$2="EUR"), K145*$Z$5,
            AND(Q145="GBP", $Q$2="GBP"), K145,
            AND(Q145="GBP", $Q$2="USD"), K145*$Z$6,
            AND(Q145="GBP", $Q$2="HKD"), K145*$Z$7,
            AND(Q145="HKG", $Q$2="HKG"), K145,
            AND(Q145="HKD", $Q$2="USD"), K145*$Z$9,
            AND(Q145="HKD", $Q$2="GBP"), K145*$Z$10,
            AND(Q145="HKD", $Q$2="EUR"), K145*$Z$11,
            AND(Q145="EUR", $Q$2="EUR"), K145,
            AND(Q145="EUR", $Q$2="USD"), K145*$Z$12,
            AND(Q145="EUR", $Q$2="GBP"), K145*$Z$13,
            AND(Q145="EUR", $Q$2="HKD"), K145*$Z$14,
        ),
        0
    )
)</f>
        <v>1.99</v>
      </c>
      <c r="S145" s="1" cm="1">
        <f t="array" ref="S145">IF(A145="", "",
    IFERROR(
        _xlfn.SWITCH(
            TRUE,
            AND(Q145="USD", $Q$2="USD"), M145,
            AND(Q145="USD", $Q$2="GBP"), M145*$Z$3,
            AND(Q145="USD", $Q$2="HKD"), M145*$Z$4,
            AND(Q145="USD", $Q$2="EUR"), M145*$Z$5,
            AND(Q145="GBP", $Q$2="GBP"), M145,
            AND(Q145="GBP", $Q$2="USD"), M145*$Z$6,
            AND(Q145="GBP", $Q$2="HKD"), M145*$Z$7,
            AND(Q145="GBP", $Q$2="HKD"), M145*$Z$8,
            AND(Q145="HKG", $Q$2="HKG"), M145,
            AND(Q145="HKD", $Q$2="USD"), M145*$Z$9,
            AND(Q145="HKD", $Q$2="GBP"), M145*$Z$10,
            AND(Q145="HKD", $Q$2="EUR"), M145*$Z$11,
            AND(Q145="EUR", $Q$2="EUR"), M145,
            AND(Q145="EUR", $Q$2="USD"), M145*$Z$12,
            AND(Q145="EUR", $Q$2="GBP"), M145*$Z$13,
            AND(Q145="EUR", $Q$2="HKD"), M145*$Z$14,
        ),
        0
    )
)</f>
        <v>277.33999999999997</v>
      </c>
      <c r="T145" s="1" t="str">
        <f t="shared" si="17"/>
        <v>5</v>
      </c>
      <c r="U145" s="9" t="str">
        <f t="shared" si="18"/>
        <v>06</v>
      </c>
      <c r="V145" s="1" t="str">
        <f t="shared" si="19"/>
        <v>2023</v>
      </c>
      <c r="W145" s="18" t="str">
        <f t="shared" si="20"/>
        <v>星期一</v>
      </c>
    </row>
    <row r="146" spans="1:23">
      <c r="A146" s="17" t="s">
        <v>399</v>
      </c>
      <c r="B146" s="1" t="s">
        <v>348</v>
      </c>
      <c r="C146" s="9">
        <v>45083</v>
      </c>
      <c r="D146" s="1" t="e" vm="17">
        <v>#VALUE!</v>
      </c>
      <c r="E146" s="1" t="s">
        <v>32</v>
      </c>
      <c r="F146" s="1" t="s">
        <v>401</v>
      </c>
      <c r="H146" s="1" t="s">
        <v>347</v>
      </c>
      <c r="I146" s="1">
        <v>5</v>
      </c>
      <c r="J146" s="27">
        <v>50.5</v>
      </c>
      <c r="K146" s="1">
        <v>2.0099999999999998</v>
      </c>
      <c r="M146" s="24">
        <f t="shared" si="14"/>
        <v>252.5</v>
      </c>
      <c r="N146" s="36">
        <f t="shared" si="15"/>
        <v>-252.5</v>
      </c>
      <c r="O146" s="34">
        <f>IF(ISBLANK(A146),"",SUMIFS(I$3:I146,D$3:D146,D146,H$3:H146,"Buy")+SUMIFS(I$3:I146,D$3:D146,D146,H$3:H146,"Cash Deposit")+SUMIFS(I$3:I146,D$3:D146,D146,H$3:H146,"Crypto Deposit")+SUMIFS(I$3:I146,D$3:D146,D146,H$3:H146,"Airdrop/Rewards")-SUMIFS(I$3:I146,D$3:D146,D146,H$3:H146,"Sell"))</f>
        <v>67</v>
      </c>
      <c r="P146" s="2" cm="1">
        <f t="array" ref="P146">IF(ISBLANK(A146),"",IFERROR(IF(OR(H146="Sell",F146="Stable Coin"),INDEX(_xlfn._xlws.FILTER(P$2:P145, D$2:D145=D146),COUNT(_xlfn._xlws.FILTER(P$2:P145, D$2:D145=D146))),(INDEX(_xlfn._xlws.FILTER(P$2:P145, D$2:D145=D146),COUNT(_xlfn._xlws.FILTER(P$2:P145, D$2:D145=D146)))*INDEX(_xlfn._xlws.FILTER(O$2:O145, D$2:D145=D146),COUNT(_xlfn._xlws.FILTER(O$2:O145, D$2:D145=D146)))-N146) / O146), J146))</f>
        <v>58.503510447761194</v>
      </c>
      <c r="Q146" s="1" t="str">
        <f t="shared" si="16"/>
        <v>USD</v>
      </c>
      <c r="R146" s="1" cm="1">
        <f t="array" ref="R146">IF(A146="", "",
    IFERROR(
        _xlfn.SWITCH(
            TRUE,
            AND(Q146="USD", $Q$2="USD"), K146,
            AND(Q146="USD", $Q$2="GBP"), K146*$Z$3,
            AND(Q146="USD", $Q$2="HKD"), K146*$Z$4,
            AND(Q146="USD", $Q$2="EUR"), K146*$Z$5,
            AND(Q146="GBP", $Q$2="GBP"), K146,
            AND(Q146="GBP", $Q$2="USD"), K146*$Z$6,
            AND(Q146="GBP", $Q$2="HKD"), K146*$Z$7,
            AND(Q146="HKG", $Q$2="HKG"), K146,
            AND(Q146="HKD", $Q$2="USD"), K146*$Z$9,
            AND(Q146="HKD", $Q$2="GBP"), K146*$Z$10,
            AND(Q146="HKD", $Q$2="EUR"), K146*$Z$11,
            AND(Q146="EUR", $Q$2="EUR"), K146,
            AND(Q146="EUR", $Q$2="USD"), K146*$Z$12,
            AND(Q146="EUR", $Q$2="GBP"), K146*$Z$13,
            AND(Q146="EUR", $Q$2="HKD"), K146*$Z$14,
        ),
        0
    )
)</f>
        <v>2.0099999999999998</v>
      </c>
      <c r="S146" s="1" cm="1">
        <f t="array" ref="S146">IF(A146="", "",
    IFERROR(
        _xlfn.SWITCH(
            TRUE,
            AND(Q146="USD", $Q$2="USD"), M146,
            AND(Q146="USD", $Q$2="GBP"), M146*$Z$3,
            AND(Q146="USD", $Q$2="HKD"), M146*$Z$4,
            AND(Q146="USD", $Q$2="EUR"), M146*$Z$5,
            AND(Q146="GBP", $Q$2="GBP"), M146,
            AND(Q146="GBP", $Q$2="USD"), M146*$Z$6,
            AND(Q146="GBP", $Q$2="HKD"), M146*$Z$7,
            AND(Q146="GBP", $Q$2="HKD"), M146*$Z$8,
            AND(Q146="HKG", $Q$2="HKG"), M146,
            AND(Q146="HKD", $Q$2="USD"), M146*$Z$9,
            AND(Q146="HKD", $Q$2="GBP"), M146*$Z$10,
            AND(Q146="HKD", $Q$2="EUR"), M146*$Z$11,
            AND(Q146="EUR", $Q$2="EUR"), M146,
            AND(Q146="EUR", $Q$2="USD"), M146*$Z$12,
            AND(Q146="EUR", $Q$2="GBP"), M146*$Z$13,
            AND(Q146="EUR", $Q$2="HKD"), M146*$Z$14,
        ),
        0
    )
)</f>
        <v>252.5</v>
      </c>
      <c r="T146" s="1" t="str">
        <f t="shared" si="17"/>
        <v>6</v>
      </c>
      <c r="U146" s="9" t="str">
        <f t="shared" si="18"/>
        <v>06</v>
      </c>
      <c r="V146" s="1" t="str">
        <f t="shared" si="19"/>
        <v>2023</v>
      </c>
      <c r="W146" s="18" t="str">
        <f t="shared" si="20"/>
        <v>星期二</v>
      </c>
    </row>
    <row r="147" spans="1:23">
      <c r="A147" s="17" t="s">
        <v>32</v>
      </c>
      <c r="B147" s="1" t="s">
        <v>343</v>
      </c>
      <c r="C147" s="9">
        <v>45087</v>
      </c>
      <c r="D147" s="1" t="s">
        <v>345</v>
      </c>
      <c r="E147" s="1" t="s">
        <v>345</v>
      </c>
      <c r="F147" s="1" t="s">
        <v>345</v>
      </c>
      <c r="H147" s="1" t="s">
        <v>344</v>
      </c>
      <c r="I147" s="1">
        <v>1</v>
      </c>
      <c r="J147" s="27">
        <v>100</v>
      </c>
      <c r="M147" s="24">
        <f t="shared" si="14"/>
        <v>100</v>
      </c>
      <c r="N147" s="36">
        <f t="shared" si="15"/>
        <v>-100</v>
      </c>
      <c r="O147" s="34">
        <f>IF(ISBLANK(A147),"",SUMIFS(I$3:I147,D$3:D147,D147,H$3:H147,"Buy")+SUMIFS(I$3:I147,D$3:D147,D147,H$3:H147,"Cash Deposit")+SUMIFS(I$3:I147,D$3:D147,D147,H$3:H147,"Crypto Deposit")+SUMIFS(I$3:I147,D$3:D147,D147,H$3:H147,"Airdrop/Rewards")-SUMIFS(I$3:I147,D$3:D147,D147,H$3:H147,"Sell"))</f>
        <v>7</v>
      </c>
      <c r="P147" s="2" cm="1">
        <f t="array" ref="P147">IF(ISBLANK(A147),"",IFERROR(IF(OR(H147="Sell",F147="Stable Coin"),INDEX(_xlfn._xlws.FILTER(P$2:P146, D$2:D146=D147),COUNT(_xlfn._xlws.FILTER(P$2:P146, D$2:D146=D147))),(INDEX(_xlfn._xlws.FILTER(P$2:P146, D$2:D146=D147),COUNT(_xlfn._xlws.FILTER(P$2:P146, D$2:D146=D147)))*INDEX(_xlfn._xlws.FILTER(O$2:O146, D$2:D146=D147),COUNT(_xlfn._xlws.FILTER(O$2:O146, D$2:D146=D147)))-N147) / O147), J147))</f>
        <v>1840</v>
      </c>
      <c r="Q147" s="1" t="str">
        <f t="shared" si="16"/>
        <v>GBP</v>
      </c>
      <c r="R147" s="1" cm="1">
        <f t="array" ref="R147">IF(A147="", "",
    IFERROR(
        _xlfn.SWITCH(
            TRUE,
            AND(Q147="USD", $Q$2="USD"), K147,
            AND(Q147="USD", $Q$2="GBP"), K147*$Z$3,
            AND(Q147="USD", $Q$2="HKD"), K147*$Z$4,
            AND(Q147="USD", $Q$2="EUR"), K147*$Z$5,
            AND(Q147="GBP", $Q$2="GBP"), K147,
            AND(Q147="GBP", $Q$2="USD"), K147*$Z$6,
            AND(Q147="GBP", $Q$2="HKD"), K147*$Z$7,
            AND(Q147="HKG", $Q$2="HKG"), K147,
            AND(Q147="HKD", $Q$2="USD"), K147*$Z$9,
            AND(Q147="HKD", $Q$2="GBP"), K147*$Z$10,
            AND(Q147="HKD", $Q$2="EUR"), K147*$Z$11,
            AND(Q147="EUR", $Q$2="EUR"), K147,
            AND(Q147="EUR", $Q$2="USD"), K147*$Z$12,
            AND(Q147="EUR", $Q$2="GBP"), K147*$Z$13,
            AND(Q147="EUR", $Q$2="HKD"), K147*$Z$14,
        ),
        0
    )
)</f>
        <v>0</v>
      </c>
      <c r="S147" s="1" cm="1">
        <f t="array" ref="S147">IF(A147="", "",
    IFERROR(
        _xlfn.SWITCH(
            TRUE,
            AND(Q147="USD", $Q$2="USD"), M147,
            AND(Q147="USD", $Q$2="GBP"), M147*$Z$3,
            AND(Q147="USD", $Q$2="HKD"), M147*$Z$4,
            AND(Q147="USD", $Q$2="EUR"), M147*$Z$5,
            AND(Q147="GBP", $Q$2="GBP"), M147,
            AND(Q147="GBP", $Q$2="USD"), M147*$Z$6,
            AND(Q147="GBP", $Q$2="HKD"), M147*$Z$7,
            AND(Q147="GBP", $Q$2="HKD"), M147*$Z$8,
            AND(Q147="HKG", $Q$2="HKG"), M147,
            AND(Q147="HKD", $Q$2="USD"), M147*$Z$9,
            AND(Q147="HKD", $Q$2="GBP"), M147*$Z$10,
            AND(Q147="HKD", $Q$2="EUR"), M147*$Z$11,
            AND(Q147="EUR", $Q$2="EUR"), M147,
            AND(Q147="EUR", $Q$2="USD"), M147*$Z$12,
            AND(Q147="EUR", $Q$2="GBP"), M147*$Z$13,
            AND(Q147="EUR", $Q$2="HKD"), M147*$Z$14,
        ),
        0
    )
)</f>
        <v>127.82</v>
      </c>
      <c r="T147" s="1" t="str">
        <f t="shared" si="17"/>
        <v>10</v>
      </c>
      <c r="U147" s="9" t="str">
        <f t="shared" si="18"/>
        <v>06</v>
      </c>
      <c r="V147" s="1" t="str">
        <f t="shared" si="19"/>
        <v>2023</v>
      </c>
      <c r="W147" s="18" t="str">
        <f t="shared" si="20"/>
        <v>星期六</v>
      </c>
    </row>
    <row r="148" spans="1:23">
      <c r="A148" s="17" t="s">
        <v>32</v>
      </c>
      <c r="B148" s="1" t="s">
        <v>343</v>
      </c>
      <c r="C148" s="9">
        <v>45087</v>
      </c>
      <c r="D148" s="1" t="s">
        <v>345</v>
      </c>
      <c r="E148" s="1" t="s">
        <v>345</v>
      </c>
      <c r="F148" s="1" t="s">
        <v>345</v>
      </c>
      <c r="I148" s="1">
        <v>1</v>
      </c>
      <c r="J148" s="27">
        <v>100</v>
      </c>
      <c r="M148" s="24">
        <f t="shared" si="14"/>
        <v>100</v>
      </c>
      <c r="N148" s="36">
        <f t="shared" si="15"/>
        <v>0</v>
      </c>
      <c r="O148" s="34">
        <f>IF(ISBLANK(A148),"",SUMIFS(I$3:I148,D$3:D148,D148,H$3:H148,"Buy")+SUMIFS(I$3:I148,D$3:D148,D148,H$3:H148,"Cash Deposit")+SUMIFS(I$3:I148,D$3:D148,D148,H$3:H148,"Crypto Deposit")+SUMIFS(I$3:I148,D$3:D148,D148,H$3:H148,"Airdrop/Rewards")-SUMIFS(I$3:I148,D$3:D148,D148,H$3:H148,"Sell"))</f>
        <v>7</v>
      </c>
      <c r="P148" s="2" cm="1">
        <f t="array" ref="P148">IF(ISBLANK(A148),"",IFERROR(IF(OR(H148="Sell",F148="Stable Coin"),INDEX(_xlfn._xlws.FILTER(P$2:P147, D$2:D147=D148),COUNT(_xlfn._xlws.FILTER(P$2:P147, D$2:D147=D148))),(INDEX(_xlfn._xlws.FILTER(P$2:P147, D$2:D147=D148),COUNT(_xlfn._xlws.FILTER(P$2:P147, D$2:D147=D148)))*INDEX(_xlfn._xlws.FILTER(O$2:O147, D$2:D147=D148),COUNT(_xlfn._xlws.FILTER(O$2:O147, D$2:D147=D148)))-N148) / O148), J148))</f>
        <v>1840</v>
      </c>
      <c r="Q148" s="1" t="str">
        <f t="shared" si="16"/>
        <v>GBP</v>
      </c>
      <c r="R148" s="1" cm="1">
        <f t="array" ref="R148">IF(A148="", "",
    IFERROR(
        _xlfn.SWITCH(
            TRUE,
            AND(Q148="USD", $Q$2="USD"), K148,
            AND(Q148="USD", $Q$2="GBP"), K148*$Z$3,
            AND(Q148="USD", $Q$2="HKD"), K148*$Z$4,
            AND(Q148="USD", $Q$2="EUR"), K148*$Z$5,
            AND(Q148="GBP", $Q$2="GBP"), K148,
            AND(Q148="GBP", $Q$2="USD"), K148*$Z$6,
            AND(Q148="GBP", $Q$2="HKD"), K148*$Z$7,
            AND(Q148="HKG", $Q$2="HKG"), K148,
            AND(Q148="HKD", $Q$2="USD"), K148*$Z$9,
            AND(Q148="HKD", $Q$2="GBP"), K148*$Z$10,
            AND(Q148="HKD", $Q$2="EUR"), K148*$Z$11,
            AND(Q148="EUR", $Q$2="EUR"), K148,
            AND(Q148="EUR", $Q$2="USD"), K148*$Z$12,
            AND(Q148="EUR", $Q$2="GBP"), K148*$Z$13,
            AND(Q148="EUR", $Q$2="HKD"), K148*$Z$14,
        ),
        0
    )
)</f>
        <v>0</v>
      </c>
      <c r="S148" s="1" cm="1">
        <f t="array" ref="S148">IF(A148="", "",
    IFERROR(
        _xlfn.SWITCH(
            TRUE,
            AND(Q148="USD", $Q$2="USD"), M148,
            AND(Q148="USD", $Q$2="GBP"), M148*$Z$3,
            AND(Q148="USD", $Q$2="HKD"), M148*$Z$4,
            AND(Q148="USD", $Q$2="EUR"), M148*$Z$5,
            AND(Q148="GBP", $Q$2="GBP"), M148,
            AND(Q148="GBP", $Q$2="USD"), M148*$Z$6,
            AND(Q148="GBP", $Q$2="HKD"), M148*$Z$7,
            AND(Q148="GBP", $Q$2="HKD"), M148*$Z$8,
            AND(Q148="HKG", $Q$2="HKG"), M148,
            AND(Q148="HKD", $Q$2="USD"), M148*$Z$9,
            AND(Q148="HKD", $Q$2="GBP"), M148*$Z$10,
            AND(Q148="HKD", $Q$2="EUR"), M148*$Z$11,
            AND(Q148="EUR", $Q$2="EUR"), M148,
            AND(Q148="EUR", $Q$2="USD"), M148*$Z$12,
            AND(Q148="EUR", $Q$2="GBP"), M148*$Z$13,
            AND(Q148="EUR", $Q$2="HKD"), M148*$Z$14,
        ),
        0
    )
)</f>
        <v>127.82</v>
      </c>
      <c r="T148" s="1" t="str">
        <f t="shared" si="17"/>
        <v>10</v>
      </c>
      <c r="U148" s="9" t="str">
        <f t="shared" si="18"/>
        <v>06</v>
      </c>
      <c r="V148" s="1" t="str">
        <f t="shared" si="19"/>
        <v>2023</v>
      </c>
      <c r="W148" s="18" t="str">
        <f t="shared" si="20"/>
        <v>星期六</v>
      </c>
    </row>
    <row r="149" spans="1:23">
      <c r="A149" s="17" t="s">
        <v>32</v>
      </c>
      <c r="B149" s="1" t="s">
        <v>348</v>
      </c>
      <c r="C149" s="9">
        <v>45087</v>
      </c>
      <c r="D149" s="1" t="s">
        <v>122</v>
      </c>
      <c r="E149" s="1" t="s">
        <v>122</v>
      </c>
      <c r="F149" s="1" t="s">
        <v>346</v>
      </c>
      <c r="H149" s="1" t="s">
        <v>347</v>
      </c>
      <c r="I149" s="1">
        <v>125.11</v>
      </c>
      <c r="J149" s="27">
        <v>1</v>
      </c>
      <c r="M149" s="24">
        <f t="shared" si="14"/>
        <v>125.11</v>
      </c>
      <c r="N149" s="36">
        <f t="shared" si="15"/>
        <v>-125.11</v>
      </c>
      <c r="O149" s="34">
        <f>IF(ISBLANK(A149),"",SUMIFS(I$3:I149,D$3:D149,D149,H$3:H149,"Buy")+SUMIFS(I$3:I149,D$3:D149,D149,H$3:H149,"Cash Deposit")+SUMIFS(I$3:I149,D$3:D149,D149,H$3:H149,"Crypto Deposit")+SUMIFS(I$3:I149,D$3:D149,D149,H$3:H149,"Airdrop/Rewards")-SUMIFS(I$3:I149,D$3:D149,D149,H$3:H149,"Sell"))</f>
        <v>148.26999999999998</v>
      </c>
      <c r="P149" s="2" cm="1">
        <f t="array" ref="P149">IF(ISBLANK(A149),"",IFERROR(IF(OR(H149="Sell",F149="Stable Coin"),INDEX(_xlfn._xlws.FILTER(P$2:P148, D$2:D148=D149),COUNT(_xlfn._xlws.FILTER(P$2:P148, D$2:D148=D149))),(INDEX(_xlfn._xlws.FILTER(P$2:P148, D$2:D148=D149),COUNT(_xlfn._xlws.FILTER(P$2:P148, D$2:D148=D149)))*INDEX(_xlfn._xlws.FILTER(O$2:O148, D$2:D148=D149),COUNT(_xlfn._xlws.FILTER(O$2:O148, D$2:D148=D149)))-N149) / O149), J149))</f>
        <v>1</v>
      </c>
      <c r="Q149" s="1" t="str">
        <f t="shared" si="16"/>
        <v>USD</v>
      </c>
      <c r="R149" s="1" cm="1">
        <f t="array" ref="R149">IF(A149="", "",
    IFERROR(
        _xlfn.SWITCH(
            TRUE,
            AND(Q149="USD", $Q$2="USD"), K149,
            AND(Q149="USD", $Q$2="GBP"), K149*$Z$3,
            AND(Q149="USD", $Q$2="HKD"), K149*$Z$4,
            AND(Q149="USD", $Q$2="EUR"), K149*$Z$5,
            AND(Q149="GBP", $Q$2="GBP"), K149,
            AND(Q149="GBP", $Q$2="USD"), K149*$Z$6,
            AND(Q149="GBP", $Q$2="HKD"), K149*$Z$7,
            AND(Q149="HKG", $Q$2="HKG"), K149,
            AND(Q149="HKD", $Q$2="USD"), K149*$Z$9,
            AND(Q149="HKD", $Q$2="GBP"), K149*$Z$10,
            AND(Q149="HKD", $Q$2="EUR"), K149*$Z$11,
            AND(Q149="EUR", $Q$2="EUR"), K149,
            AND(Q149="EUR", $Q$2="USD"), K149*$Z$12,
            AND(Q149="EUR", $Q$2="GBP"), K149*$Z$13,
            AND(Q149="EUR", $Q$2="HKD"), K149*$Z$14,
        ),
        0
    )
)</f>
        <v>0</v>
      </c>
      <c r="S149" s="1" cm="1">
        <f t="array" ref="S149">IF(A149="", "",
    IFERROR(
        _xlfn.SWITCH(
            TRUE,
            AND(Q149="USD", $Q$2="USD"), M149,
            AND(Q149="USD", $Q$2="GBP"), M149*$Z$3,
            AND(Q149="USD", $Q$2="HKD"), M149*$Z$4,
            AND(Q149="USD", $Q$2="EUR"), M149*$Z$5,
            AND(Q149="GBP", $Q$2="GBP"), M149,
            AND(Q149="GBP", $Q$2="USD"), M149*$Z$6,
            AND(Q149="GBP", $Q$2="HKD"), M149*$Z$7,
            AND(Q149="GBP", $Q$2="HKD"), M149*$Z$8,
            AND(Q149="HKG", $Q$2="HKG"), M149,
            AND(Q149="HKD", $Q$2="USD"), M149*$Z$9,
            AND(Q149="HKD", $Q$2="GBP"), M149*$Z$10,
            AND(Q149="HKD", $Q$2="EUR"), M149*$Z$11,
            AND(Q149="EUR", $Q$2="EUR"), M149,
            AND(Q149="EUR", $Q$2="USD"), M149*$Z$12,
            AND(Q149="EUR", $Q$2="GBP"), M149*$Z$13,
            AND(Q149="EUR", $Q$2="HKD"), M149*$Z$14,
        ),
        0
    )
)</f>
        <v>125.11</v>
      </c>
      <c r="T149" s="1" t="str">
        <f t="shared" si="17"/>
        <v>10</v>
      </c>
      <c r="U149" s="9" t="str">
        <f t="shared" si="18"/>
        <v>06</v>
      </c>
      <c r="V149" s="1" t="str">
        <f t="shared" si="19"/>
        <v>2023</v>
      </c>
      <c r="W149" s="18" t="str">
        <f t="shared" si="20"/>
        <v>星期六</v>
      </c>
    </row>
    <row r="150" spans="1:23">
      <c r="A150" s="17" t="s">
        <v>32</v>
      </c>
      <c r="B150" s="1" t="s">
        <v>348</v>
      </c>
      <c r="C150" s="9">
        <v>45087</v>
      </c>
      <c r="D150" s="1" t="s">
        <v>122</v>
      </c>
      <c r="E150" s="1" t="s">
        <v>122</v>
      </c>
      <c r="F150" s="1" t="s">
        <v>346</v>
      </c>
      <c r="H150" s="1" t="s">
        <v>367</v>
      </c>
      <c r="I150" s="1">
        <v>80</v>
      </c>
      <c r="J150" s="27">
        <v>1</v>
      </c>
      <c r="M150" s="24">
        <f t="shared" si="14"/>
        <v>80</v>
      </c>
      <c r="N150" s="36">
        <f t="shared" si="15"/>
        <v>80</v>
      </c>
      <c r="O150" s="34">
        <f>IF(ISBLANK(A150),"",SUMIFS(I$3:I150,D$3:D150,D150,H$3:H150,"Buy")+SUMIFS(I$3:I150,D$3:D150,D150,H$3:H150,"Cash Deposit")+SUMIFS(I$3:I150,D$3:D150,D150,H$3:H150,"Crypto Deposit")+SUMIFS(I$3:I150,D$3:D150,D150,H$3:H150,"Airdrop/Rewards")-SUMIFS(I$3:I150,D$3:D150,D150,H$3:H150,"Sell"))</f>
        <v>68.269999999999982</v>
      </c>
      <c r="P150" s="2" cm="1">
        <f t="array" ref="P150">IF(ISBLANK(A150),"",IFERROR(IF(OR(H150="Sell",F150="Stable Coin"),INDEX(_xlfn._xlws.FILTER(P$2:P149, D$2:D149=D150),COUNT(_xlfn._xlws.FILTER(P$2:P149, D$2:D149=D150))),(INDEX(_xlfn._xlws.FILTER(P$2:P149, D$2:D149=D150),COUNT(_xlfn._xlws.FILTER(P$2:P149, D$2:D149=D150)))*INDEX(_xlfn._xlws.FILTER(O$2:O149, D$2:D149=D150),COUNT(_xlfn._xlws.FILTER(O$2:O149, D$2:D149=D150)))-N150) / O150), J150))</f>
        <v>1</v>
      </c>
      <c r="Q150" s="1" t="str">
        <f t="shared" si="16"/>
        <v>USD</v>
      </c>
      <c r="R150" s="1" cm="1">
        <f t="array" ref="R150">IF(A150="", "",
    IFERROR(
        _xlfn.SWITCH(
            TRUE,
            AND(Q150="USD", $Q$2="USD"), K150,
            AND(Q150="USD", $Q$2="GBP"), K150*$Z$3,
            AND(Q150="USD", $Q$2="HKD"), K150*$Z$4,
            AND(Q150="USD", $Q$2="EUR"), K150*$Z$5,
            AND(Q150="GBP", $Q$2="GBP"), K150,
            AND(Q150="GBP", $Q$2="USD"), K150*$Z$6,
            AND(Q150="GBP", $Q$2="HKD"), K150*$Z$7,
            AND(Q150="HKG", $Q$2="HKG"), K150,
            AND(Q150="HKD", $Q$2="USD"), K150*$Z$9,
            AND(Q150="HKD", $Q$2="GBP"), K150*$Z$10,
            AND(Q150="HKD", $Q$2="EUR"), K150*$Z$11,
            AND(Q150="EUR", $Q$2="EUR"), K150,
            AND(Q150="EUR", $Q$2="USD"), K150*$Z$12,
            AND(Q150="EUR", $Q$2="GBP"), K150*$Z$13,
            AND(Q150="EUR", $Q$2="HKD"), K150*$Z$14,
        ),
        0
    )
)</f>
        <v>0</v>
      </c>
      <c r="S150" s="1" cm="1">
        <f t="array" ref="S150">IF(A150="", "",
    IFERROR(
        _xlfn.SWITCH(
            TRUE,
            AND(Q150="USD", $Q$2="USD"), M150,
            AND(Q150="USD", $Q$2="GBP"), M150*$Z$3,
            AND(Q150="USD", $Q$2="HKD"), M150*$Z$4,
            AND(Q150="USD", $Q$2="EUR"), M150*$Z$5,
            AND(Q150="GBP", $Q$2="GBP"), M150,
            AND(Q150="GBP", $Q$2="USD"), M150*$Z$6,
            AND(Q150="GBP", $Q$2="HKD"), M150*$Z$7,
            AND(Q150="GBP", $Q$2="HKD"), M150*$Z$8,
            AND(Q150="HKG", $Q$2="HKG"), M150,
            AND(Q150="HKD", $Q$2="USD"), M150*$Z$9,
            AND(Q150="HKD", $Q$2="GBP"), M150*$Z$10,
            AND(Q150="HKD", $Q$2="EUR"), M150*$Z$11,
            AND(Q150="EUR", $Q$2="EUR"), M150,
            AND(Q150="EUR", $Q$2="USD"), M150*$Z$12,
            AND(Q150="EUR", $Q$2="GBP"), M150*$Z$13,
            AND(Q150="EUR", $Q$2="HKD"), M150*$Z$14,
        ),
        0
    )
)</f>
        <v>80</v>
      </c>
      <c r="T150" s="1" t="str">
        <f t="shared" si="17"/>
        <v>10</v>
      </c>
      <c r="U150" s="9" t="str">
        <f t="shared" si="18"/>
        <v>06</v>
      </c>
      <c r="V150" s="1" t="str">
        <f t="shared" si="19"/>
        <v>2023</v>
      </c>
      <c r="W150" s="18" t="str">
        <f t="shared" si="20"/>
        <v>星期六</v>
      </c>
    </row>
    <row r="151" spans="1:23">
      <c r="A151" s="17" t="s">
        <v>32</v>
      </c>
      <c r="B151" s="1" t="s">
        <v>348</v>
      </c>
      <c r="C151" s="9">
        <v>45087</v>
      </c>
      <c r="D151" s="1" t="s">
        <v>55</v>
      </c>
      <c r="E151" s="1" t="s">
        <v>31</v>
      </c>
      <c r="F151" s="1" t="s">
        <v>349</v>
      </c>
      <c r="H151" s="1" t="s">
        <v>347</v>
      </c>
      <c r="I151" s="1">
        <v>324.77</v>
      </c>
      <c r="J151" s="27">
        <v>0.24632817069999999</v>
      </c>
      <c r="M151" s="24">
        <f t="shared" si="14"/>
        <v>79.999999998238991</v>
      </c>
      <c r="N151" s="36">
        <f t="shared" si="15"/>
        <v>-79.999999998238991</v>
      </c>
      <c r="O151" s="34">
        <f>IF(ISBLANK(A151),"",SUMIFS(I$3:I151,D$3:D151,D151,H$3:H151,"Buy")+SUMIFS(I$3:I151,D$3:D151,D151,H$3:H151,"Cash Deposit")+SUMIFS(I$3:I151,D$3:D151,D151,H$3:H151,"Crypto Deposit")+SUMIFS(I$3:I151,D$3:D151,D151,H$3:H151,"Airdrop/Rewards")-SUMIFS(I$3:I151,D$3:D151,D151,H$3:H151,"Sell"))</f>
        <v>3836.55</v>
      </c>
      <c r="P151" s="2" cm="1">
        <f t="array" ref="P151">IF(ISBLANK(A151),"",IFERROR(IF(OR(H151="Sell",F151="Stable Coin"),INDEX(_xlfn._xlws.FILTER(P$2:P150, D$2:D150=D151),COUNT(_xlfn._xlws.FILTER(P$2:P150, D$2:D150=D151))),(INDEX(_xlfn._xlws.FILTER(P$2:P150, D$2:D150=D151),COUNT(_xlfn._xlws.FILTER(P$2:P150, D$2:D150=D151)))*INDEX(_xlfn._xlws.FILTER(O$2:O150, D$2:D150=D151),COUNT(_xlfn._xlws.FILTER(O$2:O150, D$2:D150=D151)))-N151) / O151), J151))</f>
        <v>0.41019666105151731</v>
      </c>
      <c r="Q151" s="1" t="str">
        <f t="shared" si="16"/>
        <v>USD</v>
      </c>
      <c r="R151" s="1" cm="1">
        <f t="array" ref="R151">IF(A151="", "",
    IFERROR(
        _xlfn.SWITCH(
            TRUE,
            AND(Q151="USD", $Q$2="USD"), K151,
            AND(Q151="USD", $Q$2="GBP"), K151*$Z$3,
            AND(Q151="USD", $Q$2="HKD"), K151*$Z$4,
            AND(Q151="USD", $Q$2="EUR"), K151*$Z$5,
            AND(Q151="GBP", $Q$2="GBP"), K151,
            AND(Q151="GBP", $Q$2="USD"), K151*$Z$6,
            AND(Q151="GBP", $Q$2="HKD"), K151*$Z$7,
            AND(Q151="HKG", $Q$2="HKG"), K151,
            AND(Q151="HKD", $Q$2="USD"), K151*$Z$9,
            AND(Q151="HKD", $Q$2="GBP"), K151*$Z$10,
            AND(Q151="HKD", $Q$2="EUR"), K151*$Z$11,
            AND(Q151="EUR", $Q$2="EUR"), K151,
            AND(Q151="EUR", $Q$2="USD"), K151*$Z$12,
            AND(Q151="EUR", $Q$2="GBP"), K151*$Z$13,
            AND(Q151="EUR", $Q$2="HKD"), K151*$Z$14,
        ),
        0
    )
)</f>
        <v>0</v>
      </c>
      <c r="S151" s="1" cm="1">
        <f t="array" ref="S151">IF(A151="", "",
    IFERROR(
        _xlfn.SWITCH(
            TRUE,
            AND(Q151="USD", $Q$2="USD"), M151,
            AND(Q151="USD", $Q$2="GBP"), M151*$Z$3,
            AND(Q151="USD", $Q$2="HKD"), M151*$Z$4,
            AND(Q151="USD", $Q$2="EUR"), M151*$Z$5,
            AND(Q151="GBP", $Q$2="GBP"), M151,
            AND(Q151="GBP", $Q$2="USD"), M151*$Z$6,
            AND(Q151="GBP", $Q$2="HKD"), M151*$Z$7,
            AND(Q151="GBP", $Q$2="HKD"), M151*$Z$8,
            AND(Q151="HKG", $Q$2="HKG"), M151,
            AND(Q151="HKD", $Q$2="USD"), M151*$Z$9,
            AND(Q151="HKD", $Q$2="GBP"), M151*$Z$10,
            AND(Q151="HKD", $Q$2="EUR"), M151*$Z$11,
            AND(Q151="EUR", $Q$2="EUR"), M151,
            AND(Q151="EUR", $Q$2="USD"), M151*$Z$12,
            AND(Q151="EUR", $Q$2="GBP"), M151*$Z$13,
            AND(Q151="EUR", $Q$2="HKD"), M151*$Z$14,
        ),
        0
    )
)</f>
        <v>79.999999998238991</v>
      </c>
      <c r="T151" s="1" t="str">
        <f t="shared" si="17"/>
        <v>10</v>
      </c>
      <c r="U151" s="9" t="str">
        <f t="shared" si="18"/>
        <v>06</v>
      </c>
      <c r="V151" s="1" t="str">
        <f t="shared" si="19"/>
        <v>2023</v>
      </c>
      <c r="W151" s="18" t="str">
        <f t="shared" si="20"/>
        <v>星期六</v>
      </c>
    </row>
    <row r="152" spans="1:23">
      <c r="A152" s="17" t="s">
        <v>32</v>
      </c>
      <c r="B152" s="1" t="s">
        <v>348</v>
      </c>
      <c r="C152" s="9">
        <v>45090</v>
      </c>
      <c r="D152" s="1" t="s">
        <v>122</v>
      </c>
      <c r="E152" s="1" t="s">
        <v>122</v>
      </c>
      <c r="F152" s="1" t="s">
        <v>346</v>
      </c>
      <c r="H152" s="1" t="s">
        <v>367</v>
      </c>
      <c r="I152" s="1">
        <v>68.28</v>
      </c>
      <c r="J152" s="27">
        <v>1</v>
      </c>
      <c r="M152" s="24">
        <f t="shared" si="14"/>
        <v>68.28</v>
      </c>
      <c r="N152" s="36">
        <f t="shared" si="15"/>
        <v>68.28</v>
      </c>
      <c r="O152" s="34">
        <f>IF(ISBLANK(A152),"",SUMIFS(I$3:I152,D$3:D152,D152,H$3:H152,"Buy")+SUMIFS(I$3:I152,D$3:D152,D152,H$3:H152,"Cash Deposit")+SUMIFS(I$3:I152,D$3:D152,D152,H$3:H152,"Crypto Deposit")+SUMIFS(I$3:I152,D$3:D152,D152,H$3:H152,"Airdrop/Rewards")-SUMIFS(I$3:I152,D$3:D152,D152,H$3:H152,"Sell"))</f>
        <v>-9.9999999999909051E-3</v>
      </c>
      <c r="P152" s="2" cm="1">
        <f t="array" ref="P152">IF(ISBLANK(A152),"",IFERROR(IF(OR(H152="Sell",F152="Stable Coin"),INDEX(_xlfn._xlws.FILTER(P$2:P151, D$2:D151=D152),COUNT(_xlfn._xlws.FILTER(P$2:P151, D$2:D151=D152))),(INDEX(_xlfn._xlws.FILTER(P$2:P151, D$2:D151=D152),COUNT(_xlfn._xlws.FILTER(P$2:P151, D$2:D151=D152)))*INDEX(_xlfn._xlws.FILTER(O$2:O151, D$2:D151=D152),COUNT(_xlfn._xlws.FILTER(O$2:O151, D$2:D151=D152)))-N152) / O152), J152))</f>
        <v>1</v>
      </c>
      <c r="Q152" s="1" t="str">
        <f t="shared" si="16"/>
        <v>USD</v>
      </c>
      <c r="R152" s="1" cm="1">
        <f t="array" ref="R152">IF(A152="", "",
    IFERROR(
        _xlfn.SWITCH(
            TRUE,
            AND(Q152="USD", $Q$2="USD"), K152,
            AND(Q152="USD", $Q$2="GBP"), K152*$Z$3,
            AND(Q152="USD", $Q$2="HKD"), K152*$Z$4,
            AND(Q152="USD", $Q$2="EUR"), K152*$Z$5,
            AND(Q152="GBP", $Q$2="GBP"), K152,
            AND(Q152="GBP", $Q$2="USD"), K152*$Z$6,
            AND(Q152="GBP", $Q$2="HKD"), K152*$Z$7,
            AND(Q152="HKG", $Q$2="HKG"), K152,
            AND(Q152="HKD", $Q$2="USD"), K152*$Z$9,
            AND(Q152="HKD", $Q$2="GBP"), K152*$Z$10,
            AND(Q152="HKD", $Q$2="EUR"), K152*$Z$11,
            AND(Q152="EUR", $Q$2="EUR"), K152,
            AND(Q152="EUR", $Q$2="USD"), K152*$Z$12,
            AND(Q152="EUR", $Q$2="GBP"), K152*$Z$13,
            AND(Q152="EUR", $Q$2="HKD"), K152*$Z$14,
        ),
        0
    )
)</f>
        <v>0</v>
      </c>
      <c r="S152" s="1" cm="1">
        <f t="array" ref="S152">IF(A152="", "",
    IFERROR(
        _xlfn.SWITCH(
            TRUE,
            AND(Q152="USD", $Q$2="USD"), M152,
            AND(Q152="USD", $Q$2="GBP"), M152*$Z$3,
            AND(Q152="USD", $Q$2="HKD"), M152*$Z$4,
            AND(Q152="USD", $Q$2="EUR"), M152*$Z$5,
            AND(Q152="GBP", $Q$2="GBP"), M152,
            AND(Q152="GBP", $Q$2="USD"), M152*$Z$6,
            AND(Q152="GBP", $Q$2="HKD"), M152*$Z$7,
            AND(Q152="GBP", $Q$2="HKD"), M152*$Z$8,
            AND(Q152="HKG", $Q$2="HKG"), M152,
            AND(Q152="HKD", $Q$2="USD"), M152*$Z$9,
            AND(Q152="HKD", $Q$2="GBP"), M152*$Z$10,
            AND(Q152="HKD", $Q$2="EUR"), M152*$Z$11,
            AND(Q152="EUR", $Q$2="EUR"), M152,
            AND(Q152="EUR", $Q$2="USD"), M152*$Z$12,
            AND(Q152="EUR", $Q$2="GBP"), M152*$Z$13,
            AND(Q152="EUR", $Q$2="HKD"), M152*$Z$14,
        ),
        0
    )
)</f>
        <v>68.28</v>
      </c>
      <c r="T152" s="1" t="str">
        <f t="shared" si="17"/>
        <v>13</v>
      </c>
      <c r="U152" s="9" t="str">
        <f t="shared" si="18"/>
        <v>06</v>
      </c>
      <c r="V152" s="1" t="str">
        <f t="shared" si="19"/>
        <v>2023</v>
      </c>
      <c r="W152" s="18" t="str">
        <f t="shared" si="20"/>
        <v>星期二</v>
      </c>
    </row>
    <row r="153" spans="1:23">
      <c r="A153" s="17" t="s">
        <v>32</v>
      </c>
      <c r="B153" s="1" t="s">
        <v>348</v>
      </c>
      <c r="C153" s="9">
        <v>45090</v>
      </c>
      <c r="D153" s="1" t="s">
        <v>23</v>
      </c>
      <c r="E153" s="1" t="s">
        <v>24</v>
      </c>
      <c r="F153" s="1" t="s">
        <v>349</v>
      </c>
      <c r="H153" s="1" t="s">
        <v>347</v>
      </c>
      <c r="I153" s="1">
        <v>3.8100000000000002E-2</v>
      </c>
      <c r="J153" s="27">
        <v>1792.12598</v>
      </c>
      <c r="M153" s="24">
        <f t="shared" si="14"/>
        <v>68.279999838000009</v>
      </c>
      <c r="N153" s="36">
        <f t="shared" si="15"/>
        <v>-68.279999838000009</v>
      </c>
      <c r="O153" s="34">
        <f>IF(ISBLANK(A153),"",SUMIFS(I$3:I153,D$3:D153,D153,H$3:H153,"Buy")+SUMIFS(I$3:I153,D$3:D153,D153,H$3:H153,"Cash Deposit")+SUMIFS(I$3:I153,D$3:D153,D153,H$3:H153,"Crypto Deposit")+SUMIFS(I$3:I153,D$3:D153,D153,H$3:H153,"Airdrop/Rewards")-SUMIFS(I$3:I153,D$3:D153,D153,H$3:H153,"Sell"))</f>
        <v>9.8961111200000005</v>
      </c>
      <c r="P153" s="2" cm="1">
        <f t="array" ref="P153">IF(ISBLANK(A153),"",IFERROR(IF(OR(H153="Sell",F153="Stable Coin"),INDEX(_xlfn._xlws.FILTER(P$2:P152, D$2:D152=D153),COUNT(_xlfn._xlws.FILTER(P$2:P152, D$2:D152=D153))),(INDEX(_xlfn._xlws.FILTER(P$2:P152, D$2:D152=D153),COUNT(_xlfn._xlws.FILTER(P$2:P152, D$2:D152=D153)))*INDEX(_xlfn._xlws.FILTER(O$2:O152, D$2:D152=D153),COUNT(_xlfn._xlws.FILTER(O$2:O152, D$2:D152=D153)))-N153) / O153), J153))</f>
        <v>2368.0568520007887</v>
      </c>
      <c r="Q153" s="1" t="str">
        <f t="shared" si="16"/>
        <v>USD</v>
      </c>
      <c r="R153" s="1" cm="1">
        <f t="array" ref="R153">IF(A153="", "",
    IFERROR(
        _xlfn.SWITCH(
            TRUE,
            AND(Q153="USD", $Q$2="USD"), K153,
            AND(Q153="USD", $Q$2="GBP"), K153*$Z$3,
            AND(Q153="USD", $Q$2="HKD"), K153*$Z$4,
            AND(Q153="USD", $Q$2="EUR"), K153*$Z$5,
            AND(Q153="GBP", $Q$2="GBP"), K153,
            AND(Q153="GBP", $Q$2="USD"), K153*$Z$6,
            AND(Q153="GBP", $Q$2="HKD"), K153*$Z$7,
            AND(Q153="HKG", $Q$2="HKG"), K153,
            AND(Q153="HKD", $Q$2="USD"), K153*$Z$9,
            AND(Q153="HKD", $Q$2="GBP"), K153*$Z$10,
            AND(Q153="HKD", $Q$2="EUR"), K153*$Z$11,
            AND(Q153="EUR", $Q$2="EUR"), K153,
            AND(Q153="EUR", $Q$2="USD"), K153*$Z$12,
            AND(Q153="EUR", $Q$2="GBP"), K153*$Z$13,
            AND(Q153="EUR", $Q$2="HKD"), K153*$Z$14,
        ),
        0
    )
)</f>
        <v>0</v>
      </c>
      <c r="S153" s="1" cm="1">
        <f t="array" ref="S153">IF(A153="", "",
    IFERROR(
        _xlfn.SWITCH(
            TRUE,
            AND(Q153="USD", $Q$2="USD"), M153,
            AND(Q153="USD", $Q$2="GBP"), M153*$Z$3,
            AND(Q153="USD", $Q$2="HKD"), M153*$Z$4,
            AND(Q153="USD", $Q$2="EUR"), M153*$Z$5,
            AND(Q153="GBP", $Q$2="GBP"), M153,
            AND(Q153="GBP", $Q$2="USD"), M153*$Z$6,
            AND(Q153="GBP", $Q$2="HKD"), M153*$Z$7,
            AND(Q153="GBP", $Q$2="HKD"), M153*$Z$8,
            AND(Q153="HKG", $Q$2="HKG"), M153,
            AND(Q153="HKD", $Q$2="USD"), M153*$Z$9,
            AND(Q153="HKD", $Q$2="GBP"), M153*$Z$10,
            AND(Q153="HKD", $Q$2="EUR"), M153*$Z$11,
            AND(Q153="EUR", $Q$2="EUR"), M153,
            AND(Q153="EUR", $Q$2="USD"), M153*$Z$12,
            AND(Q153="EUR", $Q$2="GBP"), M153*$Z$13,
            AND(Q153="EUR", $Q$2="HKD"), M153*$Z$14,
        ),
        0
    )
)</f>
        <v>68.279999838000009</v>
      </c>
      <c r="T153" s="1" t="str">
        <f t="shared" si="17"/>
        <v>13</v>
      </c>
      <c r="U153" s="9" t="str">
        <f t="shared" si="18"/>
        <v>06</v>
      </c>
      <c r="V153" s="1" t="str">
        <f t="shared" si="19"/>
        <v>2023</v>
      </c>
      <c r="W153" s="18" t="str">
        <f t="shared" si="20"/>
        <v>星期二</v>
      </c>
    </row>
    <row r="154" spans="1:23">
      <c r="A154" s="17" t="s">
        <v>32</v>
      </c>
      <c r="B154" s="1" t="s">
        <v>343</v>
      </c>
      <c r="C154" s="9">
        <v>45093</v>
      </c>
      <c r="D154" s="1" t="s">
        <v>345</v>
      </c>
      <c r="E154" s="1" t="s">
        <v>345</v>
      </c>
      <c r="F154" s="1" t="s">
        <v>345</v>
      </c>
      <c r="H154" s="1" t="s">
        <v>344</v>
      </c>
      <c r="I154" s="1">
        <v>1</v>
      </c>
      <c r="J154" s="27">
        <v>100</v>
      </c>
      <c r="M154" s="24">
        <f t="shared" si="14"/>
        <v>100</v>
      </c>
      <c r="N154" s="36">
        <f t="shared" si="15"/>
        <v>-100</v>
      </c>
      <c r="O154" s="34">
        <f>IF(ISBLANK(A154),"",SUMIFS(I$3:I154,D$3:D154,D154,H$3:H154,"Buy")+SUMIFS(I$3:I154,D$3:D154,D154,H$3:H154,"Cash Deposit")+SUMIFS(I$3:I154,D$3:D154,D154,H$3:H154,"Crypto Deposit")+SUMIFS(I$3:I154,D$3:D154,D154,H$3:H154,"Airdrop/Rewards")-SUMIFS(I$3:I154,D$3:D154,D154,H$3:H154,"Sell"))</f>
        <v>8</v>
      </c>
      <c r="P154" s="2" cm="1">
        <f t="array" ref="P154">IF(ISBLANK(A154),"",IFERROR(IF(OR(H154="Sell",F154="Stable Coin"),INDEX(_xlfn._xlws.FILTER(P$2:P153, D$2:D153=D154),COUNT(_xlfn._xlws.FILTER(P$2:P153, D$2:D153=D154))),(INDEX(_xlfn._xlws.FILTER(P$2:P153, D$2:D153=D154),COUNT(_xlfn._xlws.FILTER(P$2:P153, D$2:D153=D154)))*INDEX(_xlfn._xlws.FILTER(O$2:O153, D$2:D153=D154),COUNT(_xlfn._xlws.FILTER(O$2:O153, D$2:D153=D154)))-N154) / O154), J154))</f>
        <v>1622.5</v>
      </c>
      <c r="Q154" s="1" t="str">
        <f t="shared" si="16"/>
        <v>GBP</v>
      </c>
      <c r="R154" s="1" cm="1">
        <f t="array" ref="R154">IF(A154="", "",
    IFERROR(
        _xlfn.SWITCH(
            TRUE,
            AND(Q154="USD", $Q$2="USD"), K154,
            AND(Q154="USD", $Q$2="GBP"), K154*$Z$3,
            AND(Q154="USD", $Q$2="HKD"), K154*$Z$4,
            AND(Q154="USD", $Q$2="EUR"), K154*$Z$5,
            AND(Q154="GBP", $Q$2="GBP"), K154,
            AND(Q154="GBP", $Q$2="USD"), K154*$Z$6,
            AND(Q154="GBP", $Q$2="HKD"), K154*$Z$7,
            AND(Q154="HKG", $Q$2="HKG"), K154,
            AND(Q154="HKD", $Q$2="USD"), K154*$Z$9,
            AND(Q154="HKD", $Q$2="GBP"), K154*$Z$10,
            AND(Q154="HKD", $Q$2="EUR"), K154*$Z$11,
            AND(Q154="EUR", $Q$2="EUR"), K154,
            AND(Q154="EUR", $Q$2="USD"), K154*$Z$12,
            AND(Q154="EUR", $Q$2="GBP"), K154*$Z$13,
            AND(Q154="EUR", $Q$2="HKD"), K154*$Z$14,
        ),
        0
    )
)</f>
        <v>0</v>
      </c>
      <c r="S154" s="1" cm="1">
        <f t="array" ref="S154">IF(A154="", "",
    IFERROR(
        _xlfn.SWITCH(
            TRUE,
            AND(Q154="USD", $Q$2="USD"), M154,
            AND(Q154="USD", $Q$2="GBP"), M154*$Z$3,
            AND(Q154="USD", $Q$2="HKD"), M154*$Z$4,
            AND(Q154="USD", $Q$2="EUR"), M154*$Z$5,
            AND(Q154="GBP", $Q$2="GBP"), M154,
            AND(Q154="GBP", $Q$2="USD"), M154*$Z$6,
            AND(Q154="GBP", $Q$2="HKD"), M154*$Z$7,
            AND(Q154="GBP", $Q$2="HKD"), M154*$Z$8,
            AND(Q154="HKG", $Q$2="HKG"), M154,
            AND(Q154="HKD", $Q$2="USD"), M154*$Z$9,
            AND(Q154="HKD", $Q$2="GBP"), M154*$Z$10,
            AND(Q154="HKD", $Q$2="EUR"), M154*$Z$11,
            AND(Q154="EUR", $Q$2="EUR"), M154,
            AND(Q154="EUR", $Q$2="USD"), M154*$Z$12,
            AND(Q154="EUR", $Q$2="GBP"), M154*$Z$13,
            AND(Q154="EUR", $Q$2="HKD"), M154*$Z$14,
        ),
        0
    )
)</f>
        <v>127.82</v>
      </c>
      <c r="T154" s="1" t="str">
        <f t="shared" si="17"/>
        <v>16</v>
      </c>
      <c r="U154" s="9" t="str">
        <f t="shared" si="18"/>
        <v>06</v>
      </c>
      <c r="V154" s="1" t="str">
        <f t="shared" si="19"/>
        <v>2023</v>
      </c>
      <c r="W154" s="18" t="str">
        <f t="shared" si="20"/>
        <v>星期五</v>
      </c>
    </row>
    <row r="155" spans="1:23">
      <c r="A155" s="17" t="s">
        <v>32</v>
      </c>
      <c r="B155" s="1" t="s">
        <v>343</v>
      </c>
      <c r="C155" s="9">
        <v>45093</v>
      </c>
      <c r="D155" s="1" t="s">
        <v>345</v>
      </c>
      <c r="E155" s="1" t="s">
        <v>345</v>
      </c>
      <c r="F155" s="1" t="s">
        <v>345</v>
      </c>
      <c r="I155" s="1">
        <v>1</v>
      </c>
      <c r="J155" s="27">
        <v>100</v>
      </c>
      <c r="M155" s="24">
        <f t="shared" si="14"/>
        <v>100</v>
      </c>
      <c r="N155" s="36">
        <f t="shared" si="15"/>
        <v>0</v>
      </c>
      <c r="O155" s="34">
        <f>IF(ISBLANK(A155),"",SUMIFS(I$3:I155,D$3:D155,D155,H$3:H155,"Buy")+SUMIFS(I$3:I155,D$3:D155,D155,H$3:H155,"Cash Deposit")+SUMIFS(I$3:I155,D$3:D155,D155,H$3:H155,"Crypto Deposit")+SUMIFS(I$3:I155,D$3:D155,D155,H$3:H155,"Airdrop/Rewards")-SUMIFS(I$3:I155,D$3:D155,D155,H$3:H155,"Sell"))</f>
        <v>8</v>
      </c>
      <c r="P155" s="2" cm="1">
        <f t="array" ref="P155">IF(ISBLANK(A155),"",IFERROR(IF(OR(H155="Sell",F155="Stable Coin"),INDEX(_xlfn._xlws.FILTER(P$2:P154, D$2:D154=D155),COUNT(_xlfn._xlws.FILTER(P$2:P154, D$2:D154=D155))),(INDEX(_xlfn._xlws.FILTER(P$2:P154, D$2:D154=D155),COUNT(_xlfn._xlws.FILTER(P$2:P154, D$2:D154=D155)))*INDEX(_xlfn._xlws.FILTER(O$2:O154, D$2:D154=D155),COUNT(_xlfn._xlws.FILTER(O$2:O154, D$2:D154=D155)))-N155) / O155), J155))</f>
        <v>1622.5</v>
      </c>
      <c r="Q155" s="1" t="str">
        <f t="shared" si="16"/>
        <v>GBP</v>
      </c>
      <c r="R155" s="1" cm="1">
        <f t="array" ref="R155">IF(A155="", "",
    IFERROR(
        _xlfn.SWITCH(
            TRUE,
            AND(Q155="USD", $Q$2="USD"), K155,
            AND(Q155="USD", $Q$2="GBP"), K155*$Z$3,
            AND(Q155="USD", $Q$2="HKD"), K155*$Z$4,
            AND(Q155="USD", $Q$2="EUR"), K155*$Z$5,
            AND(Q155="GBP", $Q$2="GBP"), K155,
            AND(Q155="GBP", $Q$2="USD"), K155*$Z$6,
            AND(Q155="GBP", $Q$2="HKD"), K155*$Z$7,
            AND(Q155="HKG", $Q$2="HKG"), K155,
            AND(Q155="HKD", $Q$2="USD"), K155*$Z$9,
            AND(Q155="HKD", $Q$2="GBP"), K155*$Z$10,
            AND(Q155="HKD", $Q$2="EUR"), K155*$Z$11,
            AND(Q155="EUR", $Q$2="EUR"), K155,
            AND(Q155="EUR", $Q$2="USD"), K155*$Z$12,
            AND(Q155="EUR", $Q$2="GBP"), K155*$Z$13,
            AND(Q155="EUR", $Q$2="HKD"), K155*$Z$14,
        ),
        0
    )
)</f>
        <v>0</v>
      </c>
      <c r="S155" s="1" cm="1">
        <f t="array" ref="S155">IF(A155="", "",
    IFERROR(
        _xlfn.SWITCH(
            TRUE,
            AND(Q155="USD", $Q$2="USD"), M155,
            AND(Q155="USD", $Q$2="GBP"), M155*$Z$3,
            AND(Q155="USD", $Q$2="HKD"), M155*$Z$4,
            AND(Q155="USD", $Q$2="EUR"), M155*$Z$5,
            AND(Q155="GBP", $Q$2="GBP"), M155,
            AND(Q155="GBP", $Q$2="USD"), M155*$Z$6,
            AND(Q155="GBP", $Q$2="HKD"), M155*$Z$7,
            AND(Q155="GBP", $Q$2="HKD"), M155*$Z$8,
            AND(Q155="HKG", $Q$2="HKG"), M155,
            AND(Q155="HKD", $Q$2="USD"), M155*$Z$9,
            AND(Q155="HKD", $Q$2="GBP"), M155*$Z$10,
            AND(Q155="HKD", $Q$2="EUR"), M155*$Z$11,
            AND(Q155="EUR", $Q$2="EUR"), M155,
            AND(Q155="EUR", $Q$2="USD"), M155*$Z$12,
            AND(Q155="EUR", $Q$2="GBP"), M155*$Z$13,
            AND(Q155="EUR", $Q$2="HKD"), M155*$Z$14,
        ),
        0
    )
)</f>
        <v>127.82</v>
      </c>
      <c r="T155" s="1" t="str">
        <f t="shared" si="17"/>
        <v>16</v>
      </c>
      <c r="U155" s="9" t="str">
        <f t="shared" si="18"/>
        <v>06</v>
      </c>
      <c r="V155" s="1" t="str">
        <f t="shared" si="19"/>
        <v>2023</v>
      </c>
      <c r="W155" s="18" t="str">
        <f t="shared" si="20"/>
        <v>星期五</v>
      </c>
    </row>
    <row r="156" spans="1:23">
      <c r="A156" s="17" t="s">
        <v>32</v>
      </c>
      <c r="B156" s="1" t="s">
        <v>348</v>
      </c>
      <c r="C156" s="9">
        <v>45093</v>
      </c>
      <c r="D156" s="1" t="s">
        <v>122</v>
      </c>
      <c r="E156" s="1" t="s">
        <v>122</v>
      </c>
      <c r="F156" s="1" t="s">
        <v>346</v>
      </c>
      <c r="H156" s="1" t="s">
        <v>347</v>
      </c>
      <c r="I156" s="1">
        <v>127.18</v>
      </c>
      <c r="J156" s="27">
        <v>1</v>
      </c>
      <c r="M156" s="24">
        <f t="shared" si="14"/>
        <v>127.18</v>
      </c>
      <c r="N156" s="36">
        <f t="shared" si="15"/>
        <v>-127.18</v>
      </c>
      <c r="O156" s="34">
        <f>IF(ISBLANK(A156),"",SUMIFS(I$3:I156,D$3:D156,D156,H$3:H156,"Buy")+SUMIFS(I$3:I156,D$3:D156,D156,H$3:H156,"Cash Deposit")+SUMIFS(I$3:I156,D$3:D156,D156,H$3:H156,"Crypto Deposit")+SUMIFS(I$3:I156,D$3:D156,D156,H$3:H156,"Airdrop/Rewards")-SUMIFS(I$3:I156,D$3:D156,D156,H$3:H156,"Sell"))</f>
        <v>127.17000000000007</v>
      </c>
      <c r="P156" s="2" cm="1">
        <f t="array" ref="P156">IF(ISBLANK(A156),"",IFERROR(IF(OR(H156="Sell",F156="Stable Coin"),INDEX(_xlfn._xlws.FILTER(P$2:P155, D$2:D155=D156),COUNT(_xlfn._xlws.FILTER(P$2:P155, D$2:D155=D156))),(INDEX(_xlfn._xlws.FILTER(P$2:P155, D$2:D155=D156),COUNT(_xlfn._xlws.FILTER(P$2:P155, D$2:D155=D156)))*INDEX(_xlfn._xlws.FILTER(O$2:O155, D$2:D155=D156),COUNT(_xlfn._xlws.FILTER(O$2:O155, D$2:D155=D156)))-N156) / O156), J156))</f>
        <v>1</v>
      </c>
      <c r="Q156" s="1" t="str">
        <f t="shared" si="16"/>
        <v>USD</v>
      </c>
      <c r="R156" s="1" cm="1">
        <f t="array" ref="R156">IF(A156="", "",
    IFERROR(
        _xlfn.SWITCH(
            TRUE,
            AND(Q156="USD", $Q$2="USD"), K156,
            AND(Q156="USD", $Q$2="GBP"), K156*$Z$3,
            AND(Q156="USD", $Q$2="HKD"), K156*$Z$4,
            AND(Q156="USD", $Q$2="EUR"), K156*$Z$5,
            AND(Q156="GBP", $Q$2="GBP"), K156,
            AND(Q156="GBP", $Q$2="USD"), K156*$Z$6,
            AND(Q156="GBP", $Q$2="HKD"), K156*$Z$7,
            AND(Q156="HKG", $Q$2="HKG"), K156,
            AND(Q156="HKD", $Q$2="USD"), K156*$Z$9,
            AND(Q156="HKD", $Q$2="GBP"), K156*$Z$10,
            AND(Q156="HKD", $Q$2="EUR"), K156*$Z$11,
            AND(Q156="EUR", $Q$2="EUR"), K156,
            AND(Q156="EUR", $Q$2="USD"), K156*$Z$12,
            AND(Q156="EUR", $Q$2="GBP"), K156*$Z$13,
            AND(Q156="EUR", $Q$2="HKD"), K156*$Z$14,
        ),
        0
    )
)</f>
        <v>0</v>
      </c>
      <c r="S156" s="1" cm="1">
        <f t="array" ref="S156">IF(A156="", "",
    IFERROR(
        _xlfn.SWITCH(
            TRUE,
            AND(Q156="USD", $Q$2="USD"), M156,
            AND(Q156="USD", $Q$2="GBP"), M156*$Z$3,
            AND(Q156="USD", $Q$2="HKD"), M156*$Z$4,
            AND(Q156="USD", $Q$2="EUR"), M156*$Z$5,
            AND(Q156="GBP", $Q$2="GBP"), M156,
            AND(Q156="GBP", $Q$2="USD"), M156*$Z$6,
            AND(Q156="GBP", $Q$2="HKD"), M156*$Z$7,
            AND(Q156="GBP", $Q$2="HKD"), M156*$Z$8,
            AND(Q156="HKG", $Q$2="HKG"), M156,
            AND(Q156="HKD", $Q$2="USD"), M156*$Z$9,
            AND(Q156="HKD", $Q$2="GBP"), M156*$Z$10,
            AND(Q156="HKD", $Q$2="EUR"), M156*$Z$11,
            AND(Q156="EUR", $Q$2="EUR"), M156,
            AND(Q156="EUR", $Q$2="USD"), M156*$Z$12,
            AND(Q156="EUR", $Q$2="GBP"), M156*$Z$13,
            AND(Q156="EUR", $Q$2="HKD"), M156*$Z$14,
        ),
        0
    )
)</f>
        <v>127.18</v>
      </c>
      <c r="T156" s="1" t="str">
        <f t="shared" si="17"/>
        <v>16</v>
      </c>
      <c r="U156" s="9" t="str">
        <f t="shared" si="18"/>
        <v>06</v>
      </c>
      <c r="V156" s="1" t="str">
        <f t="shared" si="19"/>
        <v>2023</v>
      </c>
      <c r="W156" s="18" t="str">
        <f t="shared" si="20"/>
        <v>星期五</v>
      </c>
    </row>
    <row r="157" spans="1:23">
      <c r="A157" s="1" t="s">
        <v>32</v>
      </c>
      <c r="B157" s="1" t="s">
        <v>348</v>
      </c>
      <c r="C157" s="9">
        <v>45093</v>
      </c>
      <c r="D157" s="1" t="s">
        <v>122</v>
      </c>
      <c r="E157" s="1" t="s">
        <v>122</v>
      </c>
      <c r="F157" s="1" t="s">
        <v>346</v>
      </c>
      <c r="H157" s="1" t="s">
        <v>367</v>
      </c>
      <c r="I157" s="1">
        <v>127.18</v>
      </c>
      <c r="J157" s="27">
        <v>1</v>
      </c>
      <c r="M157" s="24">
        <f t="shared" si="14"/>
        <v>127.18</v>
      </c>
      <c r="N157" s="36">
        <f t="shared" si="15"/>
        <v>127.18</v>
      </c>
      <c r="O157" s="34">
        <f>IF(ISBLANK(A157),"",SUMIFS(I$3:I157,D$3:D157,D157,H$3:H157,"Buy")+SUMIFS(I$3:I157,D$3:D157,D157,H$3:H157,"Cash Deposit")+SUMIFS(I$3:I157,D$3:D157,D157,H$3:H157,"Crypto Deposit")+SUMIFS(I$3:I157,D$3:D157,D157,H$3:H157,"Airdrop/Rewards")-SUMIFS(I$3:I157,D$3:D157,D157,H$3:H157,"Sell"))</f>
        <v>-9.9999999999909051E-3</v>
      </c>
      <c r="P157" s="2" cm="1">
        <f t="array" ref="P157">IF(ISBLANK(A157),"",IFERROR(IF(OR(H157="Sell",F157="Stable Coin"),INDEX(_xlfn._xlws.FILTER(P$2:P156, D$2:D156=D157),COUNT(_xlfn._xlws.FILTER(P$2:P156, D$2:D156=D157))),(INDEX(_xlfn._xlws.FILTER(P$2:P156, D$2:D156=D157),COUNT(_xlfn._xlws.FILTER(P$2:P156, D$2:D156=D157)))*INDEX(_xlfn._xlws.FILTER(O$2:O156, D$2:D156=D157),COUNT(_xlfn._xlws.FILTER(O$2:O156, D$2:D156=D157)))-N157) / O157), J157))</f>
        <v>1</v>
      </c>
      <c r="Q157" s="1" t="str">
        <f t="shared" si="16"/>
        <v>USD</v>
      </c>
      <c r="R157" s="1" cm="1">
        <f t="array" ref="R157">IF(A157="", "",
    IFERROR(
        _xlfn.SWITCH(
            TRUE,
            AND(Q157="USD", $Q$2="USD"), K157,
            AND(Q157="USD", $Q$2="GBP"), K157*$Z$3,
            AND(Q157="USD", $Q$2="HKD"), K157*$Z$4,
            AND(Q157="USD", $Q$2="EUR"), K157*$Z$5,
            AND(Q157="GBP", $Q$2="GBP"), K157,
            AND(Q157="GBP", $Q$2="USD"), K157*$Z$6,
            AND(Q157="GBP", $Q$2="HKD"), K157*$Z$7,
            AND(Q157="HKG", $Q$2="HKG"), K157,
            AND(Q157="HKD", $Q$2="USD"), K157*$Z$9,
            AND(Q157="HKD", $Q$2="GBP"), K157*$Z$10,
            AND(Q157="HKD", $Q$2="EUR"), K157*$Z$11,
            AND(Q157="EUR", $Q$2="EUR"), K157,
            AND(Q157="EUR", $Q$2="USD"), K157*$Z$12,
            AND(Q157="EUR", $Q$2="GBP"), K157*$Z$13,
            AND(Q157="EUR", $Q$2="HKD"), K157*$Z$14,
        ),
        0
    )
)</f>
        <v>0</v>
      </c>
      <c r="S157" s="1" cm="1">
        <f t="array" ref="S157">IF(A157="", "",
    IFERROR(
        _xlfn.SWITCH(
            TRUE,
            AND(Q157="USD", $Q$2="USD"), M157,
            AND(Q157="USD", $Q$2="GBP"), M157*$Z$3,
            AND(Q157="USD", $Q$2="HKD"), M157*$Z$4,
            AND(Q157="USD", $Q$2="EUR"), M157*$Z$5,
            AND(Q157="GBP", $Q$2="GBP"), M157,
            AND(Q157="GBP", $Q$2="USD"), M157*$Z$6,
            AND(Q157="GBP", $Q$2="HKD"), M157*$Z$7,
            AND(Q157="GBP", $Q$2="HKD"), M157*$Z$8,
            AND(Q157="HKG", $Q$2="HKG"), M157,
            AND(Q157="HKD", $Q$2="USD"), M157*$Z$9,
            AND(Q157="HKD", $Q$2="GBP"), M157*$Z$10,
            AND(Q157="HKD", $Q$2="EUR"), M157*$Z$11,
            AND(Q157="EUR", $Q$2="EUR"), M157,
            AND(Q157="EUR", $Q$2="USD"), M157*$Z$12,
            AND(Q157="EUR", $Q$2="GBP"), M157*$Z$13,
            AND(Q157="EUR", $Q$2="HKD"), M157*$Z$14,
        ),
        0
    )
)</f>
        <v>127.18</v>
      </c>
      <c r="T157" s="1" t="str">
        <f t="shared" si="17"/>
        <v>16</v>
      </c>
      <c r="U157" s="9" t="str">
        <f t="shared" si="18"/>
        <v>06</v>
      </c>
      <c r="V157" s="1" t="str">
        <f t="shared" si="19"/>
        <v>2023</v>
      </c>
      <c r="W157" s="18" t="str">
        <f t="shared" si="20"/>
        <v>星期五</v>
      </c>
    </row>
    <row r="158" spans="1:23">
      <c r="A158" s="1" t="s">
        <v>32</v>
      </c>
      <c r="B158" s="1" t="s">
        <v>348</v>
      </c>
      <c r="C158" s="9">
        <v>45093</v>
      </c>
      <c r="D158" s="1" t="s">
        <v>23</v>
      </c>
      <c r="E158" s="1" t="s">
        <v>24</v>
      </c>
      <c r="F158" s="1" t="s">
        <v>349</v>
      </c>
      <c r="H158" s="1" t="s">
        <v>347</v>
      </c>
      <c r="I158" s="1">
        <v>7.4649999999999994E-2</v>
      </c>
      <c r="J158" s="27">
        <v>1703.6838580000001</v>
      </c>
      <c r="M158" s="24">
        <f t="shared" si="14"/>
        <v>127.1799999997</v>
      </c>
      <c r="N158" s="36">
        <f t="shared" si="15"/>
        <v>-127.1799999997</v>
      </c>
      <c r="O158" s="34">
        <f>IF(ISBLANK(A158),"",SUMIFS(I$3:I158,D$3:D158,D158,H$3:H158,"Buy")+SUMIFS(I$3:I158,D$3:D158,D158,H$3:H158,"Cash Deposit")+SUMIFS(I$3:I158,D$3:D158,D158,H$3:H158,"Crypto Deposit")+SUMIFS(I$3:I158,D$3:D158,D158,H$3:H158,"Airdrop/Rewards")-SUMIFS(I$3:I158,D$3:D158,D158,H$3:H158,"Sell"))</f>
        <v>9.9707611200000006</v>
      </c>
      <c r="P158" s="2" cm="1">
        <f t="array" ref="P158">IF(ISBLANK(A158),"",IFERROR(IF(OR(H158="Sell",F158="Stable Coin"),INDEX(_xlfn._xlws.FILTER(P$2:P157, D$2:D157=D158),COUNT(_xlfn._xlws.FILTER(P$2:P157, D$2:D157=D158))),(INDEX(_xlfn._xlws.FILTER(P$2:P157, D$2:D157=D158),COUNT(_xlfn._xlws.FILTER(P$2:P157, D$2:D157=D158)))*INDEX(_xlfn._xlws.FILTER(O$2:O157, D$2:D157=D158),COUNT(_xlfn._xlws.FILTER(O$2:O157, D$2:D157=D158)))-N158) / O158), J158))</f>
        <v>2363.0827639241343</v>
      </c>
      <c r="Q158" s="1" t="str">
        <f t="shared" si="16"/>
        <v>USD</v>
      </c>
      <c r="R158" s="1" cm="1">
        <f t="array" ref="R158">IF(A158="", "",
    IFERROR(
        _xlfn.SWITCH(
            TRUE,
            AND(Q158="USD", $Q$2="USD"), K158,
            AND(Q158="USD", $Q$2="GBP"), K158*$Z$3,
            AND(Q158="USD", $Q$2="HKD"), K158*$Z$4,
            AND(Q158="USD", $Q$2="EUR"), K158*$Z$5,
            AND(Q158="GBP", $Q$2="GBP"), K158,
            AND(Q158="GBP", $Q$2="USD"), K158*$Z$6,
            AND(Q158="GBP", $Q$2="HKD"), K158*$Z$7,
            AND(Q158="HKG", $Q$2="HKG"), K158,
            AND(Q158="HKD", $Q$2="USD"), K158*$Z$9,
            AND(Q158="HKD", $Q$2="GBP"), K158*$Z$10,
            AND(Q158="HKD", $Q$2="EUR"), K158*$Z$11,
            AND(Q158="EUR", $Q$2="EUR"), K158,
            AND(Q158="EUR", $Q$2="USD"), K158*$Z$12,
            AND(Q158="EUR", $Q$2="GBP"), K158*$Z$13,
            AND(Q158="EUR", $Q$2="HKD"), K158*$Z$14,
        ),
        0
    )
)</f>
        <v>0</v>
      </c>
      <c r="S158" s="1" cm="1">
        <f t="array" ref="S158">IF(A158="", "",
    IFERROR(
        _xlfn.SWITCH(
            TRUE,
            AND(Q158="USD", $Q$2="USD"), M158,
            AND(Q158="USD", $Q$2="GBP"), M158*$Z$3,
            AND(Q158="USD", $Q$2="HKD"), M158*$Z$4,
            AND(Q158="USD", $Q$2="EUR"), M158*$Z$5,
            AND(Q158="GBP", $Q$2="GBP"), M158,
            AND(Q158="GBP", $Q$2="USD"), M158*$Z$6,
            AND(Q158="GBP", $Q$2="HKD"), M158*$Z$7,
            AND(Q158="GBP", $Q$2="HKD"), M158*$Z$8,
            AND(Q158="HKG", $Q$2="HKG"), M158,
            AND(Q158="HKD", $Q$2="USD"), M158*$Z$9,
            AND(Q158="HKD", $Q$2="GBP"), M158*$Z$10,
            AND(Q158="HKD", $Q$2="EUR"), M158*$Z$11,
            AND(Q158="EUR", $Q$2="EUR"), M158,
            AND(Q158="EUR", $Q$2="USD"), M158*$Z$12,
            AND(Q158="EUR", $Q$2="GBP"), M158*$Z$13,
            AND(Q158="EUR", $Q$2="HKD"), M158*$Z$14,
        ),
        0
    )
)</f>
        <v>127.1799999997</v>
      </c>
      <c r="T158" s="1" t="str">
        <f t="shared" si="17"/>
        <v>16</v>
      </c>
      <c r="U158" s="9" t="str">
        <f t="shared" si="18"/>
        <v>06</v>
      </c>
      <c r="V158" s="1" t="str">
        <f t="shared" si="19"/>
        <v>2023</v>
      </c>
      <c r="W158" s="18" t="str">
        <f t="shared" si="20"/>
        <v>星期五</v>
      </c>
    </row>
    <row r="159" spans="1:23">
      <c r="A159" s="1" t="s">
        <v>32</v>
      </c>
      <c r="B159" s="1" t="s">
        <v>343</v>
      </c>
      <c r="C159" s="9">
        <v>45097</v>
      </c>
      <c r="D159" s="1" t="s">
        <v>345</v>
      </c>
      <c r="E159" s="1" t="s">
        <v>345</v>
      </c>
      <c r="F159" s="1" t="s">
        <v>345</v>
      </c>
      <c r="H159" s="1" t="s">
        <v>344</v>
      </c>
      <c r="I159" s="1">
        <v>1</v>
      </c>
      <c r="J159" s="27">
        <v>100</v>
      </c>
      <c r="M159" s="24">
        <f t="shared" si="14"/>
        <v>100</v>
      </c>
      <c r="N159" s="36">
        <f t="shared" si="15"/>
        <v>-100</v>
      </c>
      <c r="O159" s="34">
        <f>IF(ISBLANK(A159),"",SUMIFS(I$3:I159,D$3:D159,D159,H$3:H159,"Buy")+SUMIFS(I$3:I159,D$3:D159,D159,H$3:H159,"Cash Deposit")+SUMIFS(I$3:I159,D$3:D159,D159,H$3:H159,"Crypto Deposit")+SUMIFS(I$3:I159,D$3:D159,D159,H$3:H159,"Airdrop/Rewards")-SUMIFS(I$3:I159,D$3:D159,D159,H$3:H159,"Sell"))</f>
        <v>9</v>
      </c>
      <c r="P159" s="2" cm="1">
        <f t="array" ref="P159">IF(ISBLANK(A159),"",IFERROR(IF(OR(H159="Sell",F159="Stable Coin"),INDEX(_xlfn._xlws.FILTER(P$2:P158, D$2:D158=D159),COUNT(_xlfn._xlws.FILTER(P$2:P158, D$2:D158=D159))),(INDEX(_xlfn._xlws.FILTER(P$2:P158, D$2:D158=D159),COUNT(_xlfn._xlws.FILTER(P$2:P158, D$2:D158=D159)))*INDEX(_xlfn._xlws.FILTER(O$2:O158, D$2:D158=D159),COUNT(_xlfn._xlws.FILTER(O$2:O158, D$2:D158=D159)))-N159) / O159), J159))</f>
        <v>1453.3333333333333</v>
      </c>
      <c r="Q159" s="1" t="str">
        <f t="shared" si="16"/>
        <v>GBP</v>
      </c>
      <c r="R159" s="1" cm="1">
        <f t="array" ref="R159">IF(A159="", "",
    IFERROR(
        _xlfn.SWITCH(
            TRUE,
            AND(Q159="USD", $Q$2="USD"), K159,
            AND(Q159="USD", $Q$2="GBP"), K159*$Z$3,
            AND(Q159="USD", $Q$2="HKD"), K159*$Z$4,
            AND(Q159="USD", $Q$2="EUR"), K159*$Z$5,
            AND(Q159="GBP", $Q$2="GBP"), K159,
            AND(Q159="GBP", $Q$2="USD"), K159*$Z$6,
            AND(Q159="GBP", $Q$2="HKD"), K159*$Z$7,
            AND(Q159="HKG", $Q$2="HKG"), K159,
            AND(Q159="HKD", $Q$2="USD"), K159*$Z$9,
            AND(Q159="HKD", $Q$2="GBP"), K159*$Z$10,
            AND(Q159="HKD", $Q$2="EUR"), K159*$Z$11,
            AND(Q159="EUR", $Q$2="EUR"), K159,
            AND(Q159="EUR", $Q$2="USD"), K159*$Z$12,
            AND(Q159="EUR", $Q$2="GBP"), K159*$Z$13,
            AND(Q159="EUR", $Q$2="HKD"), K159*$Z$14,
        ),
        0
    )
)</f>
        <v>0</v>
      </c>
      <c r="S159" s="1" cm="1">
        <f t="array" ref="S159">IF(A159="", "",
    IFERROR(
        _xlfn.SWITCH(
            TRUE,
            AND(Q159="USD", $Q$2="USD"), M159,
            AND(Q159="USD", $Q$2="GBP"), M159*$Z$3,
            AND(Q159="USD", $Q$2="HKD"), M159*$Z$4,
            AND(Q159="USD", $Q$2="EUR"), M159*$Z$5,
            AND(Q159="GBP", $Q$2="GBP"), M159,
            AND(Q159="GBP", $Q$2="USD"), M159*$Z$6,
            AND(Q159="GBP", $Q$2="HKD"), M159*$Z$7,
            AND(Q159="GBP", $Q$2="HKD"), M159*$Z$8,
            AND(Q159="HKG", $Q$2="HKG"), M159,
            AND(Q159="HKD", $Q$2="USD"), M159*$Z$9,
            AND(Q159="HKD", $Q$2="GBP"), M159*$Z$10,
            AND(Q159="HKD", $Q$2="EUR"), M159*$Z$11,
            AND(Q159="EUR", $Q$2="EUR"), M159,
            AND(Q159="EUR", $Q$2="USD"), M159*$Z$12,
            AND(Q159="EUR", $Q$2="GBP"), M159*$Z$13,
            AND(Q159="EUR", $Q$2="HKD"), M159*$Z$14,
        ),
        0
    )
)</f>
        <v>127.82</v>
      </c>
      <c r="T159" s="1" t="str">
        <f t="shared" si="17"/>
        <v>20</v>
      </c>
      <c r="U159" s="9" t="str">
        <f t="shared" si="18"/>
        <v>06</v>
      </c>
      <c r="V159" s="1" t="str">
        <f t="shared" si="19"/>
        <v>2023</v>
      </c>
      <c r="W159" s="18" t="str">
        <f t="shared" si="20"/>
        <v>星期二</v>
      </c>
    </row>
    <row r="160" spans="1:23">
      <c r="A160" s="1" t="s">
        <v>32</v>
      </c>
      <c r="B160" s="1" t="s">
        <v>343</v>
      </c>
      <c r="C160" s="9">
        <v>45097</v>
      </c>
      <c r="D160" s="1" t="s">
        <v>345</v>
      </c>
      <c r="E160" s="1" t="s">
        <v>345</v>
      </c>
      <c r="F160" s="1" t="s">
        <v>345</v>
      </c>
      <c r="I160" s="1">
        <v>1</v>
      </c>
      <c r="J160" s="27">
        <v>100</v>
      </c>
      <c r="M160" s="24">
        <f t="shared" si="14"/>
        <v>100</v>
      </c>
      <c r="N160" s="36">
        <f t="shared" si="15"/>
        <v>0</v>
      </c>
      <c r="O160" s="34">
        <f>IF(ISBLANK(A160),"",SUMIFS(I$3:I160,D$3:D160,D160,H$3:H160,"Buy")+SUMIFS(I$3:I160,D$3:D160,D160,H$3:H160,"Cash Deposit")+SUMIFS(I$3:I160,D$3:D160,D160,H$3:H160,"Crypto Deposit")+SUMIFS(I$3:I160,D$3:D160,D160,H$3:H160,"Airdrop/Rewards")-SUMIFS(I$3:I160,D$3:D160,D160,H$3:H160,"Sell"))</f>
        <v>9</v>
      </c>
      <c r="P160" s="2" cm="1">
        <f t="array" ref="P160">IF(ISBLANK(A160),"",IFERROR(IF(OR(H160="Sell",F160="Stable Coin"),INDEX(_xlfn._xlws.FILTER(P$2:P159, D$2:D159=D160),COUNT(_xlfn._xlws.FILTER(P$2:P159, D$2:D159=D160))),(INDEX(_xlfn._xlws.FILTER(P$2:P159, D$2:D159=D160),COUNT(_xlfn._xlws.FILTER(P$2:P159, D$2:D159=D160)))*INDEX(_xlfn._xlws.FILTER(O$2:O159, D$2:D159=D160),COUNT(_xlfn._xlws.FILTER(O$2:O159, D$2:D159=D160)))-N160) / O160), J160))</f>
        <v>1453.3333333333333</v>
      </c>
      <c r="Q160" s="1" t="str">
        <f t="shared" si="16"/>
        <v>GBP</v>
      </c>
      <c r="R160" s="1" cm="1">
        <f t="array" ref="R160">IF(A160="", "",
    IFERROR(
        _xlfn.SWITCH(
            TRUE,
            AND(Q160="USD", $Q$2="USD"), K160,
            AND(Q160="USD", $Q$2="GBP"), K160*$Z$3,
            AND(Q160="USD", $Q$2="HKD"), K160*$Z$4,
            AND(Q160="USD", $Q$2="EUR"), K160*$Z$5,
            AND(Q160="GBP", $Q$2="GBP"), K160,
            AND(Q160="GBP", $Q$2="USD"), K160*$Z$6,
            AND(Q160="GBP", $Q$2="HKD"), K160*$Z$7,
            AND(Q160="HKG", $Q$2="HKG"), K160,
            AND(Q160="HKD", $Q$2="USD"), K160*$Z$9,
            AND(Q160="HKD", $Q$2="GBP"), K160*$Z$10,
            AND(Q160="HKD", $Q$2="EUR"), K160*$Z$11,
            AND(Q160="EUR", $Q$2="EUR"), K160,
            AND(Q160="EUR", $Q$2="USD"), K160*$Z$12,
            AND(Q160="EUR", $Q$2="GBP"), K160*$Z$13,
            AND(Q160="EUR", $Q$2="HKD"), K160*$Z$14,
        ),
        0
    )
)</f>
        <v>0</v>
      </c>
      <c r="S160" s="1" cm="1">
        <f t="array" ref="S160">IF(A160="", "",
    IFERROR(
        _xlfn.SWITCH(
            TRUE,
            AND(Q160="USD", $Q$2="USD"), M160,
            AND(Q160="USD", $Q$2="GBP"), M160*$Z$3,
            AND(Q160="USD", $Q$2="HKD"), M160*$Z$4,
            AND(Q160="USD", $Q$2="EUR"), M160*$Z$5,
            AND(Q160="GBP", $Q$2="GBP"), M160,
            AND(Q160="GBP", $Q$2="USD"), M160*$Z$6,
            AND(Q160="GBP", $Q$2="HKD"), M160*$Z$7,
            AND(Q160="GBP", $Q$2="HKD"), M160*$Z$8,
            AND(Q160="HKG", $Q$2="HKG"), M160,
            AND(Q160="HKD", $Q$2="USD"), M160*$Z$9,
            AND(Q160="HKD", $Q$2="GBP"), M160*$Z$10,
            AND(Q160="HKD", $Q$2="EUR"), M160*$Z$11,
            AND(Q160="EUR", $Q$2="EUR"), M160,
            AND(Q160="EUR", $Q$2="USD"), M160*$Z$12,
            AND(Q160="EUR", $Q$2="GBP"), M160*$Z$13,
            AND(Q160="EUR", $Q$2="HKD"), M160*$Z$14,
        ),
        0
    )
)</f>
        <v>127.82</v>
      </c>
      <c r="T160" s="1" t="str">
        <f t="shared" si="17"/>
        <v>20</v>
      </c>
      <c r="U160" s="9" t="str">
        <f t="shared" si="18"/>
        <v>06</v>
      </c>
      <c r="V160" s="1" t="str">
        <f t="shared" si="19"/>
        <v>2023</v>
      </c>
      <c r="W160" s="18" t="str">
        <f t="shared" si="20"/>
        <v>星期二</v>
      </c>
    </row>
    <row r="161" spans="1:23">
      <c r="A161" s="1" t="s">
        <v>32</v>
      </c>
      <c r="B161" s="1" t="s">
        <v>348</v>
      </c>
      <c r="C161" s="9">
        <v>45097</v>
      </c>
      <c r="D161" s="1" t="s">
        <v>122</v>
      </c>
      <c r="E161" s="1" t="s">
        <v>122</v>
      </c>
      <c r="F161" s="1" t="s">
        <v>346</v>
      </c>
      <c r="H161" s="1" t="s">
        <v>347</v>
      </c>
      <c r="I161" s="1">
        <v>127.34</v>
      </c>
      <c r="J161" s="27">
        <v>1</v>
      </c>
      <c r="M161" s="24">
        <f t="shared" si="14"/>
        <v>127.34</v>
      </c>
      <c r="N161" s="36">
        <f t="shared" si="15"/>
        <v>-127.34</v>
      </c>
      <c r="O161" s="34">
        <f>IF(ISBLANK(A161),"",SUMIFS(I$3:I161,D$3:D161,D161,H$3:H161,"Buy")+SUMIFS(I$3:I161,D$3:D161,D161,H$3:H161,"Cash Deposit")+SUMIFS(I$3:I161,D$3:D161,D161,H$3:H161,"Crypto Deposit")+SUMIFS(I$3:I161,D$3:D161,D161,H$3:H161,"Airdrop/Rewards")-SUMIFS(I$3:I161,D$3:D161,D161,H$3:H161,"Sell"))</f>
        <v>127.33000000000004</v>
      </c>
      <c r="P161" s="2" cm="1">
        <f t="array" ref="P161">IF(ISBLANK(A161),"",IFERROR(IF(OR(H161="Sell",F161="Stable Coin"),INDEX(_xlfn._xlws.FILTER(P$2:P160, D$2:D160=D161),COUNT(_xlfn._xlws.FILTER(P$2:P160, D$2:D160=D161))),(INDEX(_xlfn._xlws.FILTER(P$2:P160, D$2:D160=D161),COUNT(_xlfn._xlws.FILTER(P$2:P160, D$2:D160=D161)))*INDEX(_xlfn._xlws.FILTER(O$2:O160, D$2:D160=D161),COUNT(_xlfn._xlws.FILTER(O$2:O160, D$2:D160=D161)))-N161) / O161), J161))</f>
        <v>1</v>
      </c>
      <c r="Q161" s="1" t="str">
        <f t="shared" si="16"/>
        <v>USD</v>
      </c>
      <c r="R161" s="1" cm="1">
        <f t="array" ref="R161">IF(A161="", "",
    IFERROR(
        _xlfn.SWITCH(
            TRUE,
            AND(Q161="USD", $Q$2="USD"), K161,
            AND(Q161="USD", $Q$2="GBP"), K161*$Z$3,
            AND(Q161="USD", $Q$2="HKD"), K161*$Z$4,
            AND(Q161="USD", $Q$2="EUR"), K161*$Z$5,
            AND(Q161="GBP", $Q$2="GBP"), K161,
            AND(Q161="GBP", $Q$2="USD"), K161*$Z$6,
            AND(Q161="GBP", $Q$2="HKD"), K161*$Z$7,
            AND(Q161="HKG", $Q$2="HKG"), K161,
            AND(Q161="HKD", $Q$2="USD"), K161*$Z$9,
            AND(Q161="HKD", $Q$2="GBP"), K161*$Z$10,
            AND(Q161="HKD", $Q$2="EUR"), K161*$Z$11,
            AND(Q161="EUR", $Q$2="EUR"), K161,
            AND(Q161="EUR", $Q$2="USD"), K161*$Z$12,
            AND(Q161="EUR", $Q$2="GBP"), K161*$Z$13,
            AND(Q161="EUR", $Q$2="HKD"), K161*$Z$14,
        ),
        0
    )
)</f>
        <v>0</v>
      </c>
      <c r="S161" s="1" cm="1">
        <f t="array" ref="S161">IF(A161="", "",
    IFERROR(
        _xlfn.SWITCH(
            TRUE,
            AND(Q161="USD", $Q$2="USD"), M161,
            AND(Q161="USD", $Q$2="GBP"), M161*$Z$3,
            AND(Q161="USD", $Q$2="HKD"), M161*$Z$4,
            AND(Q161="USD", $Q$2="EUR"), M161*$Z$5,
            AND(Q161="GBP", $Q$2="GBP"), M161,
            AND(Q161="GBP", $Q$2="USD"), M161*$Z$6,
            AND(Q161="GBP", $Q$2="HKD"), M161*$Z$7,
            AND(Q161="GBP", $Q$2="HKD"), M161*$Z$8,
            AND(Q161="HKG", $Q$2="HKG"), M161,
            AND(Q161="HKD", $Q$2="USD"), M161*$Z$9,
            AND(Q161="HKD", $Q$2="GBP"), M161*$Z$10,
            AND(Q161="HKD", $Q$2="EUR"), M161*$Z$11,
            AND(Q161="EUR", $Q$2="EUR"), M161,
            AND(Q161="EUR", $Q$2="USD"), M161*$Z$12,
            AND(Q161="EUR", $Q$2="GBP"), M161*$Z$13,
            AND(Q161="EUR", $Q$2="HKD"), M161*$Z$14,
        ),
        0
    )
)</f>
        <v>127.34</v>
      </c>
      <c r="T161" s="1" t="str">
        <f t="shared" si="17"/>
        <v>20</v>
      </c>
      <c r="U161" s="9" t="str">
        <f t="shared" si="18"/>
        <v>06</v>
      </c>
      <c r="V161" s="1" t="str">
        <f t="shared" si="19"/>
        <v>2023</v>
      </c>
      <c r="W161" s="18" t="str">
        <f t="shared" si="20"/>
        <v>星期二</v>
      </c>
    </row>
    <row r="162" spans="1:23">
      <c r="A162" s="1" t="s">
        <v>32</v>
      </c>
      <c r="B162" s="1" t="s">
        <v>348</v>
      </c>
      <c r="C162" s="9">
        <v>45097</v>
      </c>
      <c r="D162" s="1" t="s">
        <v>122</v>
      </c>
      <c r="E162" s="1" t="s">
        <v>122</v>
      </c>
      <c r="F162" s="1" t="s">
        <v>346</v>
      </c>
      <c r="H162" s="1" t="s">
        <v>367</v>
      </c>
      <c r="I162" s="1">
        <v>127.34</v>
      </c>
      <c r="J162" s="27">
        <v>1</v>
      </c>
      <c r="M162" s="24">
        <f t="shared" si="14"/>
        <v>127.34</v>
      </c>
      <c r="N162" s="36">
        <f t="shared" si="15"/>
        <v>127.34</v>
      </c>
      <c r="O162" s="34">
        <f>IF(ISBLANK(A162),"",SUMIFS(I$3:I162,D$3:D162,D162,H$3:H162,"Buy")+SUMIFS(I$3:I162,D$3:D162,D162,H$3:H162,"Cash Deposit")+SUMIFS(I$3:I162,D$3:D162,D162,H$3:H162,"Crypto Deposit")+SUMIFS(I$3:I162,D$3:D162,D162,H$3:H162,"Airdrop/Rewards")-SUMIFS(I$3:I162,D$3:D162,D162,H$3:H162,"Sell"))</f>
        <v>-9.9999999999909051E-3</v>
      </c>
      <c r="P162" s="2" cm="1">
        <f t="array" ref="P162">IF(ISBLANK(A162),"",IFERROR(IF(OR(H162="Sell",F162="Stable Coin"),INDEX(_xlfn._xlws.FILTER(P$2:P161, D$2:D161=D162),COUNT(_xlfn._xlws.FILTER(P$2:P161, D$2:D161=D162))),(INDEX(_xlfn._xlws.FILTER(P$2:P161, D$2:D161=D162),COUNT(_xlfn._xlws.FILTER(P$2:P161, D$2:D161=D162)))*INDEX(_xlfn._xlws.FILTER(O$2:O161, D$2:D161=D162),COUNT(_xlfn._xlws.FILTER(O$2:O161, D$2:D161=D162)))-N162) / O162), J162))</f>
        <v>1</v>
      </c>
      <c r="Q162" s="1" t="str">
        <f t="shared" si="16"/>
        <v>USD</v>
      </c>
      <c r="R162" s="1" cm="1">
        <f t="array" ref="R162">IF(A162="", "",
    IFERROR(
        _xlfn.SWITCH(
            TRUE,
            AND(Q162="USD", $Q$2="USD"), K162,
            AND(Q162="USD", $Q$2="GBP"), K162*$Z$3,
            AND(Q162="USD", $Q$2="HKD"), K162*$Z$4,
            AND(Q162="USD", $Q$2="EUR"), K162*$Z$5,
            AND(Q162="GBP", $Q$2="GBP"), K162,
            AND(Q162="GBP", $Q$2="USD"), K162*$Z$6,
            AND(Q162="GBP", $Q$2="HKD"), K162*$Z$7,
            AND(Q162="HKG", $Q$2="HKG"), K162,
            AND(Q162="HKD", $Q$2="USD"), K162*$Z$9,
            AND(Q162="HKD", $Q$2="GBP"), K162*$Z$10,
            AND(Q162="HKD", $Q$2="EUR"), K162*$Z$11,
            AND(Q162="EUR", $Q$2="EUR"), K162,
            AND(Q162="EUR", $Q$2="USD"), K162*$Z$12,
            AND(Q162="EUR", $Q$2="GBP"), K162*$Z$13,
            AND(Q162="EUR", $Q$2="HKD"), K162*$Z$14,
        ),
        0
    )
)</f>
        <v>0</v>
      </c>
      <c r="S162" s="1" cm="1">
        <f t="array" ref="S162">IF(A162="", "",
    IFERROR(
        _xlfn.SWITCH(
            TRUE,
            AND(Q162="USD", $Q$2="USD"), M162,
            AND(Q162="USD", $Q$2="GBP"), M162*$Z$3,
            AND(Q162="USD", $Q$2="HKD"), M162*$Z$4,
            AND(Q162="USD", $Q$2="EUR"), M162*$Z$5,
            AND(Q162="GBP", $Q$2="GBP"), M162,
            AND(Q162="GBP", $Q$2="USD"), M162*$Z$6,
            AND(Q162="GBP", $Q$2="HKD"), M162*$Z$7,
            AND(Q162="GBP", $Q$2="HKD"), M162*$Z$8,
            AND(Q162="HKG", $Q$2="HKG"), M162,
            AND(Q162="HKD", $Q$2="USD"), M162*$Z$9,
            AND(Q162="HKD", $Q$2="GBP"), M162*$Z$10,
            AND(Q162="HKD", $Q$2="EUR"), M162*$Z$11,
            AND(Q162="EUR", $Q$2="EUR"), M162,
            AND(Q162="EUR", $Q$2="USD"), M162*$Z$12,
            AND(Q162="EUR", $Q$2="GBP"), M162*$Z$13,
            AND(Q162="EUR", $Q$2="HKD"), M162*$Z$14,
        ),
        0
    )
)</f>
        <v>127.34</v>
      </c>
      <c r="T162" s="1" t="str">
        <f t="shared" si="17"/>
        <v>20</v>
      </c>
      <c r="U162" s="9" t="str">
        <f t="shared" si="18"/>
        <v>06</v>
      </c>
      <c r="V162" s="1" t="str">
        <f t="shared" si="19"/>
        <v>2023</v>
      </c>
      <c r="W162" s="18" t="str">
        <f t="shared" si="20"/>
        <v>星期二</v>
      </c>
    </row>
    <row r="163" spans="1:23">
      <c r="A163" s="1" t="s">
        <v>32</v>
      </c>
      <c r="B163" s="1" t="s">
        <v>348</v>
      </c>
      <c r="C163" s="9">
        <v>45097</v>
      </c>
      <c r="D163" s="1" t="s">
        <v>47</v>
      </c>
      <c r="E163" s="1" t="s">
        <v>4</v>
      </c>
      <c r="F163" s="1" t="s">
        <v>349</v>
      </c>
      <c r="H163" s="1" t="s">
        <v>347</v>
      </c>
      <c r="I163" s="1">
        <v>4.6509999999999998E-3</v>
      </c>
      <c r="J163" s="27">
        <v>27379.05</v>
      </c>
      <c r="M163" s="24">
        <f t="shared" si="14"/>
        <v>127.33996154999998</v>
      </c>
      <c r="N163" s="36">
        <f t="shared" si="15"/>
        <v>-127.33996154999998</v>
      </c>
      <c r="O163" s="34">
        <f>IF(ISBLANK(A163),"",SUMIFS(I$3:I163,D$3:D163,D163,H$3:H163,"Buy")+SUMIFS(I$3:I163,D$3:D163,D163,H$3:H163,"Cash Deposit")+SUMIFS(I$3:I163,D$3:D163,D163,H$3:H163,"Crypto Deposit")+SUMIFS(I$3:I163,D$3:D163,D163,H$3:H163,"Airdrop/Rewards")-SUMIFS(I$3:I163,D$3:D163,D163,H$3:H163,"Sell"))</f>
        <v>0.31831181999999997</v>
      </c>
      <c r="P163" s="2" cm="1">
        <f t="array" ref="P163">IF(ISBLANK(A163),"",IFERROR(IF(OR(H163="Sell",F163="Stable Coin"),INDEX(_xlfn._xlws.FILTER(P$2:P162, D$2:D162=D163),COUNT(_xlfn._xlws.FILTER(P$2:P162, D$2:D162=D163))),(INDEX(_xlfn._xlws.FILTER(P$2:P162, D$2:D162=D163),COUNT(_xlfn._xlws.FILTER(P$2:P162, D$2:D162=D163)))*INDEX(_xlfn._xlws.FILTER(O$2:O162, D$2:D162=D163),COUNT(_xlfn._xlws.FILTER(O$2:O162, D$2:D162=D163)))-N163) / O163), J163))</f>
        <v>31245.087128273779</v>
      </c>
      <c r="Q163" s="1" t="str">
        <f t="shared" si="16"/>
        <v>USD</v>
      </c>
      <c r="R163" s="1" cm="1">
        <f t="array" ref="R163">IF(A163="", "",
    IFERROR(
        _xlfn.SWITCH(
            TRUE,
            AND(Q163="USD", $Q$2="USD"), K163,
            AND(Q163="USD", $Q$2="GBP"), K163*$Z$3,
            AND(Q163="USD", $Q$2="HKD"), K163*$Z$4,
            AND(Q163="USD", $Q$2="EUR"), K163*$Z$5,
            AND(Q163="GBP", $Q$2="GBP"), K163,
            AND(Q163="GBP", $Q$2="USD"), K163*$Z$6,
            AND(Q163="GBP", $Q$2="HKD"), K163*$Z$7,
            AND(Q163="HKG", $Q$2="HKG"), K163,
            AND(Q163="HKD", $Q$2="USD"), K163*$Z$9,
            AND(Q163="HKD", $Q$2="GBP"), K163*$Z$10,
            AND(Q163="HKD", $Q$2="EUR"), K163*$Z$11,
            AND(Q163="EUR", $Q$2="EUR"), K163,
            AND(Q163="EUR", $Q$2="USD"), K163*$Z$12,
            AND(Q163="EUR", $Q$2="GBP"), K163*$Z$13,
            AND(Q163="EUR", $Q$2="HKD"), K163*$Z$14,
        ),
        0
    )
)</f>
        <v>0</v>
      </c>
      <c r="S163" s="1" cm="1">
        <f t="array" ref="S163">IF(A163="", "",
    IFERROR(
        _xlfn.SWITCH(
            TRUE,
            AND(Q163="USD", $Q$2="USD"), M163,
            AND(Q163="USD", $Q$2="GBP"), M163*$Z$3,
            AND(Q163="USD", $Q$2="HKD"), M163*$Z$4,
            AND(Q163="USD", $Q$2="EUR"), M163*$Z$5,
            AND(Q163="GBP", $Q$2="GBP"), M163,
            AND(Q163="GBP", $Q$2="USD"), M163*$Z$6,
            AND(Q163="GBP", $Q$2="HKD"), M163*$Z$7,
            AND(Q163="GBP", $Q$2="HKD"), M163*$Z$8,
            AND(Q163="HKG", $Q$2="HKG"), M163,
            AND(Q163="HKD", $Q$2="USD"), M163*$Z$9,
            AND(Q163="HKD", $Q$2="GBP"), M163*$Z$10,
            AND(Q163="HKD", $Q$2="EUR"), M163*$Z$11,
            AND(Q163="EUR", $Q$2="EUR"), M163,
            AND(Q163="EUR", $Q$2="USD"), M163*$Z$12,
            AND(Q163="EUR", $Q$2="GBP"), M163*$Z$13,
            AND(Q163="EUR", $Q$2="HKD"), M163*$Z$14,
        ),
        0
    )
)</f>
        <v>127.33996154999998</v>
      </c>
      <c r="T163" s="1" t="str">
        <f t="shared" si="17"/>
        <v>20</v>
      </c>
      <c r="U163" s="9" t="str">
        <f t="shared" si="18"/>
        <v>06</v>
      </c>
      <c r="V163" s="1" t="str">
        <f t="shared" si="19"/>
        <v>2023</v>
      </c>
      <c r="W163" s="18" t="str">
        <f t="shared" si="20"/>
        <v>星期二</v>
      </c>
    </row>
    <row r="164" spans="1:23">
      <c r="A164" s="1" t="s">
        <v>399</v>
      </c>
      <c r="B164" s="1" t="s">
        <v>348</v>
      </c>
      <c r="C164" s="9">
        <v>45097</v>
      </c>
      <c r="D164" s="1" t="e" vm="15">
        <v>#VALUE!</v>
      </c>
      <c r="E164" s="1" t="s">
        <v>410</v>
      </c>
      <c r="F164" s="1" t="s">
        <v>411</v>
      </c>
      <c r="H164" s="1" t="s">
        <v>414</v>
      </c>
      <c r="I164" s="1">
        <v>1</v>
      </c>
      <c r="J164" s="27">
        <v>12.38</v>
      </c>
      <c r="K164" s="1">
        <v>3.71</v>
      </c>
      <c r="M164" s="24">
        <f t="shared" si="14"/>
        <v>12.38</v>
      </c>
      <c r="N164" s="36">
        <f t="shared" si="15"/>
        <v>0</v>
      </c>
      <c r="O164" s="34">
        <f>IF(ISBLANK(A164),"",SUMIFS(I$3:I164,D$3:D164,D164,H$3:H164,"Buy")+SUMIFS(I$3:I164,D$3:D164,D164,H$3:H164,"Cash Deposit")+SUMIFS(I$3:I164,D$3:D164,D164,H$3:H164,"Crypto Deposit")+SUMIFS(I$3:I164,D$3:D164,D164,H$3:H164,"Airdrop/Rewards")-SUMIFS(I$3:I164,D$3:D164,D164,H$3:H164,"Sell"))</f>
        <v>70</v>
      </c>
      <c r="P164" s="2" cm="1">
        <f t="array" ref="P164">IF(ISBLANK(A164),"",IFERROR(IF(OR(H164="Sell",F164="Stable Coin"),INDEX(_xlfn._xlws.FILTER(P$2:P163, D$2:D163=D164),COUNT(_xlfn._xlws.FILTER(P$2:P163, D$2:D163=D164))),(INDEX(_xlfn._xlws.FILTER(P$2:P163, D$2:D163=D164),COUNT(_xlfn._xlws.FILTER(P$2:P163, D$2:D163=D164)))*INDEX(_xlfn._xlws.FILTER(O$2:O163, D$2:D163=D164),COUNT(_xlfn._xlws.FILTER(O$2:O163, D$2:D163=D164)))-N164) / O164), J164))</f>
        <v>16.775714285714287</v>
      </c>
      <c r="Q164" s="1" t="str">
        <f t="shared" si="16"/>
        <v>USD</v>
      </c>
      <c r="R164" s="1" cm="1">
        <f t="array" ref="R164">IF(A164="", "",
    IFERROR(
        _xlfn.SWITCH(
            TRUE,
            AND(Q164="USD", $Q$2="USD"), K164,
            AND(Q164="USD", $Q$2="GBP"), K164*$Z$3,
            AND(Q164="USD", $Q$2="HKD"), K164*$Z$4,
            AND(Q164="USD", $Q$2="EUR"), K164*$Z$5,
            AND(Q164="GBP", $Q$2="GBP"), K164,
            AND(Q164="GBP", $Q$2="USD"), K164*$Z$6,
            AND(Q164="GBP", $Q$2="HKD"), K164*$Z$7,
            AND(Q164="HKG", $Q$2="HKG"), K164,
            AND(Q164="HKD", $Q$2="USD"), K164*$Z$9,
            AND(Q164="HKD", $Q$2="GBP"), K164*$Z$10,
            AND(Q164="HKD", $Q$2="EUR"), K164*$Z$11,
            AND(Q164="EUR", $Q$2="EUR"), K164,
            AND(Q164="EUR", $Q$2="USD"), K164*$Z$12,
            AND(Q164="EUR", $Q$2="GBP"), K164*$Z$13,
            AND(Q164="EUR", $Q$2="HKD"), K164*$Z$14,
        ),
        0
    )
)</f>
        <v>3.71</v>
      </c>
      <c r="S164" s="1" cm="1">
        <f t="array" ref="S164">IF(A164="", "",
    IFERROR(
        _xlfn.SWITCH(
            TRUE,
            AND(Q164="USD", $Q$2="USD"), M164,
            AND(Q164="USD", $Q$2="GBP"), M164*$Z$3,
            AND(Q164="USD", $Q$2="HKD"), M164*$Z$4,
            AND(Q164="USD", $Q$2="EUR"), M164*$Z$5,
            AND(Q164="GBP", $Q$2="GBP"), M164,
            AND(Q164="GBP", $Q$2="USD"), M164*$Z$6,
            AND(Q164="GBP", $Q$2="HKD"), M164*$Z$7,
            AND(Q164="GBP", $Q$2="HKD"), M164*$Z$8,
            AND(Q164="HKG", $Q$2="HKG"), M164,
            AND(Q164="HKD", $Q$2="USD"), M164*$Z$9,
            AND(Q164="HKD", $Q$2="GBP"), M164*$Z$10,
            AND(Q164="HKD", $Q$2="EUR"), M164*$Z$11,
            AND(Q164="EUR", $Q$2="EUR"), M164,
            AND(Q164="EUR", $Q$2="USD"), M164*$Z$12,
            AND(Q164="EUR", $Q$2="GBP"), M164*$Z$13,
            AND(Q164="EUR", $Q$2="HKD"), M164*$Z$14,
        ),
        0
    )
)</f>
        <v>12.38</v>
      </c>
      <c r="T164" s="1" t="str">
        <f t="shared" si="17"/>
        <v>20</v>
      </c>
      <c r="U164" s="9" t="str">
        <f t="shared" si="18"/>
        <v>06</v>
      </c>
      <c r="V164" s="1" t="str">
        <f t="shared" si="19"/>
        <v>2023</v>
      </c>
      <c r="W164" s="18" t="str">
        <f t="shared" si="20"/>
        <v>星期二</v>
      </c>
    </row>
    <row r="165" spans="1:23">
      <c r="A165" s="1" t="s">
        <v>399</v>
      </c>
      <c r="B165" s="1" t="s">
        <v>348</v>
      </c>
      <c r="C165" s="9">
        <v>45103</v>
      </c>
      <c r="D165" s="1" t="e" vm="21">
        <v>#VALUE!</v>
      </c>
      <c r="E165" s="1" t="s">
        <v>403</v>
      </c>
      <c r="F165" s="1" t="s">
        <v>401</v>
      </c>
      <c r="H165" s="1" t="s">
        <v>347</v>
      </c>
      <c r="I165" s="1">
        <v>1</v>
      </c>
      <c r="J165" s="27">
        <v>305</v>
      </c>
      <c r="K165" s="1">
        <v>1.99</v>
      </c>
      <c r="M165" s="24">
        <f t="shared" si="14"/>
        <v>305</v>
      </c>
      <c r="N165" s="36">
        <f t="shared" si="15"/>
        <v>-305</v>
      </c>
      <c r="O165" s="34">
        <f>IF(ISBLANK(A165),"",SUMIFS(I$3:I165,D$3:D165,D165,H$3:H165,"Buy")+SUMIFS(I$3:I165,D$3:D165,D165,H$3:H165,"Cash Deposit")+SUMIFS(I$3:I165,D$3:D165,D165,H$3:H165,"Crypto Deposit")+SUMIFS(I$3:I165,D$3:D165,D165,H$3:H165,"Airdrop/Rewards")-SUMIFS(I$3:I165,D$3:D165,D165,H$3:H165,"Sell"))</f>
        <v>3</v>
      </c>
      <c r="P165" s="2" cm="1">
        <f t="array" ref="P165">IF(ISBLANK(A165),"",IFERROR(IF(OR(H165="Sell",F165="Stable Coin"),INDEX(_xlfn._xlws.FILTER(P$2:P164, D$2:D164=D165),COUNT(_xlfn._xlws.FILTER(P$2:P164, D$2:D164=D165))),(INDEX(_xlfn._xlws.FILTER(P$2:P164, D$2:D164=D165),COUNT(_xlfn._xlws.FILTER(P$2:P164, D$2:D164=D165)))*INDEX(_xlfn._xlws.FILTER(O$2:O164, D$2:D164=D165),COUNT(_xlfn._xlws.FILTER(O$2:O164, D$2:D164=D165)))-N165) / O165), J165))</f>
        <v>292.44666666666666</v>
      </c>
      <c r="Q165" s="1" t="str">
        <f t="shared" si="16"/>
        <v>USD</v>
      </c>
      <c r="R165" s="1" cm="1">
        <f t="array" ref="R165">IF(A165="", "",
    IFERROR(
        _xlfn.SWITCH(
            TRUE,
            AND(Q165="USD", $Q$2="USD"), K165,
            AND(Q165="USD", $Q$2="GBP"), K165*$Z$3,
            AND(Q165="USD", $Q$2="HKD"), K165*$Z$4,
            AND(Q165="USD", $Q$2="EUR"), K165*$Z$5,
            AND(Q165="GBP", $Q$2="GBP"), K165,
            AND(Q165="GBP", $Q$2="USD"), K165*$Z$6,
            AND(Q165="GBP", $Q$2="HKD"), K165*$Z$7,
            AND(Q165="HKG", $Q$2="HKG"), K165,
            AND(Q165="HKD", $Q$2="USD"), K165*$Z$9,
            AND(Q165="HKD", $Q$2="GBP"), K165*$Z$10,
            AND(Q165="HKD", $Q$2="EUR"), K165*$Z$11,
            AND(Q165="EUR", $Q$2="EUR"), K165,
            AND(Q165="EUR", $Q$2="USD"), K165*$Z$12,
            AND(Q165="EUR", $Q$2="GBP"), K165*$Z$13,
            AND(Q165="EUR", $Q$2="HKD"), K165*$Z$14,
        ),
        0
    )
)</f>
        <v>1.99</v>
      </c>
      <c r="S165" s="1" cm="1">
        <f t="array" ref="S165">IF(A165="", "",
    IFERROR(
        _xlfn.SWITCH(
            TRUE,
            AND(Q165="USD", $Q$2="USD"), M165,
            AND(Q165="USD", $Q$2="GBP"), M165*$Z$3,
            AND(Q165="USD", $Q$2="HKD"), M165*$Z$4,
            AND(Q165="USD", $Q$2="EUR"), M165*$Z$5,
            AND(Q165="GBP", $Q$2="GBP"), M165,
            AND(Q165="GBP", $Q$2="USD"), M165*$Z$6,
            AND(Q165="GBP", $Q$2="HKD"), M165*$Z$7,
            AND(Q165="GBP", $Q$2="HKD"), M165*$Z$8,
            AND(Q165="HKG", $Q$2="HKG"), M165,
            AND(Q165="HKD", $Q$2="USD"), M165*$Z$9,
            AND(Q165="HKD", $Q$2="GBP"), M165*$Z$10,
            AND(Q165="HKD", $Q$2="EUR"), M165*$Z$11,
            AND(Q165="EUR", $Q$2="EUR"), M165,
            AND(Q165="EUR", $Q$2="USD"), M165*$Z$12,
            AND(Q165="EUR", $Q$2="GBP"), M165*$Z$13,
            AND(Q165="EUR", $Q$2="HKD"), M165*$Z$14,
        ),
        0
    )
)</f>
        <v>305</v>
      </c>
      <c r="T165" s="1" t="str">
        <f t="shared" si="17"/>
        <v>26</v>
      </c>
      <c r="U165" s="9" t="str">
        <f t="shared" si="18"/>
        <v>06</v>
      </c>
      <c r="V165" s="1" t="str">
        <f t="shared" si="19"/>
        <v>2023</v>
      </c>
      <c r="W165" s="18" t="str">
        <f t="shared" si="20"/>
        <v>星期一</v>
      </c>
    </row>
    <row r="166" spans="1:23">
      <c r="A166" s="1" t="s">
        <v>32</v>
      </c>
      <c r="B166" s="1" t="s">
        <v>348</v>
      </c>
      <c r="C166" s="9">
        <v>45111</v>
      </c>
      <c r="D166" s="1" t="s">
        <v>122</v>
      </c>
      <c r="E166" s="1" t="s">
        <v>122</v>
      </c>
      <c r="F166" s="1" t="s">
        <v>346</v>
      </c>
      <c r="H166" s="1" t="s">
        <v>350</v>
      </c>
      <c r="I166" s="1">
        <v>5.4460000000000001E-2</v>
      </c>
      <c r="J166" s="27">
        <v>1</v>
      </c>
      <c r="M166" s="24">
        <f t="shared" si="14"/>
        <v>5.4460000000000001E-2</v>
      </c>
      <c r="N166" s="36">
        <f t="shared" si="15"/>
        <v>0</v>
      </c>
      <c r="O166" s="34">
        <f>IF(ISBLANK(A166),"",SUMIFS(I$3:I166,D$3:D166,D166,H$3:H166,"Buy")+SUMIFS(I$3:I166,D$3:D166,D166,H$3:H166,"Cash Deposit")+SUMIFS(I$3:I166,D$3:D166,D166,H$3:H166,"Crypto Deposit")+SUMIFS(I$3:I166,D$3:D166,D166,H$3:H166,"Airdrop/Rewards")-SUMIFS(I$3:I166,D$3:D166,D166,H$3:H166,"Sell"))</f>
        <v>-9.9999999999909051E-3</v>
      </c>
      <c r="P166" s="2" cm="1">
        <f t="array" ref="P166">IF(ISBLANK(A166),"",IFERROR(IF(OR(H166="Sell",F166="Stable Coin"),INDEX(_xlfn._xlws.FILTER(P$2:P165, D$2:D165=D166),COUNT(_xlfn._xlws.FILTER(P$2:P165, D$2:D165=D166))),(INDEX(_xlfn._xlws.FILTER(P$2:P165, D$2:D165=D166),COUNT(_xlfn._xlws.FILTER(P$2:P165, D$2:D165=D166)))*INDEX(_xlfn._xlws.FILTER(O$2:O165, D$2:D165=D166),COUNT(_xlfn._xlws.FILTER(O$2:O165, D$2:D165=D166)))-N166) / O166), J166))</f>
        <v>1</v>
      </c>
      <c r="Q166" s="1" t="str">
        <f t="shared" si="16"/>
        <v>USD</v>
      </c>
      <c r="R166" s="1" cm="1">
        <f t="array" ref="R166">IF(A166="", "",
    IFERROR(
        _xlfn.SWITCH(
            TRUE,
            AND(Q166="USD", $Q$2="USD"), K166,
            AND(Q166="USD", $Q$2="GBP"), K166*$Z$3,
            AND(Q166="USD", $Q$2="HKD"), K166*$Z$4,
            AND(Q166="USD", $Q$2="EUR"), K166*$Z$5,
            AND(Q166="GBP", $Q$2="GBP"), K166,
            AND(Q166="GBP", $Q$2="USD"), K166*$Z$6,
            AND(Q166="GBP", $Q$2="HKD"), K166*$Z$7,
            AND(Q166="HKG", $Q$2="HKG"), K166,
            AND(Q166="HKD", $Q$2="USD"), K166*$Z$9,
            AND(Q166="HKD", $Q$2="GBP"), K166*$Z$10,
            AND(Q166="HKD", $Q$2="EUR"), K166*$Z$11,
            AND(Q166="EUR", $Q$2="EUR"), K166,
            AND(Q166="EUR", $Q$2="USD"), K166*$Z$12,
            AND(Q166="EUR", $Q$2="GBP"), K166*$Z$13,
            AND(Q166="EUR", $Q$2="HKD"), K166*$Z$14,
        ),
        0
    )
)</f>
        <v>0</v>
      </c>
      <c r="S166" s="1" cm="1">
        <f t="array" ref="S166">IF(A166="", "",
    IFERROR(
        _xlfn.SWITCH(
            TRUE,
            AND(Q166="USD", $Q$2="USD"), M166,
            AND(Q166="USD", $Q$2="GBP"), M166*$Z$3,
            AND(Q166="USD", $Q$2="HKD"), M166*$Z$4,
            AND(Q166="USD", $Q$2="EUR"), M166*$Z$5,
            AND(Q166="GBP", $Q$2="GBP"), M166,
            AND(Q166="GBP", $Q$2="USD"), M166*$Z$6,
            AND(Q166="GBP", $Q$2="HKD"), M166*$Z$7,
            AND(Q166="GBP", $Q$2="HKD"), M166*$Z$8,
            AND(Q166="HKG", $Q$2="HKG"), M166,
            AND(Q166="HKD", $Q$2="USD"), M166*$Z$9,
            AND(Q166="HKD", $Q$2="GBP"), M166*$Z$10,
            AND(Q166="HKD", $Q$2="EUR"), M166*$Z$11,
            AND(Q166="EUR", $Q$2="EUR"), M166,
            AND(Q166="EUR", $Q$2="USD"), M166*$Z$12,
            AND(Q166="EUR", $Q$2="GBP"), M166*$Z$13,
            AND(Q166="EUR", $Q$2="HKD"), M166*$Z$14,
        ),
        0
    )
)</f>
        <v>5.4460000000000001E-2</v>
      </c>
      <c r="T166" s="1" t="str">
        <f t="shared" si="17"/>
        <v>4</v>
      </c>
      <c r="U166" s="9" t="str">
        <f t="shared" si="18"/>
        <v>07</v>
      </c>
      <c r="V166" s="1" t="str">
        <f t="shared" si="19"/>
        <v>2023</v>
      </c>
      <c r="W166" s="18" t="str">
        <f t="shared" si="20"/>
        <v>星期二</v>
      </c>
    </row>
    <row r="167" spans="1:23">
      <c r="A167" s="1" t="s">
        <v>399</v>
      </c>
      <c r="B167" s="1" t="s">
        <v>348</v>
      </c>
      <c r="C167" s="9">
        <v>45118</v>
      </c>
      <c r="D167" s="1" t="e" vm="17">
        <v>#VALUE!</v>
      </c>
      <c r="E167" s="1" t="s">
        <v>32</v>
      </c>
      <c r="F167" s="1" t="s">
        <v>401</v>
      </c>
      <c r="H167" s="1" t="s">
        <v>367</v>
      </c>
      <c r="I167" s="1">
        <v>4</v>
      </c>
      <c r="J167" s="27">
        <v>89.5</v>
      </c>
      <c r="K167" s="1">
        <v>2.02</v>
      </c>
      <c r="M167" s="24">
        <f t="shared" si="14"/>
        <v>355.98</v>
      </c>
      <c r="N167" s="36">
        <f t="shared" si="15"/>
        <v>358</v>
      </c>
      <c r="O167" s="34">
        <f>IF(ISBLANK(A167),"",SUMIFS(I$3:I167,D$3:D167,D167,H$3:H167,"Buy")+SUMIFS(I$3:I167,D$3:D167,D167,H$3:H167,"Cash Deposit")+SUMIFS(I$3:I167,D$3:D167,D167,H$3:H167,"Crypto Deposit")+SUMIFS(I$3:I167,D$3:D167,D167,H$3:H167,"Airdrop/Rewards")-SUMIFS(I$3:I167,D$3:D167,D167,H$3:H167,"Sell"))</f>
        <v>63</v>
      </c>
      <c r="P167" s="2" cm="1">
        <f t="array" ref="P167">IF(ISBLANK(A167),"",IFERROR(IF(OR(H167="Sell",F167="Stable Coin"),INDEX(_xlfn._xlws.FILTER(P$2:P166, D$2:D166=D167),COUNT(_xlfn._xlws.FILTER(P$2:P166, D$2:D166=D167))),(INDEX(_xlfn._xlws.FILTER(P$2:P166, D$2:D166=D167),COUNT(_xlfn._xlws.FILTER(P$2:P166, D$2:D166=D167)))*INDEX(_xlfn._xlws.FILTER(O$2:O166, D$2:D166=D167),COUNT(_xlfn._xlws.FILTER(O$2:O166, D$2:D166=D167)))-N167) / O167), J167))</f>
        <v>58.503510447761194</v>
      </c>
      <c r="Q167" s="1" t="str">
        <f t="shared" si="16"/>
        <v>USD</v>
      </c>
      <c r="R167" s="1" cm="1">
        <f t="array" ref="R167">IF(A167="", "",
    IFERROR(
        _xlfn.SWITCH(
            TRUE,
            AND(Q167="USD", $Q$2="USD"), K167,
            AND(Q167="USD", $Q$2="GBP"), K167*$Z$3,
            AND(Q167="USD", $Q$2="HKD"), K167*$Z$4,
            AND(Q167="USD", $Q$2="EUR"), K167*$Z$5,
            AND(Q167="GBP", $Q$2="GBP"), K167,
            AND(Q167="GBP", $Q$2="USD"), K167*$Z$6,
            AND(Q167="GBP", $Q$2="HKD"), K167*$Z$7,
            AND(Q167="HKG", $Q$2="HKG"), K167,
            AND(Q167="HKD", $Q$2="USD"), K167*$Z$9,
            AND(Q167="HKD", $Q$2="GBP"), K167*$Z$10,
            AND(Q167="HKD", $Q$2="EUR"), K167*$Z$11,
            AND(Q167="EUR", $Q$2="EUR"), K167,
            AND(Q167="EUR", $Q$2="USD"), K167*$Z$12,
            AND(Q167="EUR", $Q$2="GBP"), K167*$Z$13,
            AND(Q167="EUR", $Q$2="HKD"), K167*$Z$14,
        ),
        0
    )
)</f>
        <v>2.02</v>
      </c>
      <c r="S167" s="1" cm="1">
        <f t="array" ref="S167">IF(A167="", "",
    IFERROR(
        _xlfn.SWITCH(
            TRUE,
            AND(Q167="USD", $Q$2="USD"), M167,
            AND(Q167="USD", $Q$2="GBP"), M167*$Z$3,
            AND(Q167="USD", $Q$2="HKD"), M167*$Z$4,
            AND(Q167="USD", $Q$2="EUR"), M167*$Z$5,
            AND(Q167="GBP", $Q$2="GBP"), M167,
            AND(Q167="GBP", $Q$2="USD"), M167*$Z$6,
            AND(Q167="GBP", $Q$2="HKD"), M167*$Z$7,
            AND(Q167="GBP", $Q$2="HKD"), M167*$Z$8,
            AND(Q167="HKG", $Q$2="HKG"), M167,
            AND(Q167="HKD", $Q$2="USD"), M167*$Z$9,
            AND(Q167="HKD", $Q$2="GBP"), M167*$Z$10,
            AND(Q167="HKD", $Q$2="EUR"), M167*$Z$11,
            AND(Q167="EUR", $Q$2="EUR"), M167,
            AND(Q167="EUR", $Q$2="USD"), M167*$Z$12,
            AND(Q167="EUR", $Q$2="GBP"), M167*$Z$13,
            AND(Q167="EUR", $Q$2="HKD"), M167*$Z$14,
        ),
        0
    )
)</f>
        <v>355.98</v>
      </c>
      <c r="T167" s="1" t="str">
        <f t="shared" si="17"/>
        <v>11</v>
      </c>
      <c r="U167" s="9" t="str">
        <f t="shared" si="18"/>
        <v>07</v>
      </c>
      <c r="V167" s="1" t="str">
        <f t="shared" si="19"/>
        <v>2023</v>
      </c>
      <c r="W167" s="18" t="str">
        <f t="shared" si="20"/>
        <v>星期二</v>
      </c>
    </row>
    <row r="168" spans="1:23">
      <c r="A168" s="1" t="s">
        <v>399</v>
      </c>
      <c r="B168" s="1" t="s">
        <v>348</v>
      </c>
      <c r="C168" s="9">
        <v>45118</v>
      </c>
      <c r="D168" s="1" t="e" vm="17">
        <v>#VALUE!</v>
      </c>
      <c r="E168" s="1" t="s">
        <v>32</v>
      </c>
      <c r="F168" s="1" t="s">
        <v>401</v>
      </c>
      <c r="H168" s="1" t="s">
        <v>367</v>
      </c>
      <c r="I168" s="1">
        <v>4</v>
      </c>
      <c r="J168" s="27">
        <v>87.29</v>
      </c>
      <c r="K168" s="1">
        <v>2.02</v>
      </c>
      <c r="M168" s="24">
        <f t="shared" si="14"/>
        <v>347.14000000000004</v>
      </c>
      <c r="N168" s="36">
        <f t="shared" si="15"/>
        <v>349.16</v>
      </c>
      <c r="O168" s="34">
        <f>IF(ISBLANK(A168),"",SUMIFS(I$3:I168,D$3:D168,D168,H$3:H168,"Buy")+SUMIFS(I$3:I168,D$3:D168,D168,H$3:H168,"Cash Deposit")+SUMIFS(I$3:I168,D$3:D168,D168,H$3:H168,"Crypto Deposit")+SUMIFS(I$3:I168,D$3:D168,D168,H$3:H168,"Airdrop/Rewards")-SUMIFS(I$3:I168,D$3:D168,D168,H$3:H168,"Sell"))</f>
        <v>59</v>
      </c>
      <c r="P168" s="2" cm="1">
        <f t="array" ref="P168">IF(ISBLANK(A168),"",IFERROR(IF(OR(H168="Sell",F168="Stable Coin"),INDEX(_xlfn._xlws.FILTER(P$2:P167, D$2:D167=D168),COUNT(_xlfn._xlws.FILTER(P$2:P167, D$2:D167=D168))),(INDEX(_xlfn._xlws.FILTER(P$2:P167, D$2:D167=D168),COUNT(_xlfn._xlws.FILTER(P$2:P167, D$2:D167=D168)))*INDEX(_xlfn._xlws.FILTER(O$2:O167, D$2:D167=D168),COUNT(_xlfn._xlws.FILTER(O$2:O167, D$2:D167=D168)))-N168) / O168), J168))</f>
        <v>58.503510447761194</v>
      </c>
      <c r="Q168" s="1" t="str">
        <f t="shared" si="16"/>
        <v>USD</v>
      </c>
      <c r="R168" s="1" cm="1">
        <f t="array" ref="R168">IF(A168="", "",
    IFERROR(
        _xlfn.SWITCH(
            TRUE,
            AND(Q168="USD", $Q$2="USD"), K168,
            AND(Q168="USD", $Q$2="GBP"), K168*$Z$3,
            AND(Q168="USD", $Q$2="HKD"), K168*$Z$4,
            AND(Q168="USD", $Q$2="EUR"), K168*$Z$5,
            AND(Q168="GBP", $Q$2="GBP"), K168,
            AND(Q168="GBP", $Q$2="USD"), K168*$Z$6,
            AND(Q168="GBP", $Q$2="HKD"), K168*$Z$7,
            AND(Q168="HKG", $Q$2="HKG"), K168,
            AND(Q168="HKD", $Q$2="USD"), K168*$Z$9,
            AND(Q168="HKD", $Q$2="GBP"), K168*$Z$10,
            AND(Q168="HKD", $Q$2="EUR"), K168*$Z$11,
            AND(Q168="EUR", $Q$2="EUR"), K168,
            AND(Q168="EUR", $Q$2="USD"), K168*$Z$12,
            AND(Q168="EUR", $Q$2="GBP"), K168*$Z$13,
            AND(Q168="EUR", $Q$2="HKD"), K168*$Z$14,
        ),
        0
    )
)</f>
        <v>2.02</v>
      </c>
      <c r="S168" s="1" cm="1">
        <f t="array" ref="S168">IF(A168="", "",
    IFERROR(
        _xlfn.SWITCH(
            TRUE,
            AND(Q168="USD", $Q$2="USD"), M168,
            AND(Q168="USD", $Q$2="GBP"), M168*$Z$3,
            AND(Q168="USD", $Q$2="HKD"), M168*$Z$4,
            AND(Q168="USD", $Q$2="EUR"), M168*$Z$5,
            AND(Q168="GBP", $Q$2="GBP"), M168,
            AND(Q168="GBP", $Q$2="USD"), M168*$Z$6,
            AND(Q168="GBP", $Q$2="HKD"), M168*$Z$7,
            AND(Q168="GBP", $Q$2="HKD"), M168*$Z$8,
            AND(Q168="HKG", $Q$2="HKG"), M168,
            AND(Q168="HKD", $Q$2="USD"), M168*$Z$9,
            AND(Q168="HKD", $Q$2="GBP"), M168*$Z$10,
            AND(Q168="HKD", $Q$2="EUR"), M168*$Z$11,
            AND(Q168="EUR", $Q$2="EUR"), M168,
            AND(Q168="EUR", $Q$2="USD"), M168*$Z$12,
            AND(Q168="EUR", $Q$2="GBP"), M168*$Z$13,
            AND(Q168="EUR", $Q$2="HKD"), M168*$Z$14,
        ),
        0
    )
)</f>
        <v>347.14000000000004</v>
      </c>
      <c r="T168" s="1" t="str">
        <f t="shared" si="17"/>
        <v>11</v>
      </c>
      <c r="U168" s="9" t="str">
        <f t="shared" si="18"/>
        <v>07</v>
      </c>
      <c r="V168" s="1" t="str">
        <f t="shared" si="19"/>
        <v>2023</v>
      </c>
      <c r="W168" s="18" t="str">
        <f t="shared" si="20"/>
        <v>星期二</v>
      </c>
    </row>
    <row r="169" spans="1:23">
      <c r="A169" s="1" t="s">
        <v>399</v>
      </c>
      <c r="B169" s="1" t="s">
        <v>348</v>
      </c>
      <c r="C169" s="9">
        <v>45119</v>
      </c>
      <c r="D169" s="1" t="e" vm="17">
        <v>#VALUE!</v>
      </c>
      <c r="E169" s="1" t="s">
        <v>32</v>
      </c>
      <c r="F169" s="1" t="s">
        <v>401</v>
      </c>
      <c r="H169" s="1" t="s">
        <v>347</v>
      </c>
      <c r="I169" s="1">
        <v>4</v>
      </c>
      <c r="J169" s="27">
        <v>86</v>
      </c>
      <c r="K169" s="1">
        <v>2</v>
      </c>
      <c r="M169" s="24">
        <f t="shared" si="14"/>
        <v>344</v>
      </c>
      <c r="N169" s="36">
        <f t="shared" si="15"/>
        <v>-344</v>
      </c>
      <c r="O169" s="34">
        <f>IF(ISBLANK(A169),"",SUMIFS(I$3:I169,D$3:D169,D169,H$3:H169,"Buy")+SUMIFS(I$3:I169,D$3:D169,D169,H$3:H169,"Cash Deposit")+SUMIFS(I$3:I169,D$3:D169,D169,H$3:H169,"Crypto Deposit")+SUMIFS(I$3:I169,D$3:D169,D169,H$3:H169,"Airdrop/Rewards")-SUMIFS(I$3:I169,D$3:D169,D169,H$3:H169,"Sell"))</f>
        <v>63</v>
      </c>
      <c r="P169" s="2" cm="1">
        <f t="array" ref="P169">IF(ISBLANK(A169),"",IFERROR(IF(OR(H169="Sell",F169="Stable Coin"),INDEX(_xlfn._xlws.FILTER(P$2:P168, D$2:D168=D169),COUNT(_xlfn._xlws.FILTER(P$2:P168, D$2:D168=D169))),(INDEX(_xlfn._xlws.FILTER(P$2:P168, D$2:D168=D169),COUNT(_xlfn._xlws.FILTER(P$2:P168, D$2:D168=D169)))*INDEX(_xlfn._xlws.FILTER(O$2:O168, D$2:D168=D169),COUNT(_xlfn._xlws.FILTER(O$2:O168, D$2:D168=D169)))-N169) / O169), J169))</f>
        <v>60.249319308220805</v>
      </c>
      <c r="Q169" s="1" t="str">
        <f t="shared" si="16"/>
        <v>USD</v>
      </c>
      <c r="R169" s="1" cm="1">
        <f t="array" ref="R169">IF(A169="", "",
    IFERROR(
        _xlfn.SWITCH(
            TRUE,
            AND(Q169="USD", $Q$2="USD"), K169,
            AND(Q169="USD", $Q$2="GBP"), K169*$Z$3,
            AND(Q169="USD", $Q$2="HKD"), K169*$Z$4,
            AND(Q169="USD", $Q$2="EUR"), K169*$Z$5,
            AND(Q169="GBP", $Q$2="GBP"), K169,
            AND(Q169="GBP", $Q$2="USD"), K169*$Z$6,
            AND(Q169="GBP", $Q$2="HKD"), K169*$Z$7,
            AND(Q169="HKG", $Q$2="HKG"), K169,
            AND(Q169="HKD", $Q$2="USD"), K169*$Z$9,
            AND(Q169="HKD", $Q$2="GBP"), K169*$Z$10,
            AND(Q169="HKD", $Q$2="EUR"), K169*$Z$11,
            AND(Q169="EUR", $Q$2="EUR"), K169,
            AND(Q169="EUR", $Q$2="USD"), K169*$Z$12,
            AND(Q169="EUR", $Q$2="GBP"), K169*$Z$13,
            AND(Q169="EUR", $Q$2="HKD"), K169*$Z$14,
        ),
        0
    )
)</f>
        <v>2</v>
      </c>
      <c r="S169" s="1" cm="1">
        <f t="array" ref="S169">IF(A169="", "",
    IFERROR(
        _xlfn.SWITCH(
            TRUE,
            AND(Q169="USD", $Q$2="USD"), M169,
            AND(Q169="USD", $Q$2="GBP"), M169*$Z$3,
            AND(Q169="USD", $Q$2="HKD"), M169*$Z$4,
            AND(Q169="USD", $Q$2="EUR"), M169*$Z$5,
            AND(Q169="GBP", $Q$2="GBP"), M169,
            AND(Q169="GBP", $Q$2="USD"), M169*$Z$6,
            AND(Q169="GBP", $Q$2="HKD"), M169*$Z$7,
            AND(Q169="GBP", $Q$2="HKD"), M169*$Z$8,
            AND(Q169="HKG", $Q$2="HKG"), M169,
            AND(Q169="HKD", $Q$2="USD"), M169*$Z$9,
            AND(Q169="HKD", $Q$2="GBP"), M169*$Z$10,
            AND(Q169="HKD", $Q$2="EUR"), M169*$Z$11,
            AND(Q169="EUR", $Q$2="EUR"), M169,
            AND(Q169="EUR", $Q$2="USD"), M169*$Z$12,
            AND(Q169="EUR", $Q$2="GBP"), M169*$Z$13,
            AND(Q169="EUR", $Q$2="HKD"), M169*$Z$14,
        ),
        0
    )
)</f>
        <v>344</v>
      </c>
      <c r="T169" s="1" t="str">
        <f t="shared" si="17"/>
        <v>12</v>
      </c>
      <c r="U169" s="9" t="str">
        <f t="shared" si="18"/>
        <v>07</v>
      </c>
      <c r="V169" s="1" t="str">
        <f t="shared" si="19"/>
        <v>2023</v>
      </c>
      <c r="W169" s="18" t="str">
        <f t="shared" si="20"/>
        <v>星期三</v>
      </c>
    </row>
    <row r="170" spans="1:23">
      <c r="A170" s="1" t="s">
        <v>399</v>
      </c>
      <c r="B170" s="1" t="s">
        <v>348</v>
      </c>
      <c r="C170" s="9">
        <v>45127</v>
      </c>
      <c r="D170" s="1" t="e" vm="18">
        <v>#VALUE!</v>
      </c>
      <c r="E170" s="1" t="s">
        <v>400</v>
      </c>
      <c r="F170" s="1" t="s">
        <v>401</v>
      </c>
      <c r="H170" s="1" t="s">
        <v>347</v>
      </c>
      <c r="I170" s="1">
        <v>5</v>
      </c>
      <c r="J170" s="27">
        <v>76</v>
      </c>
      <c r="K170" s="1">
        <v>2.0099999999999998</v>
      </c>
      <c r="M170" s="24">
        <f t="shared" si="14"/>
        <v>380</v>
      </c>
      <c r="N170" s="36">
        <f t="shared" si="15"/>
        <v>-380</v>
      </c>
      <c r="O170" s="34">
        <f>IF(ISBLANK(A170),"",SUMIFS(I$3:I170,D$3:D170,D170,H$3:H170,"Buy")+SUMIFS(I$3:I170,D$3:D170,D170,H$3:H170,"Cash Deposit")+SUMIFS(I$3:I170,D$3:D170,D170,H$3:H170,"Crypto Deposit")+SUMIFS(I$3:I170,D$3:D170,D170,H$3:H170,"Airdrop/Rewards")-SUMIFS(I$3:I170,D$3:D170,D170,H$3:H170,"Sell"))</f>
        <v>11</v>
      </c>
      <c r="P170" s="2" cm="1">
        <f t="array" ref="P170">IF(ISBLANK(A170),"",IFERROR(IF(OR(H170="Sell",F170="Stable Coin"),INDEX(_xlfn._xlws.FILTER(P$2:P169, D$2:D169=D170),COUNT(_xlfn._xlws.FILTER(P$2:P169, D$2:D169=D170))),(INDEX(_xlfn._xlws.FILTER(P$2:P169, D$2:D169=D170),COUNT(_xlfn._xlws.FILTER(P$2:P169, D$2:D169=D170)))*INDEX(_xlfn._xlws.FILTER(O$2:O169, D$2:D169=D170),COUNT(_xlfn._xlws.FILTER(O$2:O169, D$2:D169=D170)))-N170) / O170), J170))</f>
        <v>69.187272727272727</v>
      </c>
      <c r="Q170" s="1" t="str">
        <f t="shared" si="16"/>
        <v>USD</v>
      </c>
      <c r="R170" s="1" cm="1">
        <f t="array" ref="R170">IF(A170="", "",
    IFERROR(
        _xlfn.SWITCH(
            TRUE,
            AND(Q170="USD", $Q$2="USD"), K170,
            AND(Q170="USD", $Q$2="GBP"), K170*$Z$3,
            AND(Q170="USD", $Q$2="HKD"), K170*$Z$4,
            AND(Q170="USD", $Q$2="EUR"), K170*$Z$5,
            AND(Q170="GBP", $Q$2="GBP"), K170,
            AND(Q170="GBP", $Q$2="USD"), K170*$Z$6,
            AND(Q170="GBP", $Q$2="HKD"), K170*$Z$7,
            AND(Q170="HKG", $Q$2="HKG"), K170,
            AND(Q170="HKD", $Q$2="USD"), K170*$Z$9,
            AND(Q170="HKD", $Q$2="GBP"), K170*$Z$10,
            AND(Q170="HKD", $Q$2="EUR"), K170*$Z$11,
            AND(Q170="EUR", $Q$2="EUR"), K170,
            AND(Q170="EUR", $Q$2="USD"), K170*$Z$12,
            AND(Q170="EUR", $Q$2="GBP"), K170*$Z$13,
            AND(Q170="EUR", $Q$2="HKD"), K170*$Z$14,
        ),
        0
    )
)</f>
        <v>2.0099999999999998</v>
      </c>
      <c r="S170" s="1" cm="1">
        <f t="array" ref="S170">IF(A170="", "",
    IFERROR(
        _xlfn.SWITCH(
            TRUE,
            AND(Q170="USD", $Q$2="USD"), M170,
            AND(Q170="USD", $Q$2="GBP"), M170*$Z$3,
            AND(Q170="USD", $Q$2="HKD"), M170*$Z$4,
            AND(Q170="USD", $Q$2="EUR"), M170*$Z$5,
            AND(Q170="GBP", $Q$2="GBP"), M170,
            AND(Q170="GBP", $Q$2="USD"), M170*$Z$6,
            AND(Q170="GBP", $Q$2="HKD"), M170*$Z$7,
            AND(Q170="GBP", $Q$2="HKD"), M170*$Z$8,
            AND(Q170="HKG", $Q$2="HKG"), M170,
            AND(Q170="HKD", $Q$2="USD"), M170*$Z$9,
            AND(Q170="HKD", $Q$2="GBP"), M170*$Z$10,
            AND(Q170="HKD", $Q$2="EUR"), M170*$Z$11,
            AND(Q170="EUR", $Q$2="EUR"), M170,
            AND(Q170="EUR", $Q$2="USD"), M170*$Z$12,
            AND(Q170="EUR", $Q$2="GBP"), M170*$Z$13,
            AND(Q170="EUR", $Q$2="HKD"), M170*$Z$14,
        ),
        0
    )
)</f>
        <v>380</v>
      </c>
      <c r="T170" s="1" t="str">
        <f t="shared" si="17"/>
        <v>20</v>
      </c>
      <c r="U170" s="9" t="str">
        <f t="shared" si="18"/>
        <v>07</v>
      </c>
      <c r="V170" s="1" t="str">
        <f t="shared" si="19"/>
        <v>2023</v>
      </c>
      <c r="W170" s="18" t="str">
        <f t="shared" si="20"/>
        <v>星期四</v>
      </c>
    </row>
    <row r="171" spans="1:23">
      <c r="A171" s="1" t="s">
        <v>399</v>
      </c>
      <c r="B171" s="1" t="s">
        <v>348</v>
      </c>
      <c r="C171" s="9">
        <v>45131</v>
      </c>
      <c r="D171" s="1" t="s">
        <v>345</v>
      </c>
      <c r="E171" s="1" t="s">
        <v>345</v>
      </c>
      <c r="F171" s="1" t="s">
        <v>345</v>
      </c>
      <c r="H171" s="1" t="s">
        <v>344</v>
      </c>
      <c r="I171" s="1">
        <v>1</v>
      </c>
      <c r="J171" s="27">
        <v>4500</v>
      </c>
      <c r="M171" s="24">
        <f t="shared" si="14"/>
        <v>4500</v>
      </c>
      <c r="N171" s="36">
        <f t="shared" si="15"/>
        <v>-4500</v>
      </c>
      <c r="O171" s="34">
        <f>IF(ISBLANK(A171),"",SUMIFS(I$3:I171,D$3:D171,D171,H$3:H171,"Buy")+SUMIFS(I$3:I171,D$3:D171,D171,H$3:H171,"Cash Deposit")+SUMIFS(I$3:I171,D$3:D171,D171,H$3:H171,"Crypto Deposit")+SUMIFS(I$3:I171,D$3:D171,D171,H$3:H171,"Airdrop/Rewards")-SUMIFS(I$3:I171,D$3:D171,D171,H$3:H171,"Sell"))</f>
        <v>10</v>
      </c>
      <c r="P171" s="2" cm="1">
        <f t="array" ref="P171">IF(ISBLANK(A171),"",IFERROR(IF(OR(H171="Sell",F171="Stable Coin"),INDEX(_xlfn._xlws.FILTER(P$2:P170, D$2:D170=D171),COUNT(_xlfn._xlws.FILTER(P$2:P170, D$2:D170=D171))),(INDEX(_xlfn._xlws.FILTER(P$2:P170, D$2:D170=D171),COUNT(_xlfn._xlws.FILTER(P$2:P170, D$2:D170=D171)))*INDEX(_xlfn._xlws.FILTER(O$2:O170, D$2:D170=D171),COUNT(_xlfn._xlws.FILTER(O$2:O170, D$2:D170=D171)))-N171) / O171), J171))</f>
        <v>1758</v>
      </c>
      <c r="Q171" s="1" t="str">
        <f t="shared" si="16"/>
        <v>USD</v>
      </c>
      <c r="R171" s="1" cm="1">
        <f t="array" ref="R171">IF(A171="", "",
    IFERROR(
        _xlfn.SWITCH(
            TRUE,
            AND(Q171="USD", $Q$2="USD"), K171,
            AND(Q171="USD", $Q$2="GBP"), K171*$Z$3,
            AND(Q171="USD", $Q$2="HKD"), K171*$Z$4,
            AND(Q171="USD", $Q$2="EUR"), K171*$Z$5,
            AND(Q171="GBP", $Q$2="GBP"), K171,
            AND(Q171="GBP", $Q$2="USD"), K171*$Z$6,
            AND(Q171="GBP", $Q$2="HKD"), K171*$Z$7,
            AND(Q171="HKG", $Q$2="HKG"), K171,
            AND(Q171="HKD", $Q$2="USD"), K171*$Z$9,
            AND(Q171="HKD", $Q$2="GBP"), K171*$Z$10,
            AND(Q171="HKD", $Q$2="EUR"), K171*$Z$11,
            AND(Q171="EUR", $Q$2="EUR"), K171,
            AND(Q171="EUR", $Q$2="USD"), K171*$Z$12,
            AND(Q171="EUR", $Q$2="GBP"), K171*$Z$13,
            AND(Q171="EUR", $Q$2="HKD"), K171*$Z$14,
        ),
        0
    )
)</f>
        <v>0</v>
      </c>
      <c r="S171" s="1" cm="1">
        <f t="array" ref="S171">IF(A171="", "",
    IFERROR(
        _xlfn.SWITCH(
            TRUE,
            AND(Q171="USD", $Q$2="USD"), M171,
            AND(Q171="USD", $Q$2="GBP"), M171*$Z$3,
            AND(Q171="USD", $Q$2="HKD"), M171*$Z$4,
            AND(Q171="USD", $Q$2="EUR"), M171*$Z$5,
            AND(Q171="GBP", $Q$2="GBP"), M171,
            AND(Q171="GBP", $Q$2="USD"), M171*$Z$6,
            AND(Q171="GBP", $Q$2="HKD"), M171*$Z$7,
            AND(Q171="GBP", $Q$2="HKD"), M171*$Z$8,
            AND(Q171="HKG", $Q$2="HKG"), M171,
            AND(Q171="HKD", $Q$2="USD"), M171*$Z$9,
            AND(Q171="HKD", $Q$2="GBP"), M171*$Z$10,
            AND(Q171="HKD", $Q$2="EUR"), M171*$Z$11,
            AND(Q171="EUR", $Q$2="EUR"), M171,
            AND(Q171="EUR", $Q$2="USD"), M171*$Z$12,
            AND(Q171="EUR", $Q$2="GBP"), M171*$Z$13,
            AND(Q171="EUR", $Q$2="HKD"), M171*$Z$14,
        ),
        0
    )
)</f>
        <v>4500</v>
      </c>
      <c r="T171" s="1" t="str">
        <f t="shared" si="17"/>
        <v>24</v>
      </c>
      <c r="U171" s="9" t="str">
        <f t="shared" si="18"/>
        <v>07</v>
      </c>
      <c r="V171" s="1" t="str">
        <f t="shared" si="19"/>
        <v>2023</v>
      </c>
      <c r="W171" s="18" t="str">
        <f t="shared" si="20"/>
        <v>星期一</v>
      </c>
    </row>
    <row r="172" spans="1:23">
      <c r="A172" s="1" t="s">
        <v>399</v>
      </c>
      <c r="B172" s="1" t="s">
        <v>348</v>
      </c>
      <c r="C172" s="9">
        <v>45134</v>
      </c>
      <c r="D172" s="1" t="e" vm="21">
        <v>#VALUE!</v>
      </c>
      <c r="E172" s="1" t="s">
        <v>403</v>
      </c>
      <c r="F172" s="1" t="s">
        <v>401</v>
      </c>
      <c r="H172" s="1" t="s">
        <v>347</v>
      </c>
      <c r="I172" s="1">
        <v>1</v>
      </c>
      <c r="J172" s="27">
        <v>425</v>
      </c>
      <c r="K172" s="1">
        <v>1.99</v>
      </c>
      <c r="M172" s="24">
        <f t="shared" si="14"/>
        <v>425</v>
      </c>
      <c r="N172" s="36">
        <f t="shared" si="15"/>
        <v>-425</v>
      </c>
      <c r="O172" s="34">
        <f>IF(ISBLANK(A172),"",SUMIFS(I$3:I172,D$3:D172,D172,H$3:H172,"Buy")+SUMIFS(I$3:I172,D$3:D172,D172,H$3:H172,"Cash Deposit")+SUMIFS(I$3:I172,D$3:D172,D172,H$3:H172,"Crypto Deposit")+SUMIFS(I$3:I172,D$3:D172,D172,H$3:H172,"Airdrop/Rewards")-SUMIFS(I$3:I172,D$3:D172,D172,H$3:H172,"Sell"))</f>
        <v>4</v>
      </c>
      <c r="P172" s="2" cm="1">
        <f t="array" ref="P172">IF(ISBLANK(A172),"",IFERROR(IF(OR(H172="Sell",F172="Stable Coin"),INDEX(_xlfn._xlws.FILTER(P$2:P171, D$2:D171=D172),COUNT(_xlfn._xlws.FILTER(P$2:P171, D$2:D171=D172))),(INDEX(_xlfn._xlws.FILTER(P$2:P171, D$2:D171=D172),COUNT(_xlfn._xlws.FILTER(P$2:P171, D$2:D171=D172)))*INDEX(_xlfn._xlws.FILTER(O$2:O171, D$2:D171=D172),COUNT(_xlfn._xlws.FILTER(O$2:O171, D$2:D171=D172)))-N172) / O172), J172))</f>
        <v>325.58499999999998</v>
      </c>
      <c r="Q172" s="1" t="str">
        <f t="shared" si="16"/>
        <v>USD</v>
      </c>
      <c r="R172" s="1" cm="1">
        <f t="array" ref="R172">IF(A172="", "",
    IFERROR(
        _xlfn.SWITCH(
            TRUE,
            AND(Q172="USD", $Q$2="USD"), K172,
            AND(Q172="USD", $Q$2="GBP"), K172*$Z$3,
            AND(Q172="USD", $Q$2="HKD"), K172*$Z$4,
            AND(Q172="USD", $Q$2="EUR"), K172*$Z$5,
            AND(Q172="GBP", $Q$2="GBP"), K172,
            AND(Q172="GBP", $Q$2="USD"), K172*$Z$6,
            AND(Q172="GBP", $Q$2="HKD"), K172*$Z$7,
            AND(Q172="HKG", $Q$2="HKG"), K172,
            AND(Q172="HKD", $Q$2="USD"), K172*$Z$9,
            AND(Q172="HKD", $Q$2="GBP"), K172*$Z$10,
            AND(Q172="HKD", $Q$2="EUR"), K172*$Z$11,
            AND(Q172="EUR", $Q$2="EUR"), K172,
            AND(Q172="EUR", $Q$2="USD"), K172*$Z$12,
            AND(Q172="EUR", $Q$2="GBP"), K172*$Z$13,
            AND(Q172="EUR", $Q$2="HKD"), K172*$Z$14,
        ),
        0
    )
)</f>
        <v>1.99</v>
      </c>
      <c r="S172" s="1" cm="1">
        <f t="array" ref="S172">IF(A172="", "",
    IFERROR(
        _xlfn.SWITCH(
            TRUE,
            AND(Q172="USD", $Q$2="USD"), M172,
            AND(Q172="USD", $Q$2="GBP"), M172*$Z$3,
            AND(Q172="USD", $Q$2="HKD"), M172*$Z$4,
            AND(Q172="USD", $Q$2="EUR"), M172*$Z$5,
            AND(Q172="GBP", $Q$2="GBP"), M172,
            AND(Q172="GBP", $Q$2="USD"), M172*$Z$6,
            AND(Q172="GBP", $Q$2="HKD"), M172*$Z$7,
            AND(Q172="GBP", $Q$2="HKD"), M172*$Z$8,
            AND(Q172="HKG", $Q$2="HKG"), M172,
            AND(Q172="HKD", $Q$2="USD"), M172*$Z$9,
            AND(Q172="HKD", $Q$2="GBP"), M172*$Z$10,
            AND(Q172="HKD", $Q$2="EUR"), M172*$Z$11,
            AND(Q172="EUR", $Q$2="EUR"), M172,
            AND(Q172="EUR", $Q$2="USD"), M172*$Z$12,
            AND(Q172="EUR", $Q$2="GBP"), M172*$Z$13,
            AND(Q172="EUR", $Q$2="HKD"), M172*$Z$14,
        ),
        0
    )
)</f>
        <v>425</v>
      </c>
      <c r="T172" s="1" t="str">
        <f t="shared" si="17"/>
        <v>27</v>
      </c>
      <c r="U172" s="9" t="str">
        <f t="shared" si="18"/>
        <v>07</v>
      </c>
      <c r="V172" s="1" t="str">
        <f t="shared" si="19"/>
        <v>2023</v>
      </c>
      <c r="W172" s="18" t="str">
        <f t="shared" si="20"/>
        <v>星期四</v>
      </c>
    </row>
    <row r="173" spans="1:23">
      <c r="A173" s="1" t="s">
        <v>399</v>
      </c>
      <c r="B173" s="1" t="s">
        <v>348</v>
      </c>
      <c r="C173" s="9">
        <v>45134</v>
      </c>
      <c r="D173" s="1" t="e" vm="20">
        <v>#VALUE!</v>
      </c>
      <c r="E173" s="1" t="s">
        <v>402</v>
      </c>
      <c r="F173" s="1" t="s">
        <v>401</v>
      </c>
      <c r="H173" s="1" t="s">
        <v>347</v>
      </c>
      <c r="I173" s="1">
        <v>23</v>
      </c>
      <c r="J173" s="27">
        <v>16.600000000000001</v>
      </c>
      <c r="K173" s="1">
        <v>2.06</v>
      </c>
      <c r="M173" s="24">
        <f t="shared" si="14"/>
        <v>381.8</v>
      </c>
      <c r="N173" s="36">
        <f t="shared" si="15"/>
        <v>-381.8</v>
      </c>
      <c r="O173" s="34">
        <f>IF(ISBLANK(A173),"",SUMIFS(I$3:I173,D$3:D173,D173,H$3:H173,"Buy")+SUMIFS(I$3:I173,D$3:D173,D173,H$3:H173,"Cash Deposit")+SUMIFS(I$3:I173,D$3:D173,D173,H$3:H173,"Crypto Deposit")+SUMIFS(I$3:I173,D$3:D173,D173,H$3:H173,"Airdrop/Rewards")-SUMIFS(I$3:I173,D$3:D173,D173,H$3:H173,"Sell"))</f>
        <v>148</v>
      </c>
      <c r="P173" s="2" cm="1">
        <f t="array" ref="P173">IF(ISBLANK(A173),"",IFERROR(IF(OR(H173="Sell",F173="Stable Coin"),INDEX(_xlfn._xlws.FILTER(P$2:P172, D$2:D172=D173),COUNT(_xlfn._xlws.FILTER(P$2:P172, D$2:D172=D173))),(INDEX(_xlfn._xlws.FILTER(P$2:P172, D$2:D172=D173),COUNT(_xlfn._xlws.FILTER(P$2:P172, D$2:D172=D173)))*INDEX(_xlfn._xlws.FILTER(O$2:O172, D$2:D172=D173),COUNT(_xlfn._xlws.FILTER(O$2:O172, D$2:D172=D173)))-N173) / O173), J173))</f>
        <v>10.440425675675675</v>
      </c>
      <c r="Q173" s="1" t="str">
        <f t="shared" si="16"/>
        <v>USD</v>
      </c>
      <c r="R173" s="1" cm="1">
        <f t="array" ref="R173">IF(A173="", "",
    IFERROR(
        _xlfn.SWITCH(
            TRUE,
            AND(Q173="USD", $Q$2="USD"), K173,
            AND(Q173="USD", $Q$2="GBP"), K173*$Z$3,
            AND(Q173="USD", $Q$2="HKD"), K173*$Z$4,
            AND(Q173="USD", $Q$2="EUR"), K173*$Z$5,
            AND(Q173="GBP", $Q$2="GBP"), K173,
            AND(Q173="GBP", $Q$2="USD"), K173*$Z$6,
            AND(Q173="GBP", $Q$2="HKD"), K173*$Z$7,
            AND(Q173="HKG", $Q$2="HKG"), K173,
            AND(Q173="HKD", $Q$2="USD"), K173*$Z$9,
            AND(Q173="HKD", $Q$2="GBP"), K173*$Z$10,
            AND(Q173="HKD", $Q$2="EUR"), K173*$Z$11,
            AND(Q173="EUR", $Q$2="EUR"), K173,
            AND(Q173="EUR", $Q$2="USD"), K173*$Z$12,
            AND(Q173="EUR", $Q$2="GBP"), K173*$Z$13,
            AND(Q173="EUR", $Q$2="HKD"), K173*$Z$14,
        ),
        0
    )
)</f>
        <v>2.06</v>
      </c>
      <c r="S173" s="1" cm="1">
        <f t="array" ref="S173">IF(A173="", "",
    IFERROR(
        _xlfn.SWITCH(
            TRUE,
            AND(Q173="USD", $Q$2="USD"), M173,
            AND(Q173="USD", $Q$2="GBP"), M173*$Z$3,
            AND(Q173="USD", $Q$2="HKD"), M173*$Z$4,
            AND(Q173="USD", $Q$2="EUR"), M173*$Z$5,
            AND(Q173="GBP", $Q$2="GBP"), M173,
            AND(Q173="GBP", $Q$2="USD"), M173*$Z$6,
            AND(Q173="GBP", $Q$2="HKD"), M173*$Z$7,
            AND(Q173="GBP", $Q$2="HKD"), M173*$Z$8,
            AND(Q173="HKG", $Q$2="HKG"), M173,
            AND(Q173="HKD", $Q$2="USD"), M173*$Z$9,
            AND(Q173="HKD", $Q$2="GBP"), M173*$Z$10,
            AND(Q173="HKD", $Q$2="EUR"), M173*$Z$11,
            AND(Q173="EUR", $Q$2="EUR"), M173,
            AND(Q173="EUR", $Q$2="USD"), M173*$Z$12,
            AND(Q173="EUR", $Q$2="GBP"), M173*$Z$13,
            AND(Q173="EUR", $Q$2="HKD"), M173*$Z$14,
        ),
        0
    )
)</f>
        <v>381.8</v>
      </c>
      <c r="T173" s="1" t="str">
        <f t="shared" si="17"/>
        <v>27</v>
      </c>
      <c r="U173" s="9" t="str">
        <f t="shared" si="18"/>
        <v>07</v>
      </c>
      <c r="V173" s="1" t="str">
        <f t="shared" si="19"/>
        <v>2023</v>
      </c>
      <c r="W173" s="18" t="str">
        <f t="shared" si="20"/>
        <v>星期四</v>
      </c>
    </row>
    <row r="174" spans="1:23">
      <c r="A174" s="1" t="s">
        <v>399</v>
      </c>
      <c r="B174" s="1" t="s">
        <v>348</v>
      </c>
      <c r="C174" s="9">
        <v>45134</v>
      </c>
      <c r="D174" s="1" t="e" vm="17">
        <v>#VALUE!</v>
      </c>
      <c r="E174" s="1" t="s">
        <v>32</v>
      </c>
      <c r="F174" s="1" t="s">
        <v>401</v>
      </c>
      <c r="H174" s="1" t="s">
        <v>347</v>
      </c>
      <c r="I174" s="1">
        <v>5</v>
      </c>
      <c r="J174" s="27">
        <v>96.6</v>
      </c>
      <c r="K174" s="1">
        <v>2.0099999999999998</v>
      </c>
      <c r="M174" s="24">
        <f t="shared" si="14"/>
        <v>483</v>
      </c>
      <c r="N174" s="36">
        <f t="shared" si="15"/>
        <v>-483</v>
      </c>
      <c r="O174" s="34">
        <f>IF(ISBLANK(A174),"",SUMIFS(I$3:I174,D$3:D174,D174,H$3:H174,"Buy")+SUMIFS(I$3:I174,D$3:D174,D174,H$3:H174,"Cash Deposit")+SUMIFS(I$3:I174,D$3:D174,D174,H$3:H174,"Crypto Deposit")+SUMIFS(I$3:I174,D$3:D174,D174,H$3:H174,"Airdrop/Rewards")-SUMIFS(I$3:I174,D$3:D174,D174,H$3:H174,"Sell"))</f>
        <v>68</v>
      </c>
      <c r="P174" s="2" cm="1">
        <f t="array" ref="P174">IF(ISBLANK(A174),"",IFERROR(IF(OR(H174="Sell",F174="Stable Coin"),INDEX(_xlfn._xlws.FILTER(P$2:P173, D$2:D173=D174),COUNT(_xlfn._xlws.FILTER(P$2:P173, D$2:D173=D174))),(INDEX(_xlfn._xlws.FILTER(P$2:P173, D$2:D173=D174),COUNT(_xlfn._xlws.FILTER(P$2:P173, D$2:D173=D174)))*INDEX(_xlfn._xlws.FILTER(O$2:O173, D$2:D173=D174),COUNT(_xlfn._xlws.FILTER(O$2:O173, D$2:D173=D174)))-N174) / O174), J174))</f>
        <v>62.922163476733978</v>
      </c>
      <c r="Q174" s="1" t="str">
        <f t="shared" si="16"/>
        <v>USD</v>
      </c>
      <c r="R174" s="1" cm="1">
        <f t="array" ref="R174">IF(A174="", "",
    IFERROR(
        _xlfn.SWITCH(
            TRUE,
            AND(Q174="USD", $Q$2="USD"), K174,
            AND(Q174="USD", $Q$2="GBP"), K174*$Z$3,
            AND(Q174="USD", $Q$2="HKD"), K174*$Z$4,
            AND(Q174="USD", $Q$2="EUR"), K174*$Z$5,
            AND(Q174="GBP", $Q$2="GBP"), K174,
            AND(Q174="GBP", $Q$2="USD"), K174*$Z$6,
            AND(Q174="GBP", $Q$2="HKD"), K174*$Z$7,
            AND(Q174="HKG", $Q$2="HKG"), K174,
            AND(Q174="HKD", $Q$2="USD"), K174*$Z$9,
            AND(Q174="HKD", $Q$2="GBP"), K174*$Z$10,
            AND(Q174="HKD", $Q$2="EUR"), K174*$Z$11,
            AND(Q174="EUR", $Q$2="EUR"), K174,
            AND(Q174="EUR", $Q$2="USD"), K174*$Z$12,
            AND(Q174="EUR", $Q$2="GBP"), K174*$Z$13,
            AND(Q174="EUR", $Q$2="HKD"), K174*$Z$14,
        ),
        0
    )
)</f>
        <v>2.0099999999999998</v>
      </c>
      <c r="S174" s="1" cm="1">
        <f t="array" ref="S174">IF(A174="", "",
    IFERROR(
        _xlfn.SWITCH(
            TRUE,
            AND(Q174="USD", $Q$2="USD"), M174,
            AND(Q174="USD", $Q$2="GBP"), M174*$Z$3,
            AND(Q174="USD", $Q$2="HKD"), M174*$Z$4,
            AND(Q174="USD", $Q$2="EUR"), M174*$Z$5,
            AND(Q174="GBP", $Q$2="GBP"), M174,
            AND(Q174="GBP", $Q$2="USD"), M174*$Z$6,
            AND(Q174="GBP", $Q$2="HKD"), M174*$Z$7,
            AND(Q174="GBP", $Q$2="HKD"), M174*$Z$8,
            AND(Q174="HKG", $Q$2="HKG"), M174,
            AND(Q174="HKD", $Q$2="USD"), M174*$Z$9,
            AND(Q174="HKD", $Q$2="GBP"), M174*$Z$10,
            AND(Q174="HKD", $Q$2="EUR"), M174*$Z$11,
            AND(Q174="EUR", $Q$2="EUR"), M174,
            AND(Q174="EUR", $Q$2="USD"), M174*$Z$12,
            AND(Q174="EUR", $Q$2="GBP"), M174*$Z$13,
            AND(Q174="EUR", $Q$2="HKD"), M174*$Z$14,
        ),
        0
    )
)</f>
        <v>483</v>
      </c>
      <c r="T174" s="1" t="str">
        <f t="shared" si="17"/>
        <v>27</v>
      </c>
      <c r="U174" s="9" t="str">
        <f t="shared" si="18"/>
        <v>07</v>
      </c>
      <c r="V174" s="1" t="str">
        <f t="shared" si="19"/>
        <v>2023</v>
      </c>
      <c r="W174" s="18" t="str">
        <f t="shared" si="20"/>
        <v>星期四</v>
      </c>
    </row>
    <row r="175" spans="1:23">
      <c r="A175" s="1" t="s">
        <v>399</v>
      </c>
      <c r="B175" s="1" t="s">
        <v>348</v>
      </c>
      <c r="C175" s="9">
        <v>45140</v>
      </c>
      <c r="D175" s="1" t="e" vm="15">
        <v>#VALUE!</v>
      </c>
      <c r="E175" s="1" t="s">
        <v>410</v>
      </c>
      <c r="F175" s="1" t="s">
        <v>411</v>
      </c>
      <c r="H175" s="1" t="s">
        <v>414</v>
      </c>
      <c r="I175" s="1">
        <v>1</v>
      </c>
      <c r="J175" s="27">
        <v>12.58</v>
      </c>
      <c r="K175" s="1">
        <v>3.77</v>
      </c>
      <c r="M175" s="24">
        <f t="shared" si="14"/>
        <v>12.58</v>
      </c>
      <c r="N175" s="36">
        <f t="shared" si="15"/>
        <v>0</v>
      </c>
      <c r="O175" s="34">
        <f>IF(ISBLANK(A175),"",SUMIFS(I$3:I175,D$3:D175,D175,H$3:H175,"Buy")+SUMIFS(I$3:I175,D$3:D175,D175,H$3:H175,"Cash Deposit")+SUMIFS(I$3:I175,D$3:D175,D175,H$3:H175,"Crypto Deposit")+SUMIFS(I$3:I175,D$3:D175,D175,H$3:H175,"Airdrop/Rewards")-SUMIFS(I$3:I175,D$3:D175,D175,H$3:H175,"Sell"))</f>
        <v>70</v>
      </c>
      <c r="P175" s="2" cm="1">
        <f t="array" ref="P175">IF(ISBLANK(A175),"",IFERROR(IF(OR(H175="Sell",F175="Stable Coin"),INDEX(_xlfn._xlws.FILTER(P$2:P174, D$2:D174=D175),COUNT(_xlfn._xlws.FILTER(P$2:P174, D$2:D174=D175))),(INDEX(_xlfn._xlws.FILTER(P$2:P174, D$2:D174=D175),COUNT(_xlfn._xlws.FILTER(P$2:P174, D$2:D174=D175)))*INDEX(_xlfn._xlws.FILTER(O$2:O174, D$2:D174=D175),COUNT(_xlfn._xlws.FILTER(O$2:O174, D$2:D174=D175)))-N175) / O175), J175))</f>
        <v>16.775714285714287</v>
      </c>
      <c r="Q175" s="1" t="str">
        <f t="shared" si="16"/>
        <v>USD</v>
      </c>
      <c r="R175" s="1" cm="1">
        <f t="array" ref="R175">IF(A175="", "",
    IFERROR(
        _xlfn.SWITCH(
            TRUE,
            AND(Q175="USD", $Q$2="USD"), K175,
            AND(Q175="USD", $Q$2="GBP"), K175*$Z$3,
            AND(Q175="USD", $Q$2="HKD"), K175*$Z$4,
            AND(Q175="USD", $Q$2="EUR"), K175*$Z$5,
            AND(Q175="GBP", $Q$2="GBP"), K175,
            AND(Q175="GBP", $Q$2="USD"), K175*$Z$6,
            AND(Q175="GBP", $Q$2="HKD"), K175*$Z$7,
            AND(Q175="HKG", $Q$2="HKG"), K175,
            AND(Q175="HKD", $Q$2="USD"), K175*$Z$9,
            AND(Q175="HKD", $Q$2="GBP"), K175*$Z$10,
            AND(Q175="HKD", $Q$2="EUR"), K175*$Z$11,
            AND(Q175="EUR", $Q$2="EUR"), K175,
            AND(Q175="EUR", $Q$2="USD"), K175*$Z$12,
            AND(Q175="EUR", $Q$2="GBP"), K175*$Z$13,
            AND(Q175="EUR", $Q$2="HKD"), K175*$Z$14,
        ),
        0
    )
)</f>
        <v>3.77</v>
      </c>
      <c r="S175" s="1" cm="1">
        <f t="array" ref="S175">IF(A175="", "",
    IFERROR(
        _xlfn.SWITCH(
            TRUE,
            AND(Q175="USD", $Q$2="USD"), M175,
            AND(Q175="USD", $Q$2="GBP"), M175*$Z$3,
            AND(Q175="USD", $Q$2="HKD"), M175*$Z$4,
            AND(Q175="USD", $Q$2="EUR"), M175*$Z$5,
            AND(Q175="GBP", $Q$2="GBP"), M175,
            AND(Q175="GBP", $Q$2="USD"), M175*$Z$6,
            AND(Q175="GBP", $Q$2="HKD"), M175*$Z$7,
            AND(Q175="GBP", $Q$2="HKD"), M175*$Z$8,
            AND(Q175="HKG", $Q$2="HKG"), M175,
            AND(Q175="HKD", $Q$2="USD"), M175*$Z$9,
            AND(Q175="HKD", $Q$2="GBP"), M175*$Z$10,
            AND(Q175="HKD", $Q$2="EUR"), M175*$Z$11,
            AND(Q175="EUR", $Q$2="EUR"), M175,
            AND(Q175="EUR", $Q$2="USD"), M175*$Z$12,
            AND(Q175="EUR", $Q$2="GBP"), M175*$Z$13,
            AND(Q175="EUR", $Q$2="HKD"), M175*$Z$14,
        ),
        0
    )
)</f>
        <v>12.58</v>
      </c>
      <c r="T175" s="1" t="str">
        <f t="shared" si="17"/>
        <v>2</v>
      </c>
      <c r="U175" s="9" t="str">
        <f t="shared" si="18"/>
        <v>08</v>
      </c>
      <c r="V175" s="1" t="str">
        <f t="shared" si="19"/>
        <v>2023</v>
      </c>
      <c r="W175" s="18" t="str">
        <f t="shared" si="20"/>
        <v>星期三</v>
      </c>
    </row>
    <row r="176" spans="1:23">
      <c r="A176" s="1" t="s">
        <v>399</v>
      </c>
      <c r="B176" s="1" t="s">
        <v>348</v>
      </c>
      <c r="C176" s="9">
        <v>45141</v>
      </c>
      <c r="D176" s="1" t="e" vm="17">
        <v>#VALUE!</v>
      </c>
      <c r="E176" s="1" t="s">
        <v>32</v>
      </c>
      <c r="F176" s="1" t="s">
        <v>401</v>
      </c>
      <c r="H176" s="1" t="s">
        <v>347</v>
      </c>
      <c r="I176" s="1">
        <v>4</v>
      </c>
      <c r="J176" s="27">
        <v>92.6</v>
      </c>
      <c r="K176" s="1">
        <v>2</v>
      </c>
      <c r="M176" s="24">
        <f t="shared" si="14"/>
        <v>370.4</v>
      </c>
      <c r="N176" s="36">
        <f t="shared" si="15"/>
        <v>-370.4</v>
      </c>
      <c r="O176" s="34">
        <f>IF(ISBLANK(A176),"",SUMIFS(I$3:I176,D$3:D176,D176,H$3:H176,"Buy")+SUMIFS(I$3:I176,D$3:D176,D176,H$3:H176,"Cash Deposit")+SUMIFS(I$3:I176,D$3:D176,D176,H$3:H176,"Crypto Deposit")+SUMIFS(I$3:I176,D$3:D176,D176,H$3:H176,"Airdrop/Rewards")-SUMIFS(I$3:I176,D$3:D176,D176,H$3:H176,"Sell"))</f>
        <v>72</v>
      </c>
      <c r="P176" s="2" cm="1">
        <f t="array" ref="P176">IF(ISBLANK(A176),"",IFERROR(IF(OR(H176="Sell",F176="Stable Coin"),INDEX(_xlfn._xlws.FILTER(P$2:P175, D$2:D175=D176),COUNT(_xlfn._xlws.FILTER(P$2:P175, D$2:D175=D176))),(INDEX(_xlfn._xlws.FILTER(P$2:P175, D$2:D175=D176),COUNT(_xlfn._xlws.FILTER(P$2:P175, D$2:D175=D176)))*INDEX(_xlfn._xlws.FILTER(O$2:O175, D$2:D175=D176),COUNT(_xlfn._xlws.FILTER(O$2:O175, D$2:D175=D176)))-N176) / O176), J176))</f>
        <v>64.570932172470975</v>
      </c>
      <c r="Q176" s="1" t="str">
        <f t="shared" si="16"/>
        <v>USD</v>
      </c>
      <c r="R176" s="1" cm="1">
        <f t="array" ref="R176">IF(A176="", "",
    IFERROR(
        _xlfn.SWITCH(
            TRUE,
            AND(Q176="USD", $Q$2="USD"), K176,
            AND(Q176="USD", $Q$2="GBP"), K176*$Z$3,
            AND(Q176="USD", $Q$2="HKD"), K176*$Z$4,
            AND(Q176="USD", $Q$2="EUR"), K176*$Z$5,
            AND(Q176="GBP", $Q$2="GBP"), K176,
            AND(Q176="GBP", $Q$2="USD"), K176*$Z$6,
            AND(Q176="GBP", $Q$2="HKD"), K176*$Z$7,
            AND(Q176="HKG", $Q$2="HKG"), K176,
            AND(Q176="HKD", $Q$2="USD"), K176*$Z$9,
            AND(Q176="HKD", $Q$2="GBP"), K176*$Z$10,
            AND(Q176="HKD", $Q$2="EUR"), K176*$Z$11,
            AND(Q176="EUR", $Q$2="EUR"), K176,
            AND(Q176="EUR", $Q$2="USD"), K176*$Z$12,
            AND(Q176="EUR", $Q$2="GBP"), K176*$Z$13,
            AND(Q176="EUR", $Q$2="HKD"), K176*$Z$14,
        ),
        0
    )
)</f>
        <v>2</v>
      </c>
      <c r="S176" s="1" cm="1">
        <f t="array" ref="S176">IF(A176="", "",
    IFERROR(
        _xlfn.SWITCH(
            TRUE,
            AND(Q176="USD", $Q$2="USD"), M176,
            AND(Q176="USD", $Q$2="GBP"), M176*$Z$3,
            AND(Q176="USD", $Q$2="HKD"), M176*$Z$4,
            AND(Q176="USD", $Q$2="EUR"), M176*$Z$5,
            AND(Q176="GBP", $Q$2="GBP"), M176,
            AND(Q176="GBP", $Q$2="USD"), M176*$Z$6,
            AND(Q176="GBP", $Q$2="HKD"), M176*$Z$7,
            AND(Q176="GBP", $Q$2="HKD"), M176*$Z$8,
            AND(Q176="HKG", $Q$2="HKG"), M176,
            AND(Q176="HKD", $Q$2="USD"), M176*$Z$9,
            AND(Q176="HKD", $Q$2="GBP"), M176*$Z$10,
            AND(Q176="HKD", $Q$2="EUR"), M176*$Z$11,
            AND(Q176="EUR", $Q$2="EUR"), M176,
            AND(Q176="EUR", $Q$2="USD"), M176*$Z$12,
            AND(Q176="EUR", $Q$2="GBP"), M176*$Z$13,
            AND(Q176="EUR", $Q$2="HKD"), M176*$Z$14,
        ),
        0
    )
)</f>
        <v>370.4</v>
      </c>
      <c r="T176" s="1" t="str">
        <f t="shared" si="17"/>
        <v>3</v>
      </c>
      <c r="U176" s="9" t="str">
        <f t="shared" si="18"/>
        <v>08</v>
      </c>
      <c r="V176" s="1" t="str">
        <f t="shared" si="19"/>
        <v>2023</v>
      </c>
      <c r="W176" s="18" t="str">
        <f t="shared" si="20"/>
        <v>星期四</v>
      </c>
    </row>
    <row r="177" spans="1:23">
      <c r="A177" s="1" t="s">
        <v>399</v>
      </c>
      <c r="B177" s="1" t="s">
        <v>348</v>
      </c>
      <c r="C177" s="9">
        <v>45142</v>
      </c>
      <c r="D177" s="1" t="e" vm="18">
        <v>#VALUE!</v>
      </c>
      <c r="E177" s="1" t="s">
        <v>400</v>
      </c>
      <c r="F177" s="1" t="s">
        <v>401</v>
      </c>
      <c r="H177" s="1" t="s">
        <v>347</v>
      </c>
      <c r="I177" s="1">
        <v>4</v>
      </c>
      <c r="J177" s="27">
        <v>64.5</v>
      </c>
      <c r="K177" s="1">
        <v>2</v>
      </c>
      <c r="M177" s="24">
        <f t="shared" si="14"/>
        <v>258</v>
      </c>
      <c r="N177" s="36">
        <f t="shared" si="15"/>
        <v>-258</v>
      </c>
      <c r="O177" s="34">
        <f>IF(ISBLANK(A177),"",SUMIFS(I$3:I177,D$3:D177,D177,H$3:H177,"Buy")+SUMIFS(I$3:I177,D$3:D177,D177,H$3:H177,"Cash Deposit")+SUMIFS(I$3:I177,D$3:D177,D177,H$3:H177,"Crypto Deposit")+SUMIFS(I$3:I177,D$3:D177,D177,H$3:H177,"Airdrop/Rewards")-SUMIFS(I$3:I177,D$3:D177,D177,H$3:H177,"Sell"))</f>
        <v>15</v>
      </c>
      <c r="P177" s="2" cm="1">
        <f t="array" ref="P177">IF(ISBLANK(A177),"",IFERROR(IF(OR(H177="Sell",F177="Stable Coin"),INDEX(_xlfn._xlws.FILTER(P$2:P176, D$2:D176=D177),COUNT(_xlfn._xlws.FILTER(P$2:P176, D$2:D176=D177))),(INDEX(_xlfn._xlws.FILTER(P$2:P176, D$2:D176=D177),COUNT(_xlfn._xlws.FILTER(P$2:P176, D$2:D176=D177)))*INDEX(_xlfn._xlws.FILTER(O$2:O176, D$2:D176=D177),COUNT(_xlfn._xlws.FILTER(O$2:O176, D$2:D176=D177)))-N177) / O177), J177))</f>
        <v>67.937333333333328</v>
      </c>
      <c r="Q177" s="1" t="str">
        <f t="shared" si="16"/>
        <v>USD</v>
      </c>
      <c r="R177" s="1" cm="1">
        <f t="array" ref="R177">IF(A177="", "",
    IFERROR(
        _xlfn.SWITCH(
            TRUE,
            AND(Q177="USD", $Q$2="USD"), K177,
            AND(Q177="USD", $Q$2="GBP"), K177*$Z$3,
            AND(Q177="USD", $Q$2="HKD"), K177*$Z$4,
            AND(Q177="USD", $Q$2="EUR"), K177*$Z$5,
            AND(Q177="GBP", $Q$2="GBP"), K177,
            AND(Q177="GBP", $Q$2="USD"), K177*$Z$6,
            AND(Q177="GBP", $Q$2="HKD"), K177*$Z$7,
            AND(Q177="HKG", $Q$2="HKG"), K177,
            AND(Q177="HKD", $Q$2="USD"), K177*$Z$9,
            AND(Q177="HKD", $Q$2="GBP"), K177*$Z$10,
            AND(Q177="HKD", $Q$2="EUR"), K177*$Z$11,
            AND(Q177="EUR", $Q$2="EUR"), K177,
            AND(Q177="EUR", $Q$2="USD"), K177*$Z$12,
            AND(Q177="EUR", $Q$2="GBP"), K177*$Z$13,
            AND(Q177="EUR", $Q$2="HKD"), K177*$Z$14,
        ),
        0
    )
)</f>
        <v>2</v>
      </c>
      <c r="S177" s="1" cm="1">
        <f t="array" ref="S177">IF(A177="", "",
    IFERROR(
        _xlfn.SWITCH(
            TRUE,
            AND(Q177="USD", $Q$2="USD"), M177,
            AND(Q177="USD", $Q$2="GBP"), M177*$Z$3,
            AND(Q177="USD", $Q$2="HKD"), M177*$Z$4,
            AND(Q177="USD", $Q$2="EUR"), M177*$Z$5,
            AND(Q177="GBP", $Q$2="GBP"), M177,
            AND(Q177="GBP", $Q$2="USD"), M177*$Z$6,
            AND(Q177="GBP", $Q$2="HKD"), M177*$Z$7,
            AND(Q177="GBP", $Q$2="HKD"), M177*$Z$8,
            AND(Q177="HKG", $Q$2="HKG"), M177,
            AND(Q177="HKD", $Q$2="USD"), M177*$Z$9,
            AND(Q177="HKD", $Q$2="GBP"), M177*$Z$10,
            AND(Q177="HKD", $Q$2="EUR"), M177*$Z$11,
            AND(Q177="EUR", $Q$2="EUR"), M177,
            AND(Q177="EUR", $Q$2="USD"), M177*$Z$12,
            AND(Q177="EUR", $Q$2="GBP"), M177*$Z$13,
            AND(Q177="EUR", $Q$2="HKD"), M177*$Z$14,
        ),
        0
    )
)</f>
        <v>258</v>
      </c>
      <c r="T177" s="1" t="str">
        <f t="shared" si="17"/>
        <v>4</v>
      </c>
      <c r="U177" s="9" t="str">
        <f t="shared" si="18"/>
        <v>08</v>
      </c>
      <c r="V177" s="1" t="str">
        <f t="shared" si="19"/>
        <v>2023</v>
      </c>
      <c r="W177" s="18" t="str">
        <f t="shared" si="20"/>
        <v>星期五</v>
      </c>
    </row>
    <row r="178" spans="1:23">
      <c r="A178" s="1" t="s">
        <v>399</v>
      </c>
      <c r="B178" s="1" t="s">
        <v>348</v>
      </c>
      <c r="C178" s="9">
        <v>45145</v>
      </c>
      <c r="D178" s="1" t="e" vm="20">
        <v>#VALUE!</v>
      </c>
      <c r="E178" s="1" t="s">
        <v>402</v>
      </c>
      <c r="F178" s="1" t="s">
        <v>401</v>
      </c>
      <c r="H178" s="1" t="s">
        <v>347</v>
      </c>
      <c r="I178" s="1">
        <v>12</v>
      </c>
      <c r="J178" s="27">
        <v>14.379899999999999</v>
      </c>
      <c r="K178" s="1">
        <v>2.0299999999999998</v>
      </c>
      <c r="M178" s="24">
        <f t="shared" si="14"/>
        <v>172.55879999999999</v>
      </c>
      <c r="N178" s="36">
        <f t="shared" si="15"/>
        <v>-172.55879999999999</v>
      </c>
      <c r="O178" s="34">
        <f>IF(ISBLANK(A178),"",SUMIFS(I$3:I178,D$3:D178,D178,H$3:H178,"Buy")+SUMIFS(I$3:I178,D$3:D178,D178,H$3:H178,"Cash Deposit")+SUMIFS(I$3:I178,D$3:D178,D178,H$3:H178,"Crypto Deposit")+SUMIFS(I$3:I178,D$3:D178,D178,H$3:H178,"Airdrop/Rewards")-SUMIFS(I$3:I178,D$3:D178,D178,H$3:H178,"Sell"))</f>
        <v>160</v>
      </c>
      <c r="P178" s="2" cm="1">
        <f t="array" ref="P178">IF(ISBLANK(A178),"",IFERROR(IF(OR(H178="Sell",F178="Stable Coin"),INDEX(_xlfn._xlws.FILTER(P$2:P177, D$2:D177=D178),COUNT(_xlfn._xlws.FILTER(P$2:P177, D$2:D177=D178))),(INDEX(_xlfn._xlws.FILTER(P$2:P177, D$2:D177=D178),COUNT(_xlfn._xlws.FILTER(P$2:P177, D$2:D177=D178)))*INDEX(_xlfn._xlws.FILTER(O$2:O177, D$2:D177=D178),COUNT(_xlfn._xlws.FILTER(O$2:O177, D$2:D177=D178)))-N178) / O178), J178))</f>
        <v>10.735886249999998</v>
      </c>
      <c r="Q178" s="1" t="str">
        <f t="shared" si="16"/>
        <v>USD</v>
      </c>
      <c r="R178" s="1" cm="1">
        <f t="array" ref="R178">IF(A178="", "",
    IFERROR(
        _xlfn.SWITCH(
            TRUE,
            AND(Q178="USD", $Q$2="USD"), K178,
            AND(Q178="USD", $Q$2="GBP"), K178*$Z$3,
            AND(Q178="USD", $Q$2="HKD"), K178*$Z$4,
            AND(Q178="USD", $Q$2="EUR"), K178*$Z$5,
            AND(Q178="GBP", $Q$2="GBP"), K178,
            AND(Q178="GBP", $Q$2="USD"), K178*$Z$6,
            AND(Q178="GBP", $Q$2="HKD"), K178*$Z$7,
            AND(Q178="HKG", $Q$2="HKG"), K178,
            AND(Q178="HKD", $Q$2="USD"), K178*$Z$9,
            AND(Q178="HKD", $Q$2="GBP"), K178*$Z$10,
            AND(Q178="HKD", $Q$2="EUR"), K178*$Z$11,
            AND(Q178="EUR", $Q$2="EUR"), K178,
            AND(Q178="EUR", $Q$2="USD"), K178*$Z$12,
            AND(Q178="EUR", $Q$2="GBP"), K178*$Z$13,
            AND(Q178="EUR", $Q$2="HKD"), K178*$Z$14,
        ),
        0
    )
)</f>
        <v>2.0299999999999998</v>
      </c>
      <c r="S178" s="1" cm="1">
        <f t="array" ref="S178">IF(A178="", "",
    IFERROR(
        _xlfn.SWITCH(
            TRUE,
            AND(Q178="USD", $Q$2="USD"), M178,
            AND(Q178="USD", $Q$2="GBP"), M178*$Z$3,
            AND(Q178="USD", $Q$2="HKD"), M178*$Z$4,
            AND(Q178="USD", $Q$2="EUR"), M178*$Z$5,
            AND(Q178="GBP", $Q$2="GBP"), M178,
            AND(Q178="GBP", $Q$2="USD"), M178*$Z$6,
            AND(Q178="GBP", $Q$2="HKD"), M178*$Z$7,
            AND(Q178="GBP", $Q$2="HKD"), M178*$Z$8,
            AND(Q178="HKG", $Q$2="HKG"), M178,
            AND(Q178="HKD", $Q$2="USD"), M178*$Z$9,
            AND(Q178="HKD", $Q$2="GBP"), M178*$Z$10,
            AND(Q178="HKD", $Q$2="EUR"), M178*$Z$11,
            AND(Q178="EUR", $Q$2="EUR"), M178,
            AND(Q178="EUR", $Q$2="USD"), M178*$Z$12,
            AND(Q178="EUR", $Q$2="GBP"), M178*$Z$13,
            AND(Q178="EUR", $Q$2="HKD"), M178*$Z$14,
        ),
        0
    )
)</f>
        <v>172.55879999999999</v>
      </c>
      <c r="T178" s="1" t="str">
        <f t="shared" si="17"/>
        <v>7</v>
      </c>
      <c r="U178" s="9" t="str">
        <f t="shared" si="18"/>
        <v>08</v>
      </c>
      <c r="V178" s="1" t="str">
        <f t="shared" si="19"/>
        <v>2023</v>
      </c>
      <c r="W178" s="18" t="str">
        <f t="shared" si="20"/>
        <v>星期一</v>
      </c>
    </row>
    <row r="179" spans="1:23">
      <c r="A179" s="1" t="s">
        <v>399</v>
      </c>
      <c r="B179" s="1" t="s">
        <v>348</v>
      </c>
      <c r="C179" s="9">
        <v>45145</v>
      </c>
      <c r="D179" s="1" t="e" vm="21">
        <v>#VALUE!</v>
      </c>
      <c r="E179" s="1" t="s">
        <v>403</v>
      </c>
      <c r="F179" s="1" t="s">
        <v>401</v>
      </c>
      <c r="H179" s="1" t="s">
        <v>347</v>
      </c>
      <c r="I179" s="1">
        <v>1</v>
      </c>
      <c r="J179" s="27">
        <v>369</v>
      </c>
      <c r="K179" s="1">
        <v>1.99</v>
      </c>
      <c r="M179" s="24">
        <f t="shared" si="14"/>
        <v>369</v>
      </c>
      <c r="N179" s="36">
        <f t="shared" si="15"/>
        <v>-369</v>
      </c>
      <c r="O179" s="34">
        <f>IF(ISBLANK(A179),"",SUMIFS(I$3:I179,D$3:D179,D179,H$3:H179,"Buy")+SUMIFS(I$3:I179,D$3:D179,D179,H$3:H179,"Cash Deposit")+SUMIFS(I$3:I179,D$3:D179,D179,H$3:H179,"Crypto Deposit")+SUMIFS(I$3:I179,D$3:D179,D179,H$3:H179,"Airdrop/Rewards")-SUMIFS(I$3:I179,D$3:D179,D179,H$3:H179,"Sell"))</f>
        <v>5</v>
      </c>
      <c r="P179" s="2" cm="1">
        <f t="array" ref="P179">IF(ISBLANK(A179),"",IFERROR(IF(OR(H179="Sell",F179="Stable Coin"),INDEX(_xlfn._xlws.FILTER(P$2:P178, D$2:D178=D179),COUNT(_xlfn._xlws.FILTER(P$2:P178, D$2:D178=D179))),(INDEX(_xlfn._xlws.FILTER(P$2:P178, D$2:D178=D179),COUNT(_xlfn._xlws.FILTER(P$2:P178, D$2:D178=D179)))*INDEX(_xlfn._xlws.FILTER(O$2:O178, D$2:D178=D179),COUNT(_xlfn._xlws.FILTER(O$2:O178, D$2:D178=D179)))-N179) / O179), J179))</f>
        <v>334.26799999999997</v>
      </c>
      <c r="Q179" s="1" t="str">
        <f t="shared" si="16"/>
        <v>USD</v>
      </c>
      <c r="R179" s="1" cm="1">
        <f t="array" ref="R179">IF(A179="", "",
    IFERROR(
        _xlfn.SWITCH(
            TRUE,
            AND(Q179="USD", $Q$2="USD"), K179,
            AND(Q179="USD", $Q$2="GBP"), K179*$Z$3,
            AND(Q179="USD", $Q$2="HKD"), K179*$Z$4,
            AND(Q179="USD", $Q$2="EUR"), K179*$Z$5,
            AND(Q179="GBP", $Q$2="GBP"), K179,
            AND(Q179="GBP", $Q$2="USD"), K179*$Z$6,
            AND(Q179="GBP", $Q$2="HKD"), K179*$Z$7,
            AND(Q179="HKG", $Q$2="HKG"), K179,
            AND(Q179="HKD", $Q$2="USD"), K179*$Z$9,
            AND(Q179="HKD", $Q$2="GBP"), K179*$Z$10,
            AND(Q179="HKD", $Q$2="EUR"), K179*$Z$11,
            AND(Q179="EUR", $Q$2="EUR"), K179,
            AND(Q179="EUR", $Q$2="USD"), K179*$Z$12,
            AND(Q179="EUR", $Q$2="GBP"), K179*$Z$13,
            AND(Q179="EUR", $Q$2="HKD"), K179*$Z$14,
        ),
        0
    )
)</f>
        <v>1.99</v>
      </c>
      <c r="S179" s="1" cm="1">
        <f t="array" ref="S179">IF(A179="", "",
    IFERROR(
        _xlfn.SWITCH(
            TRUE,
            AND(Q179="USD", $Q$2="USD"), M179,
            AND(Q179="USD", $Q$2="GBP"), M179*$Z$3,
            AND(Q179="USD", $Q$2="HKD"), M179*$Z$4,
            AND(Q179="USD", $Q$2="EUR"), M179*$Z$5,
            AND(Q179="GBP", $Q$2="GBP"), M179,
            AND(Q179="GBP", $Q$2="USD"), M179*$Z$6,
            AND(Q179="GBP", $Q$2="HKD"), M179*$Z$7,
            AND(Q179="GBP", $Q$2="HKD"), M179*$Z$8,
            AND(Q179="HKG", $Q$2="HKG"), M179,
            AND(Q179="HKD", $Q$2="USD"), M179*$Z$9,
            AND(Q179="HKD", $Q$2="GBP"), M179*$Z$10,
            AND(Q179="HKD", $Q$2="EUR"), M179*$Z$11,
            AND(Q179="EUR", $Q$2="EUR"), M179,
            AND(Q179="EUR", $Q$2="USD"), M179*$Z$12,
            AND(Q179="EUR", $Q$2="GBP"), M179*$Z$13,
            AND(Q179="EUR", $Q$2="HKD"), M179*$Z$14,
        ),
        0
    )
)</f>
        <v>369</v>
      </c>
      <c r="T179" s="1" t="str">
        <f t="shared" si="17"/>
        <v>7</v>
      </c>
      <c r="U179" s="9" t="str">
        <f t="shared" si="18"/>
        <v>08</v>
      </c>
      <c r="V179" s="1" t="str">
        <f t="shared" si="19"/>
        <v>2023</v>
      </c>
      <c r="W179" s="18" t="str">
        <f t="shared" si="20"/>
        <v>星期一</v>
      </c>
    </row>
    <row r="180" spans="1:23">
      <c r="A180" s="1" t="s">
        <v>399</v>
      </c>
      <c r="B180" s="1" t="s">
        <v>348</v>
      </c>
      <c r="C180" s="9">
        <v>45149</v>
      </c>
      <c r="D180" s="1" t="e" vm="17">
        <v>#VALUE!</v>
      </c>
      <c r="E180" s="1" t="s">
        <v>32</v>
      </c>
      <c r="F180" s="1" t="s">
        <v>401</v>
      </c>
      <c r="H180" s="1" t="s">
        <v>347</v>
      </c>
      <c r="I180" s="1">
        <v>3</v>
      </c>
      <c r="J180" s="27">
        <v>80.8</v>
      </c>
      <c r="K180" s="1">
        <v>2</v>
      </c>
      <c r="M180" s="24">
        <f t="shared" si="14"/>
        <v>242.39999999999998</v>
      </c>
      <c r="N180" s="36">
        <f t="shared" si="15"/>
        <v>-242.39999999999998</v>
      </c>
      <c r="O180" s="34">
        <f>IF(ISBLANK(A180),"",SUMIFS(I$3:I180,D$3:D180,D180,H$3:H180,"Buy")+SUMIFS(I$3:I180,D$3:D180,D180,H$3:H180,"Cash Deposit")+SUMIFS(I$3:I180,D$3:D180,D180,H$3:H180,"Crypto Deposit")+SUMIFS(I$3:I180,D$3:D180,D180,H$3:H180,"Airdrop/Rewards")-SUMIFS(I$3:I180,D$3:D180,D180,H$3:H180,"Sell"))</f>
        <v>75</v>
      </c>
      <c r="P180" s="2" cm="1">
        <f t="array" ref="P180">IF(ISBLANK(A180),"",IFERROR(IF(OR(H180="Sell",F180="Stable Coin"),INDEX(_xlfn._xlws.FILTER(P$2:P179, D$2:D179=D180),COUNT(_xlfn._xlws.FILTER(P$2:P179, D$2:D179=D180))),(INDEX(_xlfn._xlws.FILTER(P$2:P179, D$2:D179=D180),COUNT(_xlfn._xlws.FILTER(P$2:P179, D$2:D179=D180)))*INDEX(_xlfn._xlws.FILTER(O$2:O179, D$2:D179=D180),COUNT(_xlfn._xlws.FILTER(O$2:O179, D$2:D179=D180)))-N180) / O180), J180))</f>
        <v>65.220094885572138</v>
      </c>
      <c r="Q180" s="1" t="str">
        <f t="shared" si="16"/>
        <v>USD</v>
      </c>
      <c r="R180" s="1" cm="1">
        <f t="array" ref="R180">IF(A180="", "",
    IFERROR(
        _xlfn.SWITCH(
            TRUE,
            AND(Q180="USD", $Q$2="USD"), K180,
            AND(Q180="USD", $Q$2="GBP"), K180*$Z$3,
            AND(Q180="USD", $Q$2="HKD"), K180*$Z$4,
            AND(Q180="USD", $Q$2="EUR"), K180*$Z$5,
            AND(Q180="GBP", $Q$2="GBP"), K180,
            AND(Q180="GBP", $Q$2="USD"), K180*$Z$6,
            AND(Q180="GBP", $Q$2="HKD"), K180*$Z$7,
            AND(Q180="HKG", $Q$2="HKG"), K180,
            AND(Q180="HKD", $Q$2="USD"), K180*$Z$9,
            AND(Q180="HKD", $Q$2="GBP"), K180*$Z$10,
            AND(Q180="HKD", $Q$2="EUR"), K180*$Z$11,
            AND(Q180="EUR", $Q$2="EUR"), K180,
            AND(Q180="EUR", $Q$2="USD"), K180*$Z$12,
            AND(Q180="EUR", $Q$2="GBP"), K180*$Z$13,
            AND(Q180="EUR", $Q$2="HKD"), K180*$Z$14,
        ),
        0
    )
)</f>
        <v>2</v>
      </c>
      <c r="S180" s="1" cm="1">
        <f t="array" ref="S180">IF(A180="", "",
    IFERROR(
        _xlfn.SWITCH(
            TRUE,
            AND(Q180="USD", $Q$2="USD"), M180,
            AND(Q180="USD", $Q$2="GBP"), M180*$Z$3,
            AND(Q180="USD", $Q$2="HKD"), M180*$Z$4,
            AND(Q180="USD", $Q$2="EUR"), M180*$Z$5,
            AND(Q180="GBP", $Q$2="GBP"), M180,
            AND(Q180="GBP", $Q$2="USD"), M180*$Z$6,
            AND(Q180="GBP", $Q$2="HKD"), M180*$Z$7,
            AND(Q180="GBP", $Q$2="HKD"), M180*$Z$8,
            AND(Q180="HKG", $Q$2="HKG"), M180,
            AND(Q180="HKD", $Q$2="USD"), M180*$Z$9,
            AND(Q180="HKD", $Q$2="GBP"), M180*$Z$10,
            AND(Q180="HKD", $Q$2="EUR"), M180*$Z$11,
            AND(Q180="EUR", $Q$2="EUR"), M180,
            AND(Q180="EUR", $Q$2="USD"), M180*$Z$12,
            AND(Q180="EUR", $Q$2="GBP"), M180*$Z$13,
            AND(Q180="EUR", $Q$2="HKD"), M180*$Z$14,
        ),
        0
    )
)</f>
        <v>242.39999999999998</v>
      </c>
      <c r="T180" s="1" t="str">
        <f t="shared" si="17"/>
        <v>11</v>
      </c>
      <c r="U180" s="9" t="str">
        <f t="shared" si="18"/>
        <v>08</v>
      </c>
      <c r="V180" s="1" t="str">
        <f t="shared" si="19"/>
        <v>2023</v>
      </c>
      <c r="W180" s="18" t="str">
        <f t="shared" si="20"/>
        <v>星期五</v>
      </c>
    </row>
    <row r="181" spans="1:23">
      <c r="A181" s="1" t="s">
        <v>399</v>
      </c>
      <c r="B181" s="1" t="s">
        <v>348</v>
      </c>
      <c r="C181" s="9">
        <v>45168</v>
      </c>
      <c r="D181" s="1" t="e" vm="15">
        <v>#VALUE!</v>
      </c>
      <c r="E181" s="1" t="s">
        <v>410</v>
      </c>
      <c r="F181" s="1" t="s">
        <v>411</v>
      </c>
      <c r="H181" s="1" t="s">
        <v>414</v>
      </c>
      <c r="I181" s="1">
        <v>1</v>
      </c>
      <c r="J181" s="27">
        <v>12.12</v>
      </c>
      <c r="K181" s="1">
        <v>3.64</v>
      </c>
      <c r="M181" s="24">
        <f t="shared" si="14"/>
        <v>12.12</v>
      </c>
      <c r="N181" s="36">
        <f t="shared" si="15"/>
        <v>0</v>
      </c>
      <c r="O181" s="34">
        <f>IF(ISBLANK(A181),"",SUMIFS(I$3:I181,D$3:D181,D181,H$3:H181,"Buy")+SUMIFS(I$3:I181,D$3:D181,D181,H$3:H181,"Cash Deposit")+SUMIFS(I$3:I181,D$3:D181,D181,H$3:H181,"Crypto Deposit")+SUMIFS(I$3:I181,D$3:D181,D181,H$3:H181,"Airdrop/Rewards")-SUMIFS(I$3:I181,D$3:D181,D181,H$3:H181,"Sell"))</f>
        <v>70</v>
      </c>
      <c r="P181" s="2" cm="1">
        <f t="array" ref="P181">IF(ISBLANK(A181),"",IFERROR(IF(OR(H181="Sell",F181="Stable Coin"),INDEX(_xlfn._xlws.FILTER(P$2:P180, D$2:D180=D181),COUNT(_xlfn._xlws.FILTER(P$2:P180, D$2:D180=D181))),(INDEX(_xlfn._xlws.FILTER(P$2:P180, D$2:D180=D181),COUNT(_xlfn._xlws.FILTER(P$2:P180, D$2:D180=D181)))*INDEX(_xlfn._xlws.FILTER(O$2:O180, D$2:D180=D181),COUNT(_xlfn._xlws.FILTER(O$2:O180, D$2:D180=D181)))-N181) / O181), J181))</f>
        <v>16.775714285714287</v>
      </c>
      <c r="Q181" s="1" t="str">
        <f t="shared" si="16"/>
        <v>USD</v>
      </c>
      <c r="R181" s="1" cm="1">
        <f t="array" ref="R181">IF(A181="", "",
    IFERROR(
        _xlfn.SWITCH(
            TRUE,
            AND(Q181="USD", $Q$2="USD"), K181,
            AND(Q181="USD", $Q$2="GBP"), K181*$Z$3,
            AND(Q181="USD", $Q$2="HKD"), K181*$Z$4,
            AND(Q181="USD", $Q$2="EUR"), K181*$Z$5,
            AND(Q181="GBP", $Q$2="GBP"), K181,
            AND(Q181="GBP", $Q$2="USD"), K181*$Z$6,
            AND(Q181="GBP", $Q$2="HKD"), K181*$Z$7,
            AND(Q181="HKG", $Q$2="HKG"), K181,
            AND(Q181="HKD", $Q$2="USD"), K181*$Z$9,
            AND(Q181="HKD", $Q$2="GBP"), K181*$Z$10,
            AND(Q181="HKD", $Q$2="EUR"), K181*$Z$11,
            AND(Q181="EUR", $Q$2="EUR"), K181,
            AND(Q181="EUR", $Q$2="USD"), K181*$Z$12,
            AND(Q181="EUR", $Q$2="GBP"), K181*$Z$13,
            AND(Q181="EUR", $Q$2="HKD"), K181*$Z$14,
        ),
        0
    )
)</f>
        <v>3.64</v>
      </c>
      <c r="S181" s="1" cm="1">
        <f t="array" ref="S181">IF(A181="", "",
    IFERROR(
        _xlfn.SWITCH(
            TRUE,
            AND(Q181="USD", $Q$2="USD"), M181,
            AND(Q181="USD", $Q$2="GBP"), M181*$Z$3,
            AND(Q181="USD", $Q$2="HKD"), M181*$Z$4,
            AND(Q181="USD", $Q$2="EUR"), M181*$Z$5,
            AND(Q181="GBP", $Q$2="GBP"), M181,
            AND(Q181="GBP", $Q$2="USD"), M181*$Z$6,
            AND(Q181="GBP", $Q$2="HKD"), M181*$Z$7,
            AND(Q181="GBP", $Q$2="HKD"), M181*$Z$8,
            AND(Q181="HKG", $Q$2="HKG"), M181,
            AND(Q181="HKD", $Q$2="USD"), M181*$Z$9,
            AND(Q181="HKD", $Q$2="GBP"), M181*$Z$10,
            AND(Q181="HKD", $Q$2="EUR"), M181*$Z$11,
            AND(Q181="EUR", $Q$2="EUR"), M181,
            AND(Q181="EUR", $Q$2="USD"), M181*$Z$12,
            AND(Q181="EUR", $Q$2="GBP"), M181*$Z$13,
            AND(Q181="EUR", $Q$2="HKD"), M181*$Z$14,
        ),
        0
    )
)</f>
        <v>12.12</v>
      </c>
      <c r="T181" s="1" t="str">
        <f t="shared" si="17"/>
        <v>30</v>
      </c>
      <c r="U181" s="9" t="str">
        <f t="shared" si="18"/>
        <v>08</v>
      </c>
      <c r="V181" s="1" t="str">
        <f t="shared" si="19"/>
        <v>2023</v>
      </c>
      <c r="W181" s="18" t="str">
        <f t="shared" si="20"/>
        <v>星期三</v>
      </c>
    </row>
    <row r="182" spans="1:23">
      <c r="A182" s="1" t="s">
        <v>399</v>
      </c>
      <c r="B182" s="1" t="s">
        <v>348</v>
      </c>
      <c r="C182" s="9">
        <v>45181</v>
      </c>
      <c r="D182" s="1" t="e" vm="20">
        <v>#VALUE!</v>
      </c>
      <c r="E182" s="1" t="s">
        <v>402</v>
      </c>
      <c r="F182" s="1" t="s">
        <v>401</v>
      </c>
      <c r="H182" s="1" t="s">
        <v>347</v>
      </c>
      <c r="I182" s="1">
        <v>20</v>
      </c>
      <c r="J182" s="27">
        <v>10.3</v>
      </c>
      <c r="K182" s="1">
        <v>2.0499999999999998</v>
      </c>
      <c r="M182" s="24">
        <f t="shared" si="14"/>
        <v>206</v>
      </c>
      <c r="N182" s="36">
        <f t="shared" si="15"/>
        <v>-206</v>
      </c>
      <c r="O182" s="34">
        <f>IF(ISBLANK(A182),"",SUMIFS(I$3:I182,D$3:D182,D182,H$3:H182,"Buy")+SUMIFS(I$3:I182,D$3:D182,D182,H$3:H182,"Cash Deposit")+SUMIFS(I$3:I182,D$3:D182,D182,H$3:H182,"Crypto Deposit")+SUMIFS(I$3:I182,D$3:D182,D182,H$3:H182,"Airdrop/Rewards")-SUMIFS(I$3:I182,D$3:D182,D182,H$3:H182,"Sell"))</f>
        <v>180</v>
      </c>
      <c r="P182" s="2" cm="1">
        <f t="array" ref="P182">IF(ISBLANK(A182),"",IFERROR(IF(OR(H182="Sell",F182="Stable Coin"),INDEX(_xlfn._xlws.FILTER(P$2:P181, D$2:D181=D182),COUNT(_xlfn._xlws.FILTER(P$2:P181, D$2:D181=D182))),(INDEX(_xlfn._xlws.FILTER(P$2:P181, D$2:D181=D182),COUNT(_xlfn._xlws.FILTER(P$2:P181, D$2:D181=D182)))*INDEX(_xlfn._xlws.FILTER(O$2:O181, D$2:D181=D182),COUNT(_xlfn._xlws.FILTER(O$2:O181, D$2:D181=D182)))-N182) / O182), J182))</f>
        <v>10.687454444444443</v>
      </c>
      <c r="Q182" s="1" t="str">
        <f t="shared" si="16"/>
        <v>USD</v>
      </c>
      <c r="R182" s="1" cm="1">
        <f t="array" ref="R182">IF(A182="", "",
    IFERROR(
        _xlfn.SWITCH(
            TRUE,
            AND(Q182="USD", $Q$2="USD"), K182,
            AND(Q182="USD", $Q$2="GBP"), K182*$Z$3,
            AND(Q182="USD", $Q$2="HKD"), K182*$Z$4,
            AND(Q182="USD", $Q$2="EUR"), K182*$Z$5,
            AND(Q182="GBP", $Q$2="GBP"), K182,
            AND(Q182="GBP", $Q$2="USD"), K182*$Z$6,
            AND(Q182="GBP", $Q$2="HKD"), K182*$Z$7,
            AND(Q182="HKG", $Q$2="HKG"), K182,
            AND(Q182="HKD", $Q$2="USD"), K182*$Z$9,
            AND(Q182="HKD", $Q$2="GBP"), K182*$Z$10,
            AND(Q182="HKD", $Q$2="EUR"), K182*$Z$11,
            AND(Q182="EUR", $Q$2="EUR"), K182,
            AND(Q182="EUR", $Q$2="USD"), K182*$Z$12,
            AND(Q182="EUR", $Q$2="GBP"), K182*$Z$13,
            AND(Q182="EUR", $Q$2="HKD"), K182*$Z$14,
        ),
        0
    )
)</f>
        <v>2.0499999999999998</v>
      </c>
      <c r="S182" s="1" cm="1">
        <f t="array" ref="S182">IF(A182="", "",
    IFERROR(
        _xlfn.SWITCH(
            TRUE,
            AND(Q182="USD", $Q$2="USD"), M182,
            AND(Q182="USD", $Q$2="GBP"), M182*$Z$3,
            AND(Q182="USD", $Q$2="HKD"), M182*$Z$4,
            AND(Q182="USD", $Q$2="EUR"), M182*$Z$5,
            AND(Q182="GBP", $Q$2="GBP"), M182,
            AND(Q182="GBP", $Q$2="USD"), M182*$Z$6,
            AND(Q182="GBP", $Q$2="HKD"), M182*$Z$7,
            AND(Q182="GBP", $Q$2="HKD"), M182*$Z$8,
            AND(Q182="HKG", $Q$2="HKG"), M182,
            AND(Q182="HKD", $Q$2="USD"), M182*$Z$9,
            AND(Q182="HKD", $Q$2="GBP"), M182*$Z$10,
            AND(Q182="HKD", $Q$2="EUR"), M182*$Z$11,
            AND(Q182="EUR", $Q$2="EUR"), M182,
            AND(Q182="EUR", $Q$2="USD"), M182*$Z$12,
            AND(Q182="EUR", $Q$2="GBP"), M182*$Z$13,
            AND(Q182="EUR", $Q$2="HKD"), M182*$Z$14,
        ),
        0
    )
)</f>
        <v>206</v>
      </c>
      <c r="T182" s="1" t="str">
        <f t="shared" si="17"/>
        <v>12</v>
      </c>
      <c r="U182" s="9" t="str">
        <f t="shared" si="18"/>
        <v>09</v>
      </c>
      <c r="V182" s="1" t="str">
        <f t="shared" si="19"/>
        <v>2023</v>
      </c>
      <c r="W182" s="18" t="str">
        <f t="shared" si="20"/>
        <v>星期二</v>
      </c>
    </row>
    <row r="183" spans="1:23">
      <c r="A183" s="17" t="s">
        <v>399</v>
      </c>
      <c r="B183" s="1" t="s">
        <v>348</v>
      </c>
      <c r="C183" s="9">
        <v>45182</v>
      </c>
      <c r="D183" s="1" t="e" vm="17">
        <v>#VALUE!</v>
      </c>
      <c r="E183" s="1" t="s">
        <v>32</v>
      </c>
      <c r="F183" s="1" t="s">
        <v>401</v>
      </c>
      <c r="H183" s="1" t="s">
        <v>347</v>
      </c>
      <c r="I183" s="1">
        <v>5</v>
      </c>
      <c r="J183" s="27">
        <v>79.849999999999994</v>
      </c>
      <c r="K183" s="1">
        <v>2.0099999999999998</v>
      </c>
      <c r="M183" s="24">
        <f t="shared" si="14"/>
        <v>399.25</v>
      </c>
      <c r="N183" s="36">
        <f t="shared" si="15"/>
        <v>-399.25</v>
      </c>
      <c r="O183" s="34">
        <f>IF(ISBLANK(A183),"",SUMIFS(I$3:I183,D$3:D183,D183,H$3:H183,"Buy")+SUMIFS(I$3:I183,D$3:D183,D183,H$3:H183,"Cash Deposit")+SUMIFS(I$3:I183,D$3:D183,D183,H$3:H183,"Crypto Deposit")+SUMIFS(I$3:I183,D$3:D183,D183,H$3:H183,"Airdrop/Rewards")-SUMIFS(I$3:I183,D$3:D183,D183,H$3:H183,"Sell"))</f>
        <v>80</v>
      </c>
      <c r="P183" s="2" cm="1">
        <f t="array" ref="P183">IF(ISBLANK(A183),"",IFERROR(IF(OR(H183="Sell",F183="Stable Coin"),INDEX(_xlfn._xlws.FILTER(P$2:P182, D$2:D182=D183),COUNT(_xlfn._xlws.FILTER(P$2:P182, D$2:D182=D183))),(INDEX(_xlfn._xlws.FILTER(P$2:P182, D$2:D182=D183),COUNT(_xlfn._xlws.FILTER(P$2:P182, D$2:D182=D183)))*INDEX(_xlfn._xlws.FILTER(O$2:O182, D$2:D182=D183),COUNT(_xlfn._xlws.FILTER(O$2:O182, D$2:D182=D183)))-N183) / O183), J183))</f>
        <v>66.134463955223879</v>
      </c>
      <c r="Q183" s="1" t="str">
        <f t="shared" si="16"/>
        <v>USD</v>
      </c>
      <c r="R183" s="1" cm="1">
        <f t="array" ref="R183">IF(A183="", "",
    IFERROR(
        _xlfn.SWITCH(
            TRUE,
            AND(Q183="USD", $Q$2="USD"), K183,
            AND(Q183="USD", $Q$2="GBP"), K183*$Z$3,
            AND(Q183="USD", $Q$2="HKD"), K183*$Z$4,
            AND(Q183="USD", $Q$2="EUR"), K183*$Z$5,
            AND(Q183="GBP", $Q$2="GBP"), K183,
            AND(Q183="GBP", $Q$2="USD"), K183*$Z$6,
            AND(Q183="GBP", $Q$2="HKD"), K183*$Z$7,
            AND(Q183="HKG", $Q$2="HKG"), K183,
            AND(Q183="HKD", $Q$2="USD"), K183*$Z$9,
            AND(Q183="HKD", $Q$2="GBP"), K183*$Z$10,
            AND(Q183="HKD", $Q$2="EUR"), K183*$Z$11,
            AND(Q183="EUR", $Q$2="EUR"), K183,
            AND(Q183="EUR", $Q$2="USD"), K183*$Z$12,
            AND(Q183="EUR", $Q$2="GBP"), K183*$Z$13,
            AND(Q183="EUR", $Q$2="HKD"), K183*$Z$14,
        ),
        0
    )
)</f>
        <v>2.0099999999999998</v>
      </c>
      <c r="S183" s="1" cm="1">
        <f t="array" ref="S183">IF(A183="", "",
    IFERROR(
        _xlfn.SWITCH(
            TRUE,
            AND(Q183="USD", $Q$2="USD"), M183,
            AND(Q183="USD", $Q$2="GBP"), M183*$Z$3,
            AND(Q183="USD", $Q$2="HKD"), M183*$Z$4,
            AND(Q183="USD", $Q$2="EUR"), M183*$Z$5,
            AND(Q183="GBP", $Q$2="GBP"), M183,
            AND(Q183="GBP", $Q$2="USD"), M183*$Z$6,
            AND(Q183="GBP", $Q$2="HKD"), M183*$Z$7,
            AND(Q183="GBP", $Q$2="HKD"), M183*$Z$8,
            AND(Q183="HKG", $Q$2="HKG"), M183,
            AND(Q183="HKD", $Q$2="USD"), M183*$Z$9,
            AND(Q183="HKD", $Q$2="GBP"), M183*$Z$10,
            AND(Q183="HKD", $Q$2="EUR"), M183*$Z$11,
            AND(Q183="EUR", $Q$2="EUR"), M183,
            AND(Q183="EUR", $Q$2="USD"), M183*$Z$12,
            AND(Q183="EUR", $Q$2="GBP"), M183*$Z$13,
            AND(Q183="EUR", $Q$2="HKD"), M183*$Z$14,
        ),
        0
    )
)</f>
        <v>399.25</v>
      </c>
      <c r="T183" s="1" t="str">
        <f t="shared" si="17"/>
        <v>13</v>
      </c>
      <c r="U183" s="9" t="str">
        <f t="shared" si="18"/>
        <v>09</v>
      </c>
      <c r="V183" s="1" t="str">
        <f t="shared" si="19"/>
        <v>2023</v>
      </c>
      <c r="W183" s="18" t="str">
        <f t="shared" si="20"/>
        <v>星期三</v>
      </c>
    </row>
    <row r="184" spans="1:23">
      <c r="A184" s="17" t="s">
        <v>399</v>
      </c>
      <c r="B184" s="1" t="s">
        <v>348</v>
      </c>
      <c r="C184" s="9">
        <v>45182</v>
      </c>
      <c r="D184" s="1" t="e" vm="20">
        <v>#VALUE!</v>
      </c>
      <c r="E184" s="1" t="s">
        <v>402</v>
      </c>
      <c r="F184" s="1" t="s">
        <v>401</v>
      </c>
      <c r="H184" s="1" t="s">
        <v>347</v>
      </c>
      <c r="I184" s="1">
        <v>20</v>
      </c>
      <c r="J184" s="27">
        <v>9.8000000000000007</v>
      </c>
      <c r="K184" s="1">
        <v>2.0499999999999998</v>
      </c>
      <c r="M184" s="24">
        <f t="shared" si="14"/>
        <v>196</v>
      </c>
      <c r="N184" s="36">
        <f t="shared" si="15"/>
        <v>-196</v>
      </c>
      <c r="O184" s="34">
        <f>IF(ISBLANK(A184),"",SUMIFS(I$3:I184,D$3:D184,D184,H$3:H184,"Buy")+SUMIFS(I$3:I184,D$3:D184,D184,H$3:H184,"Cash Deposit")+SUMIFS(I$3:I184,D$3:D184,D184,H$3:H184,"Crypto Deposit")+SUMIFS(I$3:I184,D$3:D184,D184,H$3:H184,"Airdrop/Rewards")-SUMIFS(I$3:I184,D$3:D184,D184,H$3:H184,"Sell"))</f>
        <v>200</v>
      </c>
      <c r="P184" s="2" cm="1">
        <f t="array" ref="P184">IF(ISBLANK(A184),"",IFERROR(IF(OR(H184="Sell",F184="Stable Coin"),INDEX(_xlfn._xlws.FILTER(P$2:P183, D$2:D183=D184),COUNT(_xlfn._xlws.FILTER(P$2:P183, D$2:D183=D184))),(INDEX(_xlfn._xlws.FILTER(P$2:P183, D$2:D183=D184),COUNT(_xlfn._xlws.FILTER(P$2:P183, D$2:D183=D184)))*INDEX(_xlfn._xlws.FILTER(O$2:O183, D$2:D183=D184),COUNT(_xlfn._xlws.FILTER(O$2:O183, D$2:D183=D184)))-N184) / O184), J184))</f>
        <v>10.598708999999999</v>
      </c>
      <c r="Q184" s="1" t="str">
        <f t="shared" si="16"/>
        <v>USD</v>
      </c>
      <c r="R184" s="1" cm="1">
        <f t="array" ref="R184">IF(A184="", "",
    IFERROR(
        _xlfn.SWITCH(
            TRUE,
            AND(Q184="USD", $Q$2="USD"), K184,
            AND(Q184="USD", $Q$2="GBP"), K184*$Z$3,
            AND(Q184="USD", $Q$2="HKD"), K184*$Z$4,
            AND(Q184="USD", $Q$2="EUR"), K184*$Z$5,
            AND(Q184="GBP", $Q$2="GBP"), K184,
            AND(Q184="GBP", $Q$2="USD"), K184*$Z$6,
            AND(Q184="GBP", $Q$2="HKD"), K184*$Z$7,
            AND(Q184="HKG", $Q$2="HKG"), K184,
            AND(Q184="HKD", $Q$2="USD"), K184*$Z$9,
            AND(Q184="HKD", $Q$2="GBP"), K184*$Z$10,
            AND(Q184="HKD", $Q$2="EUR"), K184*$Z$11,
            AND(Q184="EUR", $Q$2="EUR"), K184,
            AND(Q184="EUR", $Q$2="USD"), K184*$Z$12,
            AND(Q184="EUR", $Q$2="GBP"), K184*$Z$13,
            AND(Q184="EUR", $Q$2="HKD"), K184*$Z$14,
        ),
        0
    )
)</f>
        <v>2.0499999999999998</v>
      </c>
      <c r="S184" s="1" cm="1">
        <f t="array" ref="S184">IF(A184="", "",
    IFERROR(
        _xlfn.SWITCH(
            TRUE,
            AND(Q184="USD", $Q$2="USD"), M184,
            AND(Q184="USD", $Q$2="GBP"), M184*$Z$3,
            AND(Q184="USD", $Q$2="HKD"), M184*$Z$4,
            AND(Q184="USD", $Q$2="EUR"), M184*$Z$5,
            AND(Q184="GBP", $Q$2="GBP"), M184,
            AND(Q184="GBP", $Q$2="USD"), M184*$Z$6,
            AND(Q184="GBP", $Q$2="HKD"), M184*$Z$7,
            AND(Q184="GBP", $Q$2="HKD"), M184*$Z$8,
            AND(Q184="HKG", $Q$2="HKG"), M184,
            AND(Q184="HKD", $Q$2="USD"), M184*$Z$9,
            AND(Q184="HKD", $Q$2="GBP"), M184*$Z$10,
            AND(Q184="HKD", $Q$2="EUR"), M184*$Z$11,
            AND(Q184="EUR", $Q$2="EUR"), M184,
            AND(Q184="EUR", $Q$2="USD"), M184*$Z$12,
            AND(Q184="EUR", $Q$2="GBP"), M184*$Z$13,
            AND(Q184="EUR", $Q$2="HKD"), M184*$Z$14,
        ),
        0
    )
)</f>
        <v>196</v>
      </c>
      <c r="T184" s="1" t="str">
        <f t="shared" si="17"/>
        <v>13</v>
      </c>
      <c r="U184" s="9" t="str">
        <f t="shared" si="18"/>
        <v>09</v>
      </c>
      <c r="V184" s="1" t="str">
        <f t="shared" si="19"/>
        <v>2023</v>
      </c>
      <c r="W184" s="18" t="str">
        <f t="shared" si="20"/>
        <v>星期三</v>
      </c>
    </row>
    <row r="185" spans="1:23">
      <c r="A185" s="17" t="s">
        <v>399</v>
      </c>
      <c r="B185" s="1" t="s">
        <v>348</v>
      </c>
      <c r="C185" s="9">
        <v>45196</v>
      </c>
      <c r="D185" s="1" t="e" vm="15">
        <v>#VALUE!</v>
      </c>
      <c r="E185" s="1" t="s">
        <v>410</v>
      </c>
      <c r="F185" s="1" t="s">
        <v>411</v>
      </c>
      <c r="H185" s="1" t="s">
        <v>414</v>
      </c>
      <c r="I185" s="1">
        <v>1</v>
      </c>
      <c r="J185" s="27">
        <v>12.04</v>
      </c>
      <c r="K185" s="1">
        <v>3.61</v>
      </c>
      <c r="M185" s="24">
        <f t="shared" si="14"/>
        <v>12.04</v>
      </c>
      <c r="N185" s="36">
        <f t="shared" si="15"/>
        <v>0</v>
      </c>
      <c r="O185" s="34">
        <f>IF(ISBLANK(A185),"",SUMIFS(I$3:I185,D$3:D185,D185,H$3:H185,"Buy")+SUMIFS(I$3:I185,D$3:D185,D185,H$3:H185,"Cash Deposit")+SUMIFS(I$3:I185,D$3:D185,D185,H$3:H185,"Crypto Deposit")+SUMIFS(I$3:I185,D$3:D185,D185,H$3:H185,"Airdrop/Rewards")-SUMIFS(I$3:I185,D$3:D185,D185,H$3:H185,"Sell"))</f>
        <v>70</v>
      </c>
      <c r="P185" s="2" cm="1">
        <f t="array" ref="P185">IF(ISBLANK(A185),"",IFERROR(IF(OR(H185="Sell",F185="Stable Coin"),INDEX(_xlfn._xlws.FILTER(P$2:P184, D$2:D184=D185),COUNT(_xlfn._xlws.FILTER(P$2:P184, D$2:D184=D185))),(INDEX(_xlfn._xlws.FILTER(P$2:P184, D$2:D184=D185),COUNT(_xlfn._xlws.FILTER(P$2:P184, D$2:D184=D185)))*INDEX(_xlfn._xlws.FILTER(O$2:O184, D$2:D184=D185),COUNT(_xlfn._xlws.FILTER(O$2:O184, D$2:D184=D185)))-N185) / O185), J185))</f>
        <v>16.775714285714287</v>
      </c>
      <c r="Q185" s="1" t="str">
        <f t="shared" si="16"/>
        <v>USD</v>
      </c>
      <c r="R185" s="1" cm="1">
        <f t="array" ref="R185">IF(A185="", "",
    IFERROR(
        _xlfn.SWITCH(
            TRUE,
            AND(Q185="USD", $Q$2="USD"), K185,
            AND(Q185="USD", $Q$2="GBP"), K185*$Z$3,
            AND(Q185="USD", $Q$2="HKD"), K185*$Z$4,
            AND(Q185="USD", $Q$2="EUR"), K185*$Z$5,
            AND(Q185="GBP", $Q$2="GBP"), K185,
            AND(Q185="GBP", $Q$2="USD"), K185*$Z$6,
            AND(Q185="GBP", $Q$2="HKD"), K185*$Z$7,
            AND(Q185="HKG", $Q$2="HKG"), K185,
            AND(Q185="HKD", $Q$2="USD"), K185*$Z$9,
            AND(Q185="HKD", $Q$2="GBP"), K185*$Z$10,
            AND(Q185="HKD", $Q$2="EUR"), K185*$Z$11,
            AND(Q185="EUR", $Q$2="EUR"), K185,
            AND(Q185="EUR", $Q$2="USD"), K185*$Z$12,
            AND(Q185="EUR", $Q$2="GBP"), K185*$Z$13,
            AND(Q185="EUR", $Q$2="HKD"), K185*$Z$14,
        ),
        0
    )
)</f>
        <v>3.61</v>
      </c>
      <c r="S185" s="1" cm="1">
        <f t="array" ref="S185">IF(A185="", "",
    IFERROR(
        _xlfn.SWITCH(
            TRUE,
            AND(Q185="USD", $Q$2="USD"), M185,
            AND(Q185="USD", $Q$2="GBP"), M185*$Z$3,
            AND(Q185="USD", $Q$2="HKD"), M185*$Z$4,
            AND(Q185="USD", $Q$2="EUR"), M185*$Z$5,
            AND(Q185="GBP", $Q$2="GBP"), M185,
            AND(Q185="GBP", $Q$2="USD"), M185*$Z$6,
            AND(Q185="GBP", $Q$2="HKD"), M185*$Z$7,
            AND(Q185="GBP", $Q$2="HKD"), M185*$Z$8,
            AND(Q185="HKG", $Q$2="HKG"), M185,
            AND(Q185="HKD", $Q$2="USD"), M185*$Z$9,
            AND(Q185="HKD", $Q$2="GBP"), M185*$Z$10,
            AND(Q185="HKD", $Q$2="EUR"), M185*$Z$11,
            AND(Q185="EUR", $Q$2="EUR"), M185,
            AND(Q185="EUR", $Q$2="USD"), M185*$Z$12,
            AND(Q185="EUR", $Q$2="GBP"), M185*$Z$13,
            AND(Q185="EUR", $Q$2="HKD"), M185*$Z$14,
        ),
        0
    )
)</f>
        <v>12.04</v>
      </c>
      <c r="T185" s="1" t="str">
        <f t="shared" si="17"/>
        <v>27</v>
      </c>
      <c r="U185" s="9" t="str">
        <f t="shared" si="18"/>
        <v>09</v>
      </c>
      <c r="V185" s="1" t="str">
        <f t="shared" si="19"/>
        <v>2023</v>
      </c>
      <c r="W185" s="18" t="str">
        <f t="shared" si="20"/>
        <v>星期三</v>
      </c>
    </row>
    <row r="186" spans="1:23">
      <c r="A186" s="1" t="s">
        <v>59</v>
      </c>
      <c r="B186" s="1" t="s">
        <v>348</v>
      </c>
      <c r="C186" s="9">
        <v>45200</v>
      </c>
      <c r="D186" s="1" t="s">
        <v>93</v>
      </c>
      <c r="E186" s="1" t="s">
        <v>93</v>
      </c>
      <c r="F186" s="1" t="s">
        <v>349</v>
      </c>
      <c r="H186" s="1" t="s">
        <v>371</v>
      </c>
      <c r="I186" s="1">
        <v>2779.13</v>
      </c>
      <c r="J186" s="27">
        <v>0.8</v>
      </c>
      <c r="M186" s="24">
        <f t="shared" si="14"/>
        <v>2223.3040000000001</v>
      </c>
      <c r="N186" s="36">
        <f t="shared" si="15"/>
        <v>-2223.3040000000001</v>
      </c>
      <c r="O186" s="34">
        <f>IF(ISBLANK(A186),"",SUMIFS(I$3:I186,D$3:D186,D186,H$3:H186,"Buy")+SUMIFS(I$3:I186,D$3:D186,D186,H$3:H186,"Cash Deposit")+SUMIFS(I$3:I186,D$3:D186,D186,H$3:H186,"Crypto Deposit")+SUMIFS(I$3:I186,D$3:D186,D186,H$3:H186,"Airdrop/Rewards")-SUMIFS(I$3:I186,D$3:D186,D186,H$3:H186,"Sell"))</f>
        <v>2779.13</v>
      </c>
      <c r="P186" s="2" cm="1">
        <f t="array" ref="P186">IF(ISBLANK(A186),"",IFERROR(IF(OR(H186="Sell",F186="Stable Coin"),INDEX(_xlfn._xlws.FILTER(P$2:P185, D$2:D185=D186),COUNT(_xlfn._xlws.FILTER(P$2:P185, D$2:D185=D186))),(INDEX(_xlfn._xlws.FILTER(P$2:P185, D$2:D185=D186),COUNT(_xlfn._xlws.FILTER(P$2:P185, D$2:D185=D186)))*INDEX(_xlfn._xlws.FILTER(O$2:O185, D$2:D185=D186),COUNT(_xlfn._xlws.FILTER(O$2:O185, D$2:D185=D186)))-N186) / O186), J186))</f>
        <v>0.8</v>
      </c>
      <c r="Q186" s="1" t="str">
        <f t="shared" si="16"/>
        <v>USD</v>
      </c>
      <c r="R186" s="1" cm="1">
        <f t="array" ref="R186">IF(A186="", "",
    IFERROR(
        _xlfn.SWITCH(
            TRUE,
            AND(Q186="USD", $Q$2="USD"), K186,
            AND(Q186="USD", $Q$2="GBP"), K186*$Z$3,
            AND(Q186="USD", $Q$2="HKD"), K186*$Z$4,
            AND(Q186="USD", $Q$2="EUR"), K186*$Z$5,
            AND(Q186="GBP", $Q$2="GBP"), K186,
            AND(Q186="GBP", $Q$2="USD"), K186*$Z$6,
            AND(Q186="GBP", $Q$2="HKD"), K186*$Z$7,
            AND(Q186="HKG", $Q$2="HKG"), K186,
            AND(Q186="HKD", $Q$2="USD"), K186*$Z$9,
            AND(Q186="HKD", $Q$2="GBP"), K186*$Z$10,
            AND(Q186="HKD", $Q$2="EUR"), K186*$Z$11,
            AND(Q186="EUR", $Q$2="EUR"), K186,
            AND(Q186="EUR", $Q$2="USD"), K186*$Z$12,
            AND(Q186="EUR", $Q$2="GBP"), K186*$Z$13,
            AND(Q186="EUR", $Q$2="HKD"), K186*$Z$14,
        ),
        0
    )
)</f>
        <v>0</v>
      </c>
      <c r="S186" s="1" cm="1">
        <f t="array" ref="S186">IF(A186="", "",
    IFERROR(
        _xlfn.SWITCH(
            TRUE,
            AND(Q186="USD", $Q$2="USD"), M186,
            AND(Q186="USD", $Q$2="GBP"), M186*$Z$3,
            AND(Q186="USD", $Q$2="HKD"), M186*$Z$4,
            AND(Q186="USD", $Q$2="EUR"), M186*$Z$5,
            AND(Q186="GBP", $Q$2="GBP"), M186,
            AND(Q186="GBP", $Q$2="USD"), M186*$Z$6,
            AND(Q186="GBP", $Q$2="HKD"), M186*$Z$7,
            AND(Q186="GBP", $Q$2="HKD"), M186*$Z$8,
            AND(Q186="HKG", $Q$2="HKG"), M186,
            AND(Q186="HKD", $Q$2="USD"), M186*$Z$9,
            AND(Q186="HKD", $Q$2="GBP"), M186*$Z$10,
            AND(Q186="HKD", $Q$2="EUR"), M186*$Z$11,
            AND(Q186="EUR", $Q$2="EUR"), M186,
            AND(Q186="EUR", $Q$2="USD"), M186*$Z$12,
            AND(Q186="EUR", $Q$2="GBP"), M186*$Z$13,
            AND(Q186="EUR", $Q$2="HKD"), M186*$Z$14,
        ),
        0
    )
)</f>
        <v>2223.3040000000001</v>
      </c>
      <c r="T186" s="1" t="str">
        <f t="shared" si="17"/>
        <v>1</v>
      </c>
      <c r="U186" s="9" t="str">
        <f t="shared" si="18"/>
        <v>10</v>
      </c>
      <c r="V186" s="1" t="str">
        <f t="shared" si="19"/>
        <v>2023</v>
      </c>
      <c r="W186" s="18" t="str">
        <f t="shared" si="20"/>
        <v>星期日</v>
      </c>
    </row>
    <row r="187" spans="1:23">
      <c r="A187" s="17" t="s">
        <v>59</v>
      </c>
      <c r="B187" s="1" t="s">
        <v>348</v>
      </c>
      <c r="C187" s="9">
        <v>45200</v>
      </c>
      <c r="D187" s="1" t="s">
        <v>93</v>
      </c>
      <c r="E187" s="1" t="s">
        <v>93</v>
      </c>
      <c r="F187" s="1" t="s">
        <v>349</v>
      </c>
      <c r="H187" s="1" t="s">
        <v>360</v>
      </c>
      <c r="I187" s="1">
        <v>2779.13</v>
      </c>
      <c r="J187" s="27">
        <v>0.8</v>
      </c>
      <c r="M187" s="24">
        <f t="shared" si="14"/>
        <v>2223.3040000000001</v>
      </c>
      <c r="N187" s="36">
        <f t="shared" si="15"/>
        <v>0</v>
      </c>
      <c r="O187" s="34">
        <f>IF(ISBLANK(A187),"",SUMIFS(I$3:I187,D$3:D187,D187,H$3:H187,"Buy")+SUMIFS(I$3:I187,D$3:D187,D187,H$3:H187,"Cash Deposit")+SUMIFS(I$3:I187,D$3:D187,D187,H$3:H187,"Crypto Deposit")+SUMIFS(I$3:I187,D$3:D187,D187,H$3:H187,"Airdrop/Rewards")-SUMIFS(I$3:I187,D$3:D187,D187,H$3:H187,"Sell"))</f>
        <v>2779.13</v>
      </c>
      <c r="P187" s="2" cm="1">
        <f t="array" ref="P187">IF(ISBLANK(A187),"",IFERROR(IF(OR(H187="Sell",F187="Stable Coin"),INDEX(_xlfn._xlws.FILTER(P$2:P186, D$2:D186=D187),COUNT(_xlfn._xlws.FILTER(P$2:P186, D$2:D186=D187))),(INDEX(_xlfn._xlws.FILTER(P$2:P186, D$2:D186=D187),COUNT(_xlfn._xlws.FILTER(P$2:P186, D$2:D186=D187)))*INDEX(_xlfn._xlws.FILTER(O$2:O186, D$2:D186=D187),COUNT(_xlfn._xlws.FILTER(O$2:O186, D$2:D186=D187)))-N187) / O187), J187))</f>
        <v>0.8</v>
      </c>
      <c r="Q187" s="1" t="str">
        <f t="shared" si="16"/>
        <v>USD</v>
      </c>
      <c r="R187" s="1" cm="1">
        <f t="array" ref="R187">IF(A187="", "",
    IFERROR(
        _xlfn.SWITCH(
            TRUE,
            AND(Q187="USD", $Q$2="USD"), K187,
            AND(Q187="USD", $Q$2="GBP"), K187*$Z$3,
            AND(Q187="USD", $Q$2="HKD"), K187*$Z$4,
            AND(Q187="USD", $Q$2="EUR"), K187*$Z$5,
            AND(Q187="GBP", $Q$2="GBP"), K187,
            AND(Q187="GBP", $Q$2="USD"), K187*$Z$6,
            AND(Q187="GBP", $Q$2="HKD"), K187*$Z$7,
            AND(Q187="HKG", $Q$2="HKG"), K187,
            AND(Q187="HKD", $Q$2="USD"), K187*$Z$9,
            AND(Q187="HKD", $Q$2="GBP"), K187*$Z$10,
            AND(Q187="HKD", $Q$2="EUR"), K187*$Z$11,
            AND(Q187="EUR", $Q$2="EUR"), K187,
            AND(Q187="EUR", $Q$2="USD"), K187*$Z$12,
            AND(Q187="EUR", $Q$2="GBP"), K187*$Z$13,
            AND(Q187="EUR", $Q$2="HKD"), K187*$Z$14,
        ),
        0
    )
)</f>
        <v>0</v>
      </c>
      <c r="S187" s="1" cm="1">
        <f t="array" ref="S187">IF(A187="", "",
    IFERROR(
        _xlfn.SWITCH(
            TRUE,
            AND(Q187="USD", $Q$2="USD"), M187,
            AND(Q187="USD", $Q$2="GBP"), M187*$Z$3,
            AND(Q187="USD", $Q$2="HKD"), M187*$Z$4,
            AND(Q187="USD", $Q$2="EUR"), M187*$Z$5,
            AND(Q187="GBP", $Q$2="GBP"), M187,
            AND(Q187="GBP", $Q$2="USD"), M187*$Z$6,
            AND(Q187="GBP", $Q$2="HKD"), M187*$Z$7,
            AND(Q187="GBP", $Q$2="HKD"), M187*$Z$8,
            AND(Q187="HKG", $Q$2="HKG"), M187,
            AND(Q187="HKD", $Q$2="USD"), M187*$Z$9,
            AND(Q187="HKD", $Q$2="GBP"), M187*$Z$10,
            AND(Q187="HKD", $Q$2="EUR"), M187*$Z$11,
            AND(Q187="EUR", $Q$2="EUR"), M187,
            AND(Q187="EUR", $Q$2="USD"), M187*$Z$12,
            AND(Q187="EUR", $Q$2="GBP"), M187*$Z$13,
            AND(Q187="EUR", $Q$2="HKD"), M187*$Z$14,
        ),
        0
    )
)</f>
        <v>2223.3040000000001</v>
      </c>
      <c r="T187" s="1" t="str">
        <f t="shared" si="17"/>
        <v>1</v>
      </c>
      <c r="U187" s="9" t="str">
        <f t="shared" si="18"/>
        <v>10</v>
      </c>
      <c r="V187" s="1" t="str">
        <f t="shared" si="19"/>
        <v>2023</v>
      </c>
      <c r="W187" s="18" t="str">
        <f t="shared" si="20"/>
        <v>星期日</v>
      </c>
    </row>
    <row r="188" spans="1:23">
      <c r="A188" s="17" t="s">
        <v>59</v>
      </c>
      <c r="B188" s="1" t="s">
        <v>348</v>
      </c>
      <c r="C188" s="9">
        <v>45200</v>
      </c>
      <c r="D188" s="1" t="s">
        <v>27</v>
      </c>
      <c r="E188" s="1" t="s">
        <v>28</v>
      </c>
      <c r="F188" s="1" t="s">
        <v>349</v>
      </c>
      <c r="H188" s="1" t="s">
        <v>371</v>
      </c>
      <c r="I188" s="1">
        <v>66.150000000000006</v>
      </c>
      <c r="J188" s="27">
        <v>21.76</v>
      </c>
      <c r="M188" s="24">
        <f t="shared" si="14"/>
        <v>1439.4240000000002</v>
      </c>
      <c r="N188" s="36">
        <f t="shared" si="15"/>
        <v>-1439.4240000000002</v>
      </c>
      <c r="O188" s="34">
        <f>IF(ISBLANK(A188),"",SUMIFS(I$3:I188,D$3:D188,D188,H$3:H188,"Buy")+SUMIFS(I$3:I188,D$3:D188,D188,H$3:H188,"Cash Deposit")+SUMIFS(I$3:I188,D$3:D188,D188,H$3:H188,"Crypto Deposit")+SUMIFS(I$3:I188,D$3:D188,D188,H$3:H188,"Airdrop/Rewards")-SUMIFS(I$3:I188,D$3:D188,D188,H$3:H188,"Sell"))</f>
        <v>86.770499999999998</v>
      </c>
      <c r="P188" s="2" cm="1">
        <f t="array" ref="P188">IF(ISBLANK(A188),"",IFERROR(IF(OR(H188="Sell",F188="Stable Coin"),INDEX(_xlfn._xlws.FILTER(P$2:P187, D$2:D187=D188),COUNT(_xlfn._xlws.FILTER(P$2:P187, D$2:D187=D188))),(INDEX(_xlfn._xlws.FILTER(P$2:P187, D$2:D187=D188),COUNT(_xlfn._xlws.FILTER(P$2:P187, D$2:D187=D188)))*INDEX(_xlfn._xlws.FILTER(O$2:O187, D$2:D187=D188),COUNT(_xlfn._xlws.FILTER(O$2:O187, D$2:D187=D188)))-N188) / O188), J188))</f>
        <v>24.34198627413695</v>
      </c>
      <c r="Q188" s="1" t="str">
        <f t="shared" si="16"/>
        <v>USD</v>
      </c>
      <c r="R188" s="1" cm="1">
        <f t="array" ref="R188">IF(A188="", "",
    IFERROR(
        _xlfn.SWITCH(
            TRUE,
            AND(Q188="USD", $Q$2="USD"), K188,
            AND(Q188="USD", $Q$2="GBP"), K188*$Z$3,
            AND(Q188="USD", $Q$2="HKD"), K188*$Z$4,
            AND(Q188="USD", $Q$2="EUR"), K188*$Z$5,
            AND(Q188="GBP", $Q$2="GBP"), K188,
            AND(Q188="GBP", $Q$2="USD"), K188*$Z$6,
            AND(Q188="GBP", $Q$2="HKD"), K188*$Z$7,
            AND(Q188="HKG", $Q$2="HKG"), K188,
            AND(Q188="HKD", $Q$2="USD"), K188*$Z$9,
            AND(Q188="HKD", $Q$2="GBP"), K188*$Z$10,
            AND(Q188="HKD", $Q$2="EUR"), K188*$Z$11,
            AND(Q188="EUR", $Q$2="EUR"), K188,
            AND(Q188="EUR", $Q$2="USD"), K188*$Z$12,
            AND(Q188="EUR", $Q$2="GBP"), K188*$Z$13,
            AND(Q188="EUR", $Q$2="HKD"), K188*$Z$14,
        ),
        0
    )
)</f>
        <v>0</v>
      </c>
      <c r="S188" s="1" cm="1">
        <f t="array" ref="S188">IF(A188="", "",
    IFERROR(
        _xlfn.SWITCH(
            TRUE,
            AND(Q188="USD", $Q$2="USD"), M188,
            AND(Q188="USD", $Q$2="GBP"), M188*$Z$3,
            AND(Q188="USD", $Q$2="HKD"), M188*$Z$4,
            AND(Q188="USD", $Q$2="EUR"), M188*$Z$5,
            AND(Q188="GBP", $Q$2="GBP"), M188,
            AND(Q188="GBP", $Q$2="USD"), M188*$Z$6,
            AND(Q188="GBP", $Q$2="HKD"), M188*$Z$7,
            AND(Q188="GBP", $Q$2="HKD"), M188*$Z$8,
            AND(Q188="HKG", $Q$2="HKG"), M188,
            AND(Q188="HKD", $Q$2="USD"), M188*$Z$9,
            AND(Q188="HKD", $Q$2="GBP"), M188*$Z$10,
            AND(Q188="HKD", $Q$2="EUR"), M188*$Z$11,
            AND(Q188="EUR", $Q$2="EUR"), M188,
            AND(Q188="EUR", $Q$2="USD"), M188*$Z$12,
            AND(Q188="EUR", $Q$2="GBP"), M188*$Z$13,
            AND(Q188="EUR", $Q$2="HKD"), M188*$Z$14,
        ),
        0
    )
)</f>
        <v>1439.4240000000002</v>
      </c>
      <c r="T188" s="1" t="str">
        <f t="shared" si="17"/>
        <v>1</v>
      </c>
      <c r="U188" s="9" t="str">
        <f t="shared" si="18"/>
        <v>10</v>
      </c>
      <c r="V188" s="1" t="str">
        <f t="shared" si="19"/>
        <v>2023</v>
      </c>
      <c r="W188" s="18" t="str">
        <f t="shared" si="20"/>
        <v>星期日</v>
      </c>
    </row>
    <row r="189" spans="1:23">
      <c r="A189" s="17" t="s">
        <v>59</v>
      </c>
      <c r="B189" s="1" t="s">
        <v>348</v>
      </c>
      <c r="C189" s="9">
        <v>45200</v>
      </c>
      <c r="D189" s="1" t="s">
        <v>364</v>
      </c>
      <c r="E189" s="1" t="s">
        <v>114</v>
      </c>
      <c r="F189" s="1" t="s">
        <v>346</v>
      </c>
      <c r="H189" s="1" t="s">
        <v>371</v>
      </c>
      <c r="I189" s="1">
        <v>2024</v>
      </c>
      <c r="J189" s="27">
        <v>1</v>
      </c>
      <c r="M189" s="24">
        <f t="shared" si="14"/>
        <v>2024</v>
      </c>
      <c r="N189" s="36">
        <f t="shared" si="15"/>
        <v>-2024</v>
      </c>
      <c r="O189" s="34">
        <f>IF(ISBLANK(A189),"",SUMIFS(I$3:I189,D$3:D189,D189,H$3:H189,"Buy")+SUMIFS(I$3:I189,D$3:D189,D189,H$3:H189,"Cash Deposit")+SUMIFS(I$3:I189,D$3:D189,D189,H$3:H189,"Crypto Deposit")+SUMIFS(I$3:I189,D$3:D189,D189,H$3:H189,"Airdrop/Rewards")-SUMIFS(I$3:I189,D$3:D189,D189,H$3:H189,"Sell"))</f>
        <v>4728.2464181803807</v>
      </c>
      <c r="P189" s="2" cm="1">
        <f t="array" ref="P189">IF(ISBLANK(A189),"",IFERROR(IF(OR(H189="Sell",F189="Stable Coin"),INDEX(_xlfn._xlws.FILTER(P$2:P188, D$2:D188=D189),COUNT(_xlfn._xlws.FILTER(P$2:P188, D$2:D188=D189))),(INDEX(_xlfn._xlws.FILTER(P$2:P188, D$2:D188=D189),COUNT(_xlfn._xlws.FILTER(P$2:P188, D$2:D188=D189)))*INDEX(_xlfn._xlws.FILTER(O$2:O188, D$2:D188=D189),COUNT(_xlfn._xlws.FILTER(O$2:O188, D$2:D188=D189)))-N189) / O189), J189))</f>
        <v>1</v>
      </c>
      <c r="Q189" s="1" t="str">
        <f t="shared" si="16"/>
        <v>USD</v>
      </c>
      <c r="R189" s="1" cm="1">
        <f t="array" ref="R189">IF(A189="", "",
    IFERROR(
        _xlfn.SWITCH(
            TRUE,
            AND(Q189="USD", $Q$2="USD"), K189,
            AND(Q189="USD", $Q$2="GBP"), K189*$Z$3,
            AND(Q189="USD", $Q$2="HKD"), K189*$Z$4,
            AND(Q189="USD", $Q$2="EUR"), K189*$Z$5,
            AND(Q189="GBP", $Q$2="GBP"), K189,
            AND(Q189="GBP", $Q$2="USD"), K189*$Z$6,
            AND(Q189="GBP", $Q$2="HKD"), K189*$Z$7,
            AND(Q189="HKG", $Q$2="HKG"), K189,
            AND(Q189="HKD", $Q$2="USD"), K189*$Z$9,
            AND(Q189="HKD", $Q$2="GBP"), K189*$Z$10,
            AND(Q189="HKD", $Q$2="EUR"), K189*$Z$11,
            AND(Q189="EUR", $Q$2="EUR"), K189,
            AND(Q189="EUR", $Q$2="USD"), K189*$Z$12,
            AND(Q189="EUR", $Q$2="GBP"), K189*$Z$13,
            AND(Q189="EUR", $Q$2="HKD"), K189*$Z$14,
        ),
        0
    )
)</f>
        <v>0</v>
      </c>
      <c r="S189" s="1" cm="1">
        <f t="array" ref="S189">IF(A189="", "",
    IFERROR(
        _xlfn.SWITCH(
            TRUE,
            AND(Q189="USD", $Q$2="USD"), M189,
            AND(Q189="USD", $Q$2="GBP"), M189*$Z$3,
            AND(Q189="USD", $Q$2="HKD"), M189*$Z$4,
            AND(Q189="USD", $Q$2="EUR"), M189*$Z$5,
            AND(Q189="GBP", $Q$2="GBP"), M189,
            AND(Q189="GBP", $Q$2="USD"), M189*$Z$6,
            AND(Q189="GBP", $Q$2="HKD"), M189*$Z$7,
            AND(Q189="GBP", $Q$2="HKD"), M189*$Z$8,
            AND(Q189="HKG", $Q$2="HKG"), M189,
            AND(Q189="HKD", $Q$2="USD"), M189*$Z$9,
            AND(Q189="HKD", $Q$2="GBP"), M189*$Z$10,
            AND(Q189="HKD", $Q$2="EUR"), M189*$Z$11,
            AND(Q189="EUR", $Q$2="EUR"), M189,
            AND(Q189="EUR", $Q$2="USD"), M189*$Z$12,
            AND(Q189="EUR", $Q$2="GBP"), M189*$Z$13,
            AND(Q189="EUR", $Q$2="HKD"), M189*$Z$14,
        ),
        0
    )
)</f>
        <v>2024</v>
      </c>
      <c r="T189" s="1" t="str">
        <f t="shared" si="17"/>
        <v>1</v>
      </c>
      <c r="U189" s="9" t="str">
        <f t="shared" si="18"/>
        <v>10</v>
      </c>
      <c r="V189" s="1" t="str">
        <f t="shared" si="19"/>
        <v>2023</v>
      </c>
      <c r="W189" s="18" t="str">
        <f t="shared" si="20"/>
        <v>星期日</v>
      </c>
    </row>
    <row r="190" spans="1:23">
      <c r="A190" s="17" t="s">
        <v>59</v>
      </c>
      <c r="B190" s="1" t="s">
        <v>348</v>
      </c>
      <c r="C190" s="9">
        <v>45200</v>
      </c>
      <c r="D190" s="1" t="s">
        <v>69</v>
      </c>
      <c r="E190" s="1" t="s">
        <v>68</v>
      </c>
      <c r="F190" s="1" t="s">
        <v>349</v>
      </c>
      <c r="H190" s="1" t="s">
        <v>371</v>
      </c>
      <c r="I190" s="1">
        <v>1002.97</v>
      </c>
      <c r="J190" s="27">
        <v>0.2</v>
      </c>
      <c r="M190" s="24">
        <f t="shared" si="14"/>
        <v>200.59400000000002</v>
      </c>
      <c r="N190" s="36">
        <f t="shared" si="15"/>
        <v>-200.59400000000002</v>
      </c>
      <c r="O190" s="34">
        <f>IF(ISBLANK(A190),"",SUMIFS(I$3:I190,D$3:D190,D190,H$3:H190,"Buy")+SUMIFS(I$3:I190,D$3:D190,D190,H$3:H190,"Cash Deposit")+SUMIFS(I$3:I190,D$3:D190,D190,H$3:H190,"Crypto Deposit")+SUMIFS(I$3:I190,D$3:D190,D190,H$3:H190,"Airdrop/Rewards")-SUMIFS(I$3:I190,D$3:D190,D190,H$3:H190,"Sell"))</f>
        <v>1002.97</v>
      </c>
      <c r="P190" s="2" cm="1">
        <f t="array" ref="P190">IF(ISBLANK(A190),"",IFERROR(IF(OR(H190="Sell",F190="Stable Coin"),INDEX(_xlfn._xlws.FILTER(P$2:P189, D$2:D189=D190),COUNT(_xlfn._xlws.FILTER(P$2:P189, D$2:D189=D190))),(INDEX(_xlfn._xlws.FILTER(P$2:P189, D$2:D189=D190),COUNT(_xlfn._xlws.FILTER(P$2:P189, D$2:D189=D190)))*INDEX(_xlfn._xlws.FILTER(O$2:O189, D$2:D189=D190),COUNT(_xlfn._xlws.FILTER(O$2:O189, D$2:D189=D190)))-N190) / O190), J190))</f>
        <v>0.2</v>
      </c>
      <c r="Q190" s="1" t="str">
        <f t="shared" si="16"/>
        <v>USD</v>
      </c>
      <c r="R190" s="1" cm="1">
        <f t="array" ref="R190">IF(A190="", "",
    IFERROR(
        _xlfn.SWITCH(
            TRUE,
            AND(Q190="USD", $Q$2="USD"), K190,
            AND(Q190="USD", $Q$2="GBP"), K190*$Z$3,
            AND(Q190="USD", $Q$2="HKD"), K190*$Z$4,
            AND(Q190="USD", $Q$2="EUR"), K190*$Z$5,
            AND(Q190="GBP", $Q$2="GBP"), K190,
            AND(Q190="GBP", $Q$2="USD"), K190*$Z$6,
            AND(Q190="GBP", $Q$2="HKD"), K190*$Z$7,
            AND(Q190="HKG", $Q$2="HKG"), K190,
            AND(Q190="HKD", $Q$2="USD"), K190*$Z$9,
            AND(Q190="HKD", $Q$2="GBP"), K190*$Z$10,
            AND(Q190="HKD", $Q$2="EUR"), K190*$Z$11,
            AND(Q190="EUR", $Q$2="EUR"), K190,
            AND(Q190="EUR", $Q$2="USD"), K190*$Z$12,
            AND(Q190="EUR", $Q$2="GBP"), K190*$Z$13,
            AND(Q190="EUR", $Q$2="HKD"), K190*$Z$14,
        ),
        0
    )
)</f>
        <v>0</v>
      </c>
      <c r="S190" s="1" cm="1">
        <f t="array" ref="S190">IF(A190="", "",
    IFERROR(
        _xlfn.SWITCH(
            TRUE,
            AND(Q190="USD", $Q$2="USD"), M190,
            AND(Q190="USD", $Q$2="GBP"), M190*$Z$3,
            AND(Q190="USD", $Q$2="HKD"), M190*$Z$4,
            AND(Q190="USD", $Q$2="EUR"), M190*$Z$5,
            AND(Q190="GBP", $Q$2="GBP"), M190,
            AND(Q190="GBP", $Q$2="USD"), M190*$Z$6,
            AND(Q190="GBP", $Q$2="HKD"), M190*$Z$7,
            AND(Q190="GBP", $Q$2="HKD"), M190*$Z$8,
            AND(Q190="HKG", $Q$2="HKG"), M190,
            AND(Q190="HKD", $Q$2="USD"), M190*$Z$9,
            AND(Q190="HKD", $Q$2="GBP"), M190*$Z$10,
            AND(Q190="HKD", $Q$2="EUR"), M190*$Z$11,
            AND(Q190="EUR", $Q$2="EUR"), M190,
            AND(Q190="EUR", $Q$2="USD"), M190*$Z$12,
            AND(Q190="EUR", $Q$2="GBP"), M190*$Z$13,
            AND(Q190="EUR", $Q$2="HKD"), M190*$Z$14,
        ),
        0
    )
)</f>
        <v>200.59400000000002</v>
      </c>
      <c r="T190" s="1" t="str">
        <f t="shared" si="17"/>
        <v>1</v>
      </c>
      <c r="U190" s="9" t="str">
        <f t="shared" si="18"/>
        <v>10</v>
      </c>
      <c r="V190" s="1" t="str">
        <f t="shared" si="19"/>
        <v>2023</v>
      </c>
      <c r="W190" s="18" t="str">
        <f t="shared" si="20"/>
        <v>星期日</v>
      </c>
    </row>
    <row r="191" spans="1:23">
      <c r="A191" s="17" t="s">
        <v>59</v>
      </c>
      <c r="B191" s="1" t="s">
        <v>348</v>
      </c>
      <c r="C191" s="9">
        <v>45200</v>
      </c>
      <c r="D191" s="1" t="s">
        <v>365</v>
      </c>
      <c r="E191" s="1" t="s">
        <v>366</v>
      </c>
      <c r="F191" s="1" t="s">
        <v>349</v>
      </c>
      <c r="H191" s="1" t="s">
        <v>371</v>
      </c>
      <c r="I191" s="1">
        <v>1516.68</v>
      </c>
      <c r="J191" s="27">
        <v>0.2</v>
      </c>
      <c r="M191" s="24">
        <f t="shared" si="14"/>
        <v>303.33600000000001</v>
      </c>
      <c r="N191" s="36">
        <f t="shared" si="15"/>
        <v>-303.33600000000001</v>
      </c>
      <c r="O191" s="34">
        <f>IF(ISBLANK(A191),"",SUMIFS(I$3:I191,D$3:D191,D191,H$3:H191,"Buy")+SUMIFS(I$3:I191,D$3:D191,D191,H$3:H191,"Cash Deposit")+SUMIFS(I$3:I191,D$3:D191,D191,H$3:H191,"Crypto Deposit")+SUMIFS(I$3:I191,D$3:D191,D191,H$3:H191,"Airdrop/Rewards")-SUMIFS(I$3:I191,D$3:D191,D191,H$3:H191,"Sell"))</f>
        <v>1516.68</v>
      </c>
      <c r="P191" s="2" cm="1">
        <f t="array" ref="P191">IF(ISBLANK(A191),"",IFERROR(IF(OR(H191="Sell",F191="Stable Coin"),INDEX(_xlfn._xlws.FILTER(P$2:P190, D$2:D190=D191),COUNT(_xlfn._xlws.FILTER(P$2:P190, D$2:D190=D191))),(INDEX(_xlfn._xlws.FILTER(P$2:P190, D$2:D190=D191),COUNT(_xlfn._xlws.FILTER(P$2:P190, D$2:D190=D191)))*INDEX(_xlfn._xlws.FILTER(O$2:O190, D$2:D190=D191),COUNT(_xlfn._xlws.FILTER(O$2:O190, D$2:D190=D191)))-N191) / O191), J191))</f>
        <v>0.2</v>
      </c>
      <c r="Q191" s="1" t="str">
        <f t="shared" si="16"/>
        <v>USD</v>
      </c>
      <c r="R191" s="1" cm="1">
        <f t="array" ref="R191">IF(A191="", "",
    IFERROR(
        _xlfn.SWITCH(
            TRUE,
            AND(Q191="USD", $Q$2="USD"), K191,
            AND(Q191="USD", $Q$2="GBP"), K191*$Z$3,
            AND(Q191="USD", $Q$2="HKD"), K191*$Z$4,
            AND(Q191="USD", $Q$2="EUR"), K191*$Z$5,
            AND(Q191="GBP", $Q$2="GBP"), K191,
            AND(Q191="GBP", $Q$2="USD"), K191*$Z$6,
            AND(Q191="GBP", $Q$2="HKD"), K191*$Z$7,
            AND(Q191="HKG", $Q$2="HKG"), K191,
            AND(Q191="HKD", $Q$2="USD"), K191*$Z$9,
            AND(Q191="HKD", $Q$2="GBP"), K191*$Z$10,
            AND(Q191="HKD", $Q$2="EUR"), K191*$Z$11,
            AND(Q191="EUR", $Q$2="EUR"), K191,
            AND(Q191="EUR", $Q$2="USD"), K191*$Z$12,
            AND(Q191="EUR", $Q$2="GBP"), K191*$Z$13,
            AND(Q191="EUR", $Q$2="HKD"), K191*$Z$14,
        ),
        0
    )
)</f>
        <v>0</v>
      </c>
      <c r="S191" s="1" cm="1">
        <f t="array" ref="S191">IF(A191="", "",
    IFERROR(
        _xlfn.SWITCH(
            TRUE,
            AND(Q191="USD", $Q$2="USD"), M191,
            AND(Q191="USD", $Q$2="GBP"), M191*$Z$3,
            AND(Q191="USD", $Q$2="HKD"), M191*$Z$4,
            AND(Q191="USD", $Q$2="EUR"), M191*$Z$5,
            AND(Q191="GBP", $Q$2="GBP"), M191,
            AND(Q191="GBP", $Q$2="USD"), M191*$Z$6,
            AND(Q191="GBP", $Q$2="HKD"), M191*$Z$7,
            AND(Q191="GBP", $Q$2="HKD"), M191*$Z$8,
            AND(Q191="HKG", $Q$2="HKG"), M191,
            AND(Q191="HKD", $Q$2="USD"), M191*$Z$9,
            AND(Q191="HKD", $Q$2="GBP"), M191*$Z$10,
            AND(Q191="HKD", $Q$2="EUR"), M191*$Z$11,
            AND(Q191="EUR", $Q$2="EUR"), M191,
            AND(Q191="EUR", $Q$2="USD"), M191*$Z$12,
            AND(Q191="EUR", $Q$2="GBP"), M191*$Z$13,
            AND(Q191="EUR", $Q$2="HKD"), M191*$Z$14,
        ),
        0
    )
)</f>
        <v>303.33600000000001</v>
      </c>
      <c r="T191" s="1" t="str">
        <f t="shared" si="17"/>
        <v>1</v>
      </c>
      <c r="U191" s="9" t="str">
        <f t="shared" si="18"/>
        <v>10</v>
      </c>
      <c r="V191" s="1" t="str">
        <f t="shared" si="19"/>
        <v>2023</v>
      </c>
      <c r="W191" s="18" t="str">
        <f t="shared" si="20"/>
        <v>星期日</v>
      </c>
    </row>
    <row r="192" spans="1:23">
      <c r="A192" s="17" t="s">
        <v>399</v>
      </c>
      <c r="B192" s="1" t="s">
        <v>348</v>
      </c>
      <c r="C192" s="9">
        <v>45205</v>
      </c>
      <c r="D192" s="1" t="e" vm="20">
        <v>#VALUE!</v>
      </c>
      <c r="E192" s="1" t="s">
        <v>402</v>
      </c>
      <c r="F192" s="1" t="s">
        <v>401</v>
      </c>
      <c r="H192" s="1" t="s">
        <v>347</v>
      </c>
      <c r="I192" s="1">
        <v>250</v>
      </c>
      <c r="J192" s="27">
        <v>7.9898999999999996</v>
      </c>
      <c r="K192" s="1">
        <v>3.23</v>
      </c>
      <c r="M192" s="24">
        <f t="shared" si="14"/>
        <v>1997.4749999999999</v>
      </c>
      <c r="N192" s="36">
        <f t="shared" si="15"/>
        <v>-1997.4749999999999</v>
      </c>
      <c r="O192" s="34">
        <f>IF(ISBLANK(A192),"",SUMIFS(I$3:I192,D$3:D192,D192,H$3:H192,"Buy")+SUMIFS(I$3:I192,D$3:D192,D192,H$3:H192,"Cash Deposit")+SUMIFS(I$3:I192,D$3:D192,D192,H$3:H192,"Crypto Deposit")+SUMIFS(I$3:I192,D$3:D192,D192,H$3:H192,"Airdrop/Rewards")-SUMIFS(I$3:I192,D$3:D192,D192,H$3:H192,"Sell"))</f>
        <v>450</v>
      </c>
      <c r="P192" s="2" cm="1">
        <f t="array" ref="P192">IF(ISBLANK(A192),"",IFERROR(IF(OR(H192="Sell",F192="Stable Coin"),INDEX(_xlfn._xlws.FILTER(P$2:P191, D$2:D191=D192),COUNT(_xlfn._xlws.FILTER(P$2:P191, D$2:D191=D192))),(INDEX(_xlfn._xlws.FILTER(P$2:P191, D$2:D191=D192),COUNT(_xlfn._xlws.FILTER(P$2:P191, D$2:D191=D192)))*INDEX(_xlfn._xlws.FILTER(O$2:O191, D$2:D191=D192),COUNT(_xlfn._xlws.FILTER(O$2:O191, D$2:D191=D192)))-N192) / O192), J192))</f>
        <v>9.1493706666666679</v>
      </c>
      <c r="Q192" s="1" t="str">
        <f t="shared" si="16"/>
        <v>USD</v>
      </c>
      <c r="R192" s="1" cm="1">
        <f t="array" ref="R192">IF(A192="", "",
    IFERROR(
        _xlfn.SWITCH(
            TRUE,
            AND(Q192="USD", $Q$2="USD"), K192,
            AND(Q192="USD", $Q$2="GBP"), K192*$Z$3,
            AND(Q192="USD", $Q$2="HKD"), K192*$Z$4,
            AND(Q192="USD", $Q$2="EUR"), K192*$Z$5,
            AND(Q192="GBP", $Q$2="GBP"), K192,
            AND(Q192="GBP", $Q$2="USD"), K192*$Z$6,
            AND(Q192="GBP", $Q$2="HKD"), K192*$Z$7,
            AND(Q192="HKG", $Q$2="HKG"), K192,
            AND(Q192="HKD", $Q$2="USD"), K192*$Z$9,
            AND(Q192="HKD", $Q$2="GBP"), K192*$Z$10,
            AND(Q192="HKD", $Q$2="EUR"), K192*$Z$11,
            AND(Q192="EUR", $Q$2="EUR"), K192,
            AND(Q192="EUR", $Q$2="USD"), K192*$Z$12,
            AND(Q192="EUR", $Q$2="GBP"), K192*$Z$13,
            AND(Q192="EUR", $Q$2="HKD"), K192*$Z$14,
        ),
        0
    )
)</f>
        <v>3.23</v>
      </c>
      <c r="S192" s="1" cm="1">
        <f t="array" ref="S192">IF(A192="", "",
    IFERROR(
        _xlfn.SWITCH(
            TRUE,
            AND(Q192="USD", $Q$2="USD"), M192,
            AND(Q192="USD", $Q$2="GBP"), M192*$Z$3,
            AND(Q192="USD", $Q$2="HKD"), M192*$Z$4,
            AND(Q192="USD", $Q$2="EUR"), M192*$Z$5,
            AND(Q192="GBP", $Q$2="GBP"), M192,
            AND(Q192="GBP", $Q$2="USD"), M192*$Z$6,
            AND(Q192="GBP", $Q$2="HKD"), M192*$Z$7,
            AND(Q192="GBP", $Q$2="HKD"), M192*$Z$8,
            AND(Q192="HKG", $Q$2="HKG"), M192,
            AND(Q192="HKD", $Q$2="USD"), M192*$Z$9,
            AND(Q192="HKD", $Q$2="GBP"), M192*$Z$10,
            AND(Q192="HKD", $Q$2="EUR"), M192*$Z$11,
            AND(Q192="EUR", $Q$2="EUR"), M192,
            AND(Q192="EUR", $Q$2="USD"), M192*$Z$12,
            AND(Q192="EUR", $Q$2="GBP"), M192*$Z$13,
            AND(Q192="EUR", $Q$2="HKD"), M192*$Z$14,
        ),
        0
    )
)</f>
        <v>1997.4749999999999</v>
      </c>
      <c r="T192" s="1" t="str">
        <f t="shared" si="17"/>
        <v>6</v>
      </c>
      <c r="U192" s="9" t="str">
        <f t="shared" si="18"/>
        <v>10</v>
      </c>
      <c r="V192" s="1" t="str">
        <f t="shared" si="19"/>
        <v>2023</v>
      </c>
      <c r="W192" s="18" t="str">
        <f t="shared" si="20"/>
        <v>星期五</v>
      </c>
    </row>
    <row r="193" spans="1:23">
      <c r="A193" s="17" t="s">
        <v>399</v>
      </c>
      <c r="B193" s="1" t="s">
        <v>348</v>
      </c>
      <c r="C193" s="9">
        <v>45205</v>
      </c>
      <c r="D193" s="1" t="e" vm="20">
        <v>#VALUE!</v>
      </c>
      <c r="E193" s="1" t="s">
        <v>402</v>
      </c>
      <c r="F193" s="1" t="s">
        <v>401</v>
      </c>
      <c r="H193" s="1" t="s">
        <v>367</v>
      </c>
      <c r="I193" s="1">
        <v>200</v>
      </c>
      <c r="J193" s="27">
        <v>8.0500000000000007</v>
      </c>
      <c r="K193" s="1">
        <v>2.63</v>
      </c>
      <c r="M193" s="24">
        <f t="shared" si="14"/>
        <v>1607.3700000000001</v>
      </c>
      <c r="N193" s="36">
        <f t="shared" si="15"/>
        <v>1610.0000000000002</v>
      </c>
      <c r="O193" s="34">
        <f>IF(ISBLANK(A193),"",SUMIFS(I$3:I193,D$3:D193,D193,H$3:H193,"Buy")+SUMIFS(I$3:I193,D$3:D193,D193,H$3:H193,"Cash Deposit")+SUMIFS(I$3:I193,D$3:D193,D193,H$3:H193,"Crypto Deposit")+SUMIFS(I$3:I193,D$3:D193,D193,H$3:H193,"Airdrop/Rewards")-SUMIFS(I$3:I193,D$3:D193,D193,H$3:H193,"Sell"))</f>
        <v>250</v>
      </c>
      <c r="P193" s="2" cm="1">
        <f t="array" ref="P193">IF(ISBLANK(A193),"",IFERROR(IF(OR(H193="Sell",F193="Stable Coin"),INDEX(_xlfn._xlws.FILTER(P$2:P192, D$2:D192=D193),COUNT(_xlfn._xlws.FILTER(P$2:P192, D$2:D192=D193))),(INDEX(_xlfn._xlws.FILTER(P$2:P192, D$2:D192=D193),COUNT(_xlfn._xlws.FILTER(P$2:P192, D$2:D192=D193)))*INDEX(_xlfn._xlws.FILTER(O$2:O192, D$2:D192=D193),COUNT(_xlfn._xlws.FILTER(O$2:O192, D$2:D192=D193)))-N193) / O193), J193))</f>
        <v>9.1493706666666679</v>
      </c>
      <c r="Q193" s="1" t="str">
        <f t="shared" si="16"/>
        <v>USD</v>
      </c>
      <c r="R193" s="1" cm="1">
        <f t="array" ref="R193">IF(A193="", "",
    IFERROR(
        _xlfn.SWITCH(
            TRUE,
            AND(Q193="USD", $Q$2="USD"), K193,
            AND(Q193="USD", $Q$2="GBP"), K193*$Z$3,
            AND(Q193="USD", $Q$2="HKD"), K193*$Z$4,
            AND(Q193="USD", $Q$2="EUR"), K193*$Z$5,
            AND(Q193="GBP", $Q$2="GBP"), K193,
            AND(Q193="GBP", $Q$2="USD"), K193*$Z$6,
            AND(Q193="GBP", $Q$2="HKD"), K193*$Z$7,
            AND(Q193="HKG", $Q$2="HKG"), K193,
            AND(Q193="HKD", $Q$2="USD"), K193*$Z$9,
            AND(Q193="HKD", $Q$2="GBP"), K193*$Z$10,
            AND(Q193="HKD", $Q$2="EUR"), K193*$Z$11,
            AND(Q193="EUR", $Q$2="EUR"), K193,
            AND(Q193="EUR", $Q$2="USD"), K193*$Z$12,
            AND(Q193="EUR", $Q$2="GBP"), K193*$Z$13,
            AND(Q193="EUR", $Q$2="HKD"), K193*$Z$14,
        ),
        0
    )
)</f>
        <v>2.63</v>
      </c>
      <c r="S193" s="1" cm="1">
        <f t="array" ref="S193">IF(A193="", "",
    IFERROR(
        _xlfn.SWITCH(
            TRUE,
            AND(Q193="USD", $Q$2="USD"), M193,
            AND(Q193="USD", $Q$2="GBP"), M193*$Z$3,
            AND(Q193="USD", $Q$2="HKD"), M193*$Z$4,
            AND(Q193="USD", $Q$2="EUR"), M193*$Z$5,
            AND(Q193="GBP", $Q$2="GBP"), M193,
            AND(Q193="GBP", $Q$2="USD"), M193*$Z$6,
            AND(Q193="GBP", $Q$2="HKD"), M193*$Z$7,
            AND(Q193="GBP", $Q$2="HKD"), M193*$Z$8,
            AND(Q193="HKG", $Q$2="HKG"), M193,
            AND(Q193="HKD", $Q$2="USD"), M193*$Z$9,
            AND(Q193="HKD", $Q$2="GBP"), M193*$Z$10,
            AND(Q193="HKD", $Q$2="EUR"), M193*$Z$11,
            AND(Q193="EUR", $Q$2="EUR"), M193,
            AND(Q193="EUR", $Q$2="USD"), M193*$Z$12,
            AND(Q193="EUR", $Q$2="GBP"), M193*$Z$13,
            AND(Q193="EUR", $Q$2="HKD"), M193*$Z$14,
        ),
        0
    )
)</f>
        <v>1607.3700000000001</v>
      </c>
      <c r="T193" s="1" t="str">
        <f t="shared" si="17"/>
        <v>6</v>
      </c>
      <c r="U193" s="9" t="str">
        <f t="shared" si="18"/>
        <v>10</v>
      </c>
      <c r="V193" s="1" t="str">
        <f t="shared" si="19"/>
        <v>2023</v>
      </c>
      <c r="W193" s="18" t="str">
        <f t="shared" si="20"/>
        <v>星期五</v>
      </c>
    </row>
    <row r="194" spans="1:23">
      <c r="A194" s="17" t="s">
        <v>399</v>
      </c>
      <c r="B194" s="1" t="s">
        <v>348</v>
      </c>
      <c r="C194" s="9">
        <v>45212</v>
      </c>
      <c r="D194" s="1" t="e" vm="17">
        <v>#VALUE!</v>
      </c>
      <c r="E194" s="1" t="s">
        <v>32</v>
      </c>
      <c r="F194" s="1" t="s">
        <v>401</v>
      </c>
      <c r="H194" s="1" t="s">
        <v>347</v>
      </c>
      <c r="I194" s="1">
        <v>4</v>
      </c>
      <c r="J194" s="27">
        <v>73.3</v>
      </c>
      <c r="K194" s="1">
        <v>2</v>
      </c>
      <c r="M194" s="24">
        <f t="shared" si="14"/>
        <v>293.2</v>
      </c>
      <c r="N194" s="36">
        <f t="shared" si="15"/>
        <v>-293.2</v>
      </c>
      <c r="O194" s="34">
        <f>IF(ISBLANK(A194),"",SUMIFS(I$3:I194,D$3:D194,D194,H$3:H194,"Buy")+SUMIFS(I$3:I194,D$3:D194,D194,H$3:H194,"Cash Deposit")+SUMIFS(I$3:I194,D$3:D194,D194,H$3:H194,"Crypto Deposit")+SUMIFS(I$3:I194,D$3:D194,D194,H$3:H194,"Airdrop/Rewards")-SUMIFS(I$3:I194,D$3:D194,D194,H$3:H194,"Sell"))</f>
        <v>84</v>
      </c>
      <c r="P194" s="2" cm="1">
        <f t="array" ref="P194">IF(ISBLANK(A194),"",IFERROR(IF(OR(H194="Sell",F194="Stable Coin"),INDEX(_xlfn._xlws.FILTER(P$2:P193, D$2:D193=D194),COUNT(_xlfn._xlws.FILTER(P$2:P193, D$2:D193=D194))),(INDEX(_xlfn._xlws.FILTER(P$2:P193, D$2:D193=D194),COUNT(_xlfn._xlws.FILTER(P$2:P193, D$2:D193=D194)))*INDEX(_xlfn._xlws.FILTER(O$2:O193, D$2:D193=D194),COUNT(_xlfn._xlws.FILTER(O$2:O193, D$2:D193=D194)))-N194) / O194), J194))</f>
        <v>66.475679957356064</v>
      </c>
      <c r="Q194" s="1" t="str">
        <f t="shared" si="16"/>
        <v>USD</v>
      </c>
      <c r="R194" s="1" cm="1">
        <f t="array" ref="R194">IF(A194="", "",
    IFERROR(
        _xlfn.SWITCH(
            TRUE,
            AND(Q194="USD", $Q$2="USD"), K194,
            AND(Q194="USD", $Q$2="GBP"), K194*$Z$3,
            AND(Q194="USD", $Q$2="HKD"), K194*$Z$4,
            AND(Q194="USD", $Q$2="EUR"), K194*$Z$5,
            AND(Q194="GBP", $Q$2="GBP"), K194,
            AND(Q194="GBP", $Q$2="USD"), K194*$Z$6,
            AND(Q194="GBP", $Q$2="HKD"), K194*$Z$7,
            AND(Q194="HKG", $Q$2="HKG"), K194,
            AND(Q194="HKD", $Q$2="USD"), K194*$Z$9,
            AND(Q194="HKD", $Q$2="GBP"), K194*$Z$10,
            AND(Q194="HKD", $Q$2="EUR"), K194*$Z$11,
            AND(Q194="EUR", $Q$2="EUR"), K194,
            AND(Q194="EUR", $Q$2="USD"), K194*$Z$12,
            AND(Q194="EUR", $Q$2="GBP"), K194*$Z$13,
            AND(Q194="EUR", $Q$2="HKD"), K194*$Z$14,
        ),
        0
    )
)</f>
        <v>2</v>
      </c>
      <c r="S194" s="1" cm="1">
        <f t="array" ref="S194">IF(A194="", "",
    IFERROR(
        _xlfn.SWITCH(
            TRUE,
            AND(Q194="USD", $Q$2="USD"), M194,
            AND(Q194="USD", $Q$2="GBP"), M194*$Z$3,
            AND(Q194="USD", $Q$2="HKD"), M194*$Z$4,
            AND(Q194="USD", $Q$2="EUR"), M194*$Z$5,
            AND(Q194="GBP", $Q$2="GBP"), M194,
            AND(Q194="GBP", $Q$2="USD"), M194*$Z$6,
            AND(Q194="GBP", $Q$2="HKD"), M194*$Z$7,
            AND(Q194="GBP", $Q$2="HKD"), M194*$Z$8,
            AND(Q194="HKG", $Q$2="HKG"), M194,
            AND(Q194="HKD", $Q$2="USD"), M194*$Z$9,
            AND(Q194="HKD", $Q$2="GBP"), M194*$Z$10,
            AND(Q194="HKD", $Q$2="EUR"), M194*$Z$11,
            AND(Q194="EUR", $Q$2="EUR"), M194,
            AND(Q194="EUR", $Q$2="USD"), M194*$Z$12,
            AND(Q194="EUR", $Q$2="GBP"), M194*$Z$13,
            AND(Q194="EUR", $Q$2="HKD"), M194*$Z$14,
        ),
        0
    )
)</f>
        <v>293.2</v>
      </c>
      <c r="T194" s="1" t="str">
        <f t="shared" si="17"/>
        <v>13</v>
      </c>
      <c r="U194" s="9" t="str">
        <f t="shared" si="18"/>
        <v>10</v>
      </c>
      <c r="V194" s="1" t="str">
        <f t="shared" si="19"/>
        <v>2023</v>
      </c>
      <c r="W194" s="18" t="str">
        <f t="shared" si="20"/>
        <v>星期五</v>
      </c>
    </row>
    <row r="195" spans="1:23">
      <c r="A195" s="17" t="s">
        <v>399</v>
      </c>
      <c r="B195" s="1" t="s">
        <v>348</v>
      </c>
      <c r="C195" s="9">
        <v>45231</v>
      </c>
      <c r="D195" s="1" t="e" vm="15">
        <v>#VALUE!</v>
      </c>
      <c r="E195" s="1" t="s">
        <v>410</v>
      </c>
      <c r="F195" s="1" t="s">
        <v>411</v>
      </c>
      <c r="H195" s="1" t="s">
        <v>414</v>
      </c>
      <c r="I195" s="1">
        <v>1</v>
      </c>
      <c r="J195" s="27">
        <v>11.68</v>
      </c>
      <c r="K195" s="1">
        <v>3.5</v>
      </c>
      <c r="M195" s="24">
        <f t="shared" si="14"/>
        <v>11.68</v>
      </c>
      <c r="N195" s="36">
        <f t="shared" si="15"/>
        <v>0</v>
      </c>
      <c r="O195" s="34">
        <f>IF(ISBLANK(A195),"",SUMIFS(I$3:I195,D$3:D195,D195,H$3:H195,"Buy")+SUMIFS(I$3:I195,D$3:D195,D195,H$3:H195,"Cash Deposit")+SUMIFS(I$3:I195,D$3:D195,D195,H$3:H195,"Crypto Deposit")+SUMIFS(I$3:I195,D$3:D195,D195,H$3:H195,"Airdrop/Rewards")-SUMIFS(I$3:I195,D$3:D195,D195,H$3:H195,"Sell"))</f>
        <v>70</v>
      </c>
      <c r="P195" s="2" cm="1">
        <f t="array" ref="P195">IF(ISBLANK(A195),"",IFERROR(IF(OR(H195="Sell",F195="Stable Coin"),INDEX(_xlfn._xlws.FILTER(P$2:P194, D$2:D194=D195),COUNT(_xlfn._xlws.FILTER(P$2:P194, D$2:D194=D195))),(INDEX(_xlfn._xlws.FILTER(P$2:P194, D$2:D194=D195),COUNT(_xlfn._xlws.FILTER(P$2:P194, D$2:D194=D195)))*INDEX(_xlfn._xlws.FILTER(O$2:O194, D$2:D194=D195),COUNT(_xlfn._xlws.FILTER(O$2:O194, D$2:D194=D195)))-N195) / O195), J195))</f>
        <v>16.775714285714287</v>
      </c>
      <c r="Q195" s="1" t="str">
        <f t="shared" si="16"/>
        <v>USD</v>
      </c>
      <c r="R195" s="1" cm="1">
        <f t="array" ref="R195">IF(A195="", "",
    IFERROR(
        _xlfn.SWITCH(
            TRUE,
            AND(Q195="USD", $Q$2="USD"), K195,
            AND(Q195="USD", $Q$2="GBP"), K195*$Z$3,
            AND(Q195="USD", $Q$2="HKD"), K195*$Z$4,
            AND(Q195="USD", $Q$2="EUR"), K195*$Z$5,
            AND(Q195="GBP", $Q$2="GBP"), K195,
            AND(Q195="GBP", $Q$2="USD"), K195*$Z$6,
            AND(Q195="GBP", $Q$2="HKD"), K195*$Z$7,
            AND(Q195="HKG", $Q$2="HKG"), K195,
            AND(Q195="HKD", $Q$2="USD"), K195*$Z$9,
            AND(Q195="HKD", $Q$2="GBP"), K195*$Z$10,
            AND(Q195="HKD", $Q$2="EUR"), K195*$Z$11,
            AND(Q195="EUR", $Q$2="EUR"), K195,
            AND(Q195="EUR", $Q$2="USD"), K195*$Z$12,
            AND(Q195="EUR", $Q$2="GBP"), K195*$Z$13,
            AND(Q195="EUR", $Q$2="HKD"), K195*$Z$14,
        ),
        0
    )
)</f>
        <v>3.5</v>
      </c>
      <c r="S195" s="1" cm="1">
        <f t="array" ref="S195">IF(A195="", "",
    IFERROR(
        _xlfn.SWITCH(
            TRUE,
            AND(Q195="USD", $Q$2="USD"), M195,
            AND(Q195="USD", $Q$2="GBP"), M195*$Z$3,
            AND(Q195="USD", $Q$2="HKD"), M195*$Z$4,
            AND(Q195="USD", $Q$2="EUR"), M195*$Z$5,
            AND(Q195="GBP", $Q$2="GBP"), M195,
            AND(Q195="GBP", $Q$2="USD"), M195*$Z$6,
            AND(Q195="GBP", $Q$2="HKD"), M195*$Z$7,
            AND(Q195="GBP", $Q$2="HKD"), M195*$Z$8,
            AND(Q195="HKG", $Q$2="HKG"), M195,
            AND(Q195="HKD", $Q$2="USD"), M195*$Z$9,
            AND(Q195="HKD", $Q$2="GBP"), M195*$Z$10,
            AND(Q195="HKD", $Q$2="EUR"), M195*$Z$11,
            AND(Q195="EUR", $Q$2="EUR"), M195,
            AND(Q195="EUR", $Q$2="USD"), M195*$Z$12,
            AND(Q195="EUR", $Q$2="GBP"), M195*$Z$13,
            AND(Q195="EUR", $Q$2="HKD"), M195*$Z$14,
        ),
        0
    )
)</f>
        <v>11.68</v>
      </c>
      <c r="T195" s="1" t="str">
        <f t="shared" si="17"/>
        <v>1</v>
      </c>
      <c r="U195" s="9" t="str">
        <f t="shared" si="18"/>
        <v>11</v>
      </c>
      <c r="V195" s="1" t="str">
        <f t="shared" si="19"/>
        <v>2023</v>
      </c>
      <c r="W195" s="18" t="str">
        <f t="shared" si="20"/>
        <v>星期三</v>
      </c>
    </row>
    <row r="196" spans="1:23">
      <c r="A196" s="17" t="s">
        <v>32</v>
      </c>
      <c r="B196" s="1" t="s">
        <v>343</v>
      </c>
      <c r="C196" s="9">
        <v>45235</v>
      </c>
      <c r="D196" s="1" t="s">
        <v>345</v>
      </c>
      <c r="E196" s="1" t="s">
        <v>345</v>
      </c>
      <c r="F196" s="1" t="s">
        <v>345</v>
      </c>
      <c r="H196" s="1" t="s">
        <v>344</v>
      </c>
      <c r="I196" s="1">
        <v>1</v>
      </c>
      <c r="J196" s="27">
        <v>200</v>
      </c>
      <c r="M196" s="24">
        <f t="shared" ref="M196:M259" si="21">IF(ISBLANK(A196),"",IF(OR(H196="Sell", H196="Cash Withdrawal"), (I196*J196)-K196, I196*J196))</f>
        <v>200</v>
      </c>
      <c r="N196" s="36">
        <f t="shared" ref="N196:N259" si="22">IF(ISBLANK(A196),"",IF(OR(H196="Buy",H196="Cash Deposit",H196="Crypto Deposit"),-I196*J196,IF(H196="Sell",I196*J196,0)))</f>
        <v>-200</v>
      </c>
      <c r="O196" s="34">
        <f>IF(ISBLANK(A196),"",SUMIFS(I$3:I196,D$3:D196,D196,H$3:H196,"Buy")+SUMIFS(I$3:I196,D$3:D196,D196,H$3:H196,"Cash Deposit")+SUMIFS(I$3:I196,D$3:D196,D196,H$3:H196,"Crypto Deposit")+SUMIFS(I$3:I196,D$3:D196,D196,H$3:H196,"Airdrop/Rewards")-SUMIFS(I$3:I196,D$3:D196,D196,H$3:H196,"Sell"))</f>
        <v>11</v>
      </c>
      <c r="P196" s="2" cm="1">
        <f t="array" ref="P196">IF(ISBLANK(A196),"",IFERROR(IF(OR(H196="Sell",F196="Stable Coin"),INDEX(_xlfn._xlws.FILTER(P$2:P195, D$2:D195=D196),COUNT(_xlfn._xlws.FILTER(P$2:P195, D$2:D195=D196))),(INDEX(_xlfn._xlws.FILTER(P$2:P195, D$2:D195=D196),COUNT(_xlfn._xlws.FILTER(P$2:P195, D$2:D195=D196)))*INDEX(_xlfn._xlws.FILTER(O$2:O195, D$2:D195=D196),COUNT(_xlfn._xlws.FILTER(O$2:O195, D$2:D195=D196)))-N196) / O196), J196))</f>
        <v>1616.3636363636363</v>
      </c>
      <c r="Q196" s="1" t="str">
        <f t="shared" ref="Q196:Q259" si="23">B196</f>
        <v>GBP</v>
      </c>
      <c r="R196" s="1" cm="1">
        <f t="array" ref="R196">IF(A196="", "",
    IFERROR(
        _xlfn.SWITCH(
            TRUE,
            AND(Q196="USD", $Q$2="USD"), K196,
            AND(Q196="USD", $Q$2="GBP"), K196*$Z$3,
            AND(Q196="USD", $Q$2="HKD"), K196*$Z$4,
            AND(Q196="USD", $Q$2="EUR"), K196*$Z$5,
            AND(Q196="GBP", $Q$2="GBP"), K196,
            AND(Q196="GBP", $Q$2="USD"), K196*$Z$6,
            AND(Q196="GBP", $Q$2="HKD"), K196*$Z$7,
            AND(Q196="HKG", $Q$2="HKG"), K196,
            AND(Q196="HKD", $Q$2="USD"), K196*$Z$9,
            AND(Q196="HKD", $Q$2="GBP"), K196*$Z$10,
            AND(Q196="HKD", $Q$2="EUR"), K196*$Z$11,
            AND(Q196="EUR", $Q$2="EUR"), K196,
            AND(Q196="EUR", $Q$2="USD"), K196*$Z$12,
            AND(Q196="EUR", $Q$2="GBP"), K196*$Z$13,
            AND(Q196="EUR", $Q$2="HKD"), K196*$Z$14,
        ),
        0
    )
)</f>
        <v>0</v>
      </c>
      <c r="S196" s="1" cm="1">
        <f t="array" ref="S196">IF(A196="", "",
    IFERROR(
        _xlfn.SWITCH(
            TRUE,
            AND(Q196="USD", $Q$2="USD"), M196,
            AND(Q196="USD", $Q$2="GBP"), M196*$Z$3,
            AND(Q196="USD", $Q$2="HKD"), M196*$Z$4,
            AND(Q196="USD", $Q$2="EUR"), M196*$Z$5,
            AND(Q196="GBP", $Q$2="GBP"), M196,
            AND(Q196="GBP", $Q$2="USD"), M196*$Z$6,
            AND(Q196="GBP", $Q$2="HKD"), M196*$Z$7,
            AND(Q196="GBP", $Q$2="HKD"), M196*$Z$8,
            AND(Q196="HKG", $Q$2="HKG"), M196,
            AND(Q196="HKD", $Q$2="USD"), M196*$Z$9,
            AND(Q196="HKD", $Q$2="GBP"), M196*$Z$10,
            AND(Q196="HKD", $Q$2="EUR"), M196*$Z$11,
            AND(Q196="EUR", $Q$2="EUR"), M196,
            AND(Q196="EUR", $Q$2="USD"), M196*$Z$12,
            AND(Q196="EUR", $Q$2="GBP"), M196*$Z$13,
            AND(Q196="EUR", $Q$2="HKD"), M196*$Z$14,
        ),
        0
    )
)</f>
        <v>255.64</v>
      </c>
      <c r="T196" s="1" t="str">
        <f t="shared" ref="T196:T259" si="24">IF(ISBLANK(A196),"",TEXT(C196,"D"))</f>
        <v>5</v>
      </c>
      <c r="U196" s="9" t="str">
        <f t="shared" ref="U196:U259" si="25">IF(ISBLANK(A196),"",TEXT(C196,"MM"))</f>
        <v>11</v>
      </c>
      <c r="V196" s="1" t="str">
        <f t="shared" ref="V196:V259" si="26">IF(ISBLANK(A196),"",TEXT(C196,"YYYY"))</f>
        <v>2023</v>
      </c>
      <c r="W196" s="18" t="str">
        <f t="shared" ref="W196:W259" si="27">IF(ISBLANK(A196),"",TEXT(WEEKDAY(C196,1),"dddd"))</f>
        <v>星期日</v>
      </c>
    </row>
    <row r="197" spans="1:23">
      <c r="A197" s="17" t="s">
        <v>32</v>
      </c>
      <c r="B197" s="1" t="s">
        <v>343</v>
      </c>
      <c r="C197" s="9">
        <v>45235</v>
      </c>
      <c r="D197" s="1" t="s">
        <v>345</v>
      </c>
      <c r="E197" s="1" t="s">
        <v>345</v>
      </c>
      <c r="F197" s="1" t="s">
        <v>345</v>
      </c>
      <c r="I197" s="1">
        <v>1</v>
      </c>
      <c r="J197" s="27">
        <v>200</v>
      </c>
      <c r="M197" s="24">
        <f t="shared" si="21"/>
        <v>200</v>
      </c>
      <c r="N197" s="36">
        <f t="shared" si="22"/>
        <v>0</v>
      </c>
      <c r="O197" s="34">
        <f>IF(ISBLANK(A197),"",SUMIFS(I$3:I197,D$3:D197,D197,H$3:H197,"Buy")+SUMIFS(I$3:I197,D$3:D197,D197,H$3:H197,"Cash Deposit")+SUMIFS(I$3:I197,D$3:D197,D197,H$3:H197,"Crypto Deposit")+SUMIFS(I$3:I197,D$3:D197,D197,H$3:H197,"Airdrop/Rewards")-SUMIFS(I$3:I197,D$3:D197,D197,H$3:H197,"Sell"))</f>
        <v>11</v>
      </c>
      <c r="P197" s="2" cm="1">
        <f t="array" ref="P197">IF(ISBLANK(A197),"",IFERROR(IF(OR(H197="Sell",F197="Stable Coin"),INDEX(_xlfn._xlws.FILTER(P$2:P196, D$2:D196=D197),COUNT(_xlfn._xlws.FILTER(P$2:P196, D$2:D196=D197))),(INDEX(_xlfn._xlws.FILTER(P$2:P196, D$2:D196=D197),COUNT(_xlfn._xlws.FILTER(P$2:P196, D$2:D196=D197)))*INDEX(_xlfn._xlws.FILTER(O$2:O196, D$2:D196=D197),COUNT(_xlfn._xlws.FILTER(O$2:O196, D$2:D196=D197)))-N197) / O197), J197))</f>
        <v>1616.3636363636363</v>
      </c>
      <c r="Q197" s="1" t="str">
        <f t="shared" si="23"/>
        <v>GBP</v>
      </c>
      <c r="R197" s="1" cm="1">
        <f t="array" ref="R197">IF(A197="", "",
    IFERROR(
        _xlfn.SWITCH(
            TRUE,
            AND(Q197="USD", $Q$2="USD"), K197,
            AND(Q197="USD", $Q$2="GBP"), K197*$Z$3,
            AND(Q197="USD", $Q$2="HKD"), K197*$Z$4,
            AND(Q197="USD", $Q$2="EUR"), K197*$Z$5,
            AND(Q197="GBP", $Q$2="GBP"), K197,
            AND(Q197="GBP", $Q$2="USD"), K197*$Z$6,
            AND(Q197="GBP", $Q$2="HKD"), K197*$Z$7,
            AND(Q197="HKG", $Q$2="HKG"), K197,
            AND(Q197="HKD", $Q$2="USD"), K197*$Z$9,
            AND(Q197="HKD", $Q$2="GBP"), K197*$Z$10,
            AND(Q197="HKD", $Q$2="EUR"), K197*$Z$11,
            AND(Q197="EUR", $Q$2="EUR"), K197,
            AND(Q197="EUR", $Q$2="USD"), K197*$Z$12,
            AND(Q197="EUR", $Q$2="GBP"), K197*$Z$13,
            AND(Q197="EUR", $Q$2="HKD"), K197*$Z$14,
        ),
        0
    )
)</f>
        <v>0</v>
      </c>
      <c r="S197" s="1" cm="1">
        <f t="array" ref="S197">IF(A197="", "",
    IFERROR(
        _xlfn.SWITCH(
            TRUE,
            AND(Q197="USD", $Q$2="USD"), M197,
            AND(Q197="USD", $Q$2="GBP"), M197*$Z$3,
            AND(Q197="USD", $Q$2="HKD"), M197*$Z$4,
            AND(Q197="USD", $Q$2="EUR"), M197*$Z$5,
            AND(Q197="GBP", $Q$2="GBP"), M197,
            AND(Q197="GBP", $Q$2="USD"), M197*$Z$6,
            AND(Q197="GBP", $Q$2="HKD"), M197*$Z$7,
            AND(Q197="GBP", $Q$2="HKD"), M197*$Z$8,
            AND(Q197="HKG", $Q$2="HKG"), M197,
            AND(Q197="HKD", $Q$2="USD"), M197*$Z$9,
            AND(Q197="HKD", $Q$2="GBP"), M197*$Z$10,
            AND(Q197="HKD", $Q$2="EUR"), M197*$Z$11,
            AND(Q197="EUR", $Q$2="EUR"), M197,
            AND(Q197="EUR", $Q$2="USD"), M197*$Z$12,
            AND(Q197="EUR", $Q$2="GBP"), M197*$Z$13,
            AND(Q197="EUR", $Q$2="HKD"), M197*$Z$14,
        ),
        0
    )
)</f>
        <v>255.64</v>
      </c>
      <c r="T197" s="1" t="str">
        <f t="shared" si="24"/>
        <v>5</v>
      </c>
      <c r="U197" s="9" t="str">
        <f t="shared" si="25"/>
        <v>11</v>
      </c>
      <c r="V197" s="1" t="str">
        <f t="shared" si="26"/>
        <v>2023</v>
      </c>
      <c r="W197" s="18" t="str">
        <f t="shared" si="27"/>
        <v>星期日</v>
      </c>
    </row>
    <row r="198" spans="1:23">
      <c r="A198" s="17" t="s">
        <v>32</v>
      </c>
      <c r="B198" s="1" t="s">
        <v>348</v>
      </c>
      <c r="C198" s="9">
        <v>45235</v>
      </c>
      <c r="D198" s="1" t="s">
        <v>122</v>
      </c>
      <c r="E198" s="1" t="s">
        <v>122</v>
      </c>
      <c r="F198" s="1" t="s">
        <v>346</v>
      </c>
      <c r="H198" s="1" t="s">
        <v>347</v>
      </c>
      <c r="I198" s="1">
        <v>245.95</v>
      </c>
      <c r="J198" s="27">
        <v>1</v>
      </c>
      <c r="M198" s="24">
        <f t="shared" si="21"/>
        <v>245.95</v>
      </c>
      <c r="N198" s="36">
        <f t="shared" si="22"/>
        <v>-245.95</v>
      </c>
      <c r="O198" s="34">
        <f>IF(ISBLANK(A198),"",SUMIFS(I$3:I198,D$3:D198,D198,H$3:H198,"Buy")+SUMIFS(I$3:I198,D$3:D198,D198,H$3:H198,"Cash Deposit")+SUMIFS(I$3:I198,D$3:D198,D198,H$3:H198,"Crypto Deposit")+SUMIFS(I$3:I198,D$3:D198,D198,H$3:H198,"Airdrop/Rewards")-SUMIFS(I$3:I198,D$3:D198,D198,H$3:H198,"Sell"))</f>
        <v>245.93999999999994</v>
      </c>
      <c r="P198" s="2" cm="1">
        <f t="array" ref="P198">IF(ISBLANK(A198),"",IFERROR(IF(OR(H198="Sell",F198="Stable Coin"),INDEX(_xlfn._xlws.FILTER(P$2:P197, D$2:D197=D198),COUNT(_xlfn._xlws.FILTER(P$2:P197, D$2:D197=D198))),(INDEX(_xlfn._xlws.FILTER(P$2:P197, D$2:D197=D198),COUNT(_xlfn._xlws.FILTER(P$2:P197, D$2:D197=D198)))*INDEX(_xlfn._xlws.FILTER(O$2:O197, D$2:D197=D198),COUNT(_xlfn._xlws.FILTER(O$2:O197, D$2:D197=D198)))-N198) / O198), J198))</f>
        <v>1</v>
      </c>
      <c r="Q198" s="1" t="str">
        <f t="shared" si="23"/>
        <v>USD</v>
      </c>
      <c r="R198" s="1" cm="1">
        <f t="array" ref="R198">IF(A198="", "",
    IFERROR(
        _xlfn.SWITCH(
            TRUE,
            AND(Q198="USD", $Q$2="USD"), K198,
            AND(Q198="USD", $Q$2="GBP"), K198*$Z$3,
            AND(Q198="USD", $Q$2="HKD"), K198*$Z$4,
            AND(Q198="USD", $Q$2="EUR"), K198*$Z$5,
            AND(Q198="GBP", $Q$2="GBP"), K198,
            AND(Q198="GBP", $Q$2="USD"), K198*$Z$6,
            AND(Q198="GBP", $Q$2="HKD"), K198*$Z$7,
            AND(Q198="HKG", $Q$2="HKG"), K198,
            AND(Q198="HKD", $Q$2="USD"), K198*$Z$9,
            AND(Q198="HKD", $Q$2="GBP"), K198*$Z$10,
            AND(Q198="HKD", $Q$2="EUR"), K198*$Z$11,
            AND(Q198="EUR", $Q$2="EUR"), K198,
            AND(Q198="EUR", $Q$2="USD"), K198*$Z$12,
            AND(Q198="EUR", $Q$2="GBP"), K198*$Z$13,
            AND(Q198="EUR", $Q$2="HKD"), K198*$Z$14,
        ),
        0
    )
)</f>
        <v>0</v>
      </c>
      <c r="S198" s="1" cm="1">
        <f t="array" ref="S198">IF(A198="", "",
    IFERROR(
        _xlfn.SWITCH(
            TRUE,
            AND(Q198="USD", $Q$2="USD"), M198,
            AND(Q198="USD", $Q$2="GBP"), M198*$Z$3,
            AND(Q198="USD", $Q$2="HKD"), M198*$Z$4,
            AND(Q198="USD", $Q$2="EUR"), M198*$Z$5,
            AND(Q198="GBP", $Q$2="GBP"), M198,
            AND(Q198="GBP", $Q$2="USD"), M198*$Z$6,
            AND(Q198="GBP", $Q$2="HKD"), M198*$Z$7,
            AND(Q198="GBP", $Q$2="HKD"), M198*$Z$8,
            AND(Q198="HKG", $Q$2="HKG"), M198,
            AND(Q198="HKD", $Q$2="USD"), M198*$Z$9,
            AND(Q198="HKD", $Q$2="GBP"), M198*$Z$10,
            AND(Q198="HKD", $Q$2="EUR"), M198*$Z$11,
            AND(Q198="EUR", $Q$2="EUR"), M198,
            AND(Q198="EUR", $Q$2="USD"), M198*$Z$12,
            AND(Q198="EUR", $Q$2="GBP"), M198*$Z$13,
            AND(Q198="EUR", $Q$2="HKD"), M198*$Z$14,
        ),
        0
    )
)</f>
        <v>245.95</v>
      </c>
      <c r="T198" s="1" t="str">
        <f t="shared" si="24"/>
        <v>5</v>
      </c>
      <c r="U198" s="9" t="str">
        <f t="shared" si="25"/>
        <v>11</v>
      </c>
      <c r="V198" s="1" t="str">
        <f t="shared" si="26"/>
        <v>2023</v>
      </c>
      <c r="W198" s="18" t="str">
        <f t="shared" si="27"/>
        <v>星期日</v>
      </c>
    </row>
    <row r="199" spans="1:23">
      <c r="A199" s="17" t="s">
        <v>32</v>
      </c>
      <c r="B199" s="1" t="s">
        <v>348</v>
      </c>
      <c r="C199" s="9">
        <v>45235</v>
      </c>
      <c r="D199" s="1" t="s">
        <v>122</v>
      </c>
      <c r="E199" s="1" t="s">
        <v>122</v>
      </c>
      <c r="F199" s="1" t="s">
        <v>346</v>
      </c>
      <c r="H199" s="1" t="s">
        <v>367</v>
      </c>
      <c r="I199" s="1">
        <v>246.01</v>
      </c>
      <c r="J199" s="27">
        <v>1</v>
      </c>
      <c r="M199" s="24">
        <f t="shared" si="21"/>
        <v>246.01</v>
      </c>
      <c r="N199" s="36">
        <f t="shared" si="22"/>
        <v>246.01</v>
      </c>
      <c r="O199" s="34">
        <f>IF(ISBLANK(A199),"",SUMIFS(I$3:I199,D$3:D199,D199,H$3:H199,"Buy")+SUMIFS(I$3:I199,D$3:D199,D199,H$3:H199,"Cash Deposit")+SUMIFS(I$3:I199,D$3:D199,D199,H$3:H199,"Crypto Deposit")+SUMIFS(I$3:I199,D$3:D199,D199,H$3:H199,"Airdrop/Rewards")-SUMIFS(I$3:I199,D$3:D199,D199,H$3:H199,"Sell"))</f>
        <v>-6.9999999999936335E-2</v>
      </c>
      <c r="P199" s="2" cm="1">
        <f t="array" ref="P199">IF(ISBLANK(A199),"",IFERROR(IF(OR(H199="Sell",F199="Stable Coin"),INDEX(_xlfn._xlws.FILTER(P$2:P198, D$2:D198=D199),COUNT(_xlfn._xlws.FILTER(P$2:P198, D$2:D198=D199))),(INDEX(_xlfn._xlws.FILTER(P$2:P198, D$2:D198=D199),COUNT(_xlfn._xlws.FILTER(P$2:P198, D$2:D198=D199)))*INDEX(_xlfn._xlws.FILTER(O$2:O198, D$2:D198=D199),COUNT(_xlfn._xlws.FILTER(O$2:O198, D$2:D198=D199)))-N199) / O199), J199))</f>
        <v>1</v>
      </c>
      <c r="Q199" s="1" t="str">
        <f t="shared" si="23"/>
        <v>USD</v>
      </c>
      <c r="R199" s="1" cm="1">
        <f t="array" ref="R199">IF(A199="", "",
    IFERROR(
        _xlfn.SWITCH(
            TRUE,
            AND(Q199="USD", $Q$2="USD"), K199,
            AND(Q199="USD", $Q$2="GBP"), K199*$Z$3,
            AND(Q199="USD", $Q$2="HKD"), K199*$Z$4,
            AND(Q199="USD", $Q$2="EUR"), K199*$Z$5,
            AND(Q199="GBP", $Q$2="GBP"), K199,
            AND(Q199="GBP", $Q$2="USD"), K199*$Z$6,
            AND(Q199="GBP", $Q$2="HKD"), K199*$Z$7,
            AND(Q199="HKG", $Q$2="HKG"), K199,
            AND(Q199="HKD", $Q$2="USD"), K199*$Z$9,
            AND(Q199="HKD", $Q$2="GBP"), K199*$Z$10,
            AND(Q199="HKD", $Q$2="EUR"), K199*$Z$11,
            AND(Q199="EUR", $Q$2="EUR"), K199,
            AND(Q199="EUR", $Q$2="USD"), K199*$Z$12,
            AND(Q199="EUR", $Q$2="GBP"), K199*$Z$13,
            AND(Q199="EUR", $Q$2="HKD"), K199*$Z$14,
        ),
        0
    )
)</f>
        <v>0</v>
      </c>
      <c r="S199" s="1" cm="1">
        <f t="array" ref="S199">IF(A199="", "",
    IFERROR(
        _xlfn.SWITCH(
            TRUE,
            AND(Q199="USD", $Q$2="USD"), M199,
            AND(Q199="USD", $Q$2="GBP"), M199*$Z$3,
            AND(Q199="USD", $Q$2="HKD"), M199*$Z$4,
            AND(Q199="USD", $Q$2="EUR"), M199*$Z$5,
            AND(Q199="GBP", $Q$2="GBP"), M199,
            AND(Q199="GBP", $Q$2="USD"), M199*$Z$6,
            AND(Q199="GBP", $Q$2="HKD"), M199*$Z$7,
            AND(Q199="GBP", $Q$2="HKD"), M199*$Z$8,
            AND(Q199="HKG", $Q$2="HKG"), M199,
            AND(Q199="HKD", $Q$2="USD"), M199*$Z$9,
            AND(Q199="HKD", $Q$2="GBP"), M199*$Z$10,
            AND(Q199="HKD", $Q$2="EUR"), M199*$Z$11,
            AND(Q199="EUR", $Q$2="EUR"), M199,
            AND(Q199="EUR", $Q$2="USD"), M199*$Z$12,
            AND(Q199="EUR", $Q$2="GBP"), M199*$Z$13,
            AND(Q199="EUR", $Q$2="HKD"), M199*$Z$14,
        ),
        0
    )
)</f>
        <v>246.01</v>
      </c>
      <c r="T199" s="1" t="str">
        <f t="shared" si="24"/>
        <v>5</v>
      </c>
      <c r="U199" s="9" t="str">
        <f t="shared" si="25"/>
        <v>11</v>
      </c>
      <c r="V199" s="1" t="str">
        <f t="shared" si="26"/>
        <v>2023</v>
      </c>
      <c r="W199" s="18" t="str">
        <f t="shared" si="27"/>
        <v>星期日</v>
      </c>
    </row>
    <row r="200" spans="1:23">
      <c r="A200" s="17" t="s">
        <v>32</v>
      </c>
      <c r="B200" s="1" t="s">
        <v>348</v>
      </c>
      <c r="C200" s="9">
        <v>45235</v>
      </c>
      <c r="D200" s="1" t="s">
        <v>47</v>
      </c>
      <c r="E200" s="1" t="s">
        <v>4</v>
      </c>
      <c r="F200" s="1" t="s">
        <v>349</v>
      </c>
      <c r="H200" s="1" t="s">
        <v>347</v>
      </c>
      <c r="I200" s="1">
        <v>6.8869999999999999E-3</v>
      </c>
      <c r="J200" s="27">
        <v>35720.923478999997</v>
      </c>
      <c r="M200" s="24">
        <f t="shared" si="21"/>
        <v>246.00999999987297</v>
      </c>
      <c r="N200" s="36">
        <f t="shared" si="22"/>
        <v>-246.00999999987297</v>
      </c>
      <c r="O200" s="34">
        <f>IF(ISBLANK(A200),"",SUMIFS(I$3:I200,D$3:D200,D200,H$3:H200,"Buy")+SUMIFS(I$3:I200,D$3:D200,D200,H$3:H200,"Cash Deposit")+SUMIFS(I$3:I200,D$3:D200,D200,H$3:H200,"Crypto Deposit")+SUMIFS(I$3:I200,D$3:D200,D200,H$3:H200,"Airdrop/Rewards")-SUMIFS(I$3:I200,D$3:D200,D200,H$3:H200,"Sell"))</f>
        <v>0.32519881999999994</v>
      </c>
      <c r="P200" s="2" cm="1">
        <f t="array" ref="P200">IF(ISBLANK(A200),"",IFERROR(IF(OR(H200="Sell",F200="Stable Coin"),INDEX(_xlfn._xlws.FILTER(P$2:P199, D$2:D199=D200),COUNT(_xlfn._xlws.FILTER(P$2:P199, D$2:D199=D200))),(INDEX(_xlfn._xlws.FILTER(P$2:P199, D$2:D199=D200),COUNT(_xlfn._xlws.FILTER(P$2:P199, D$2:D199=D200)))*INDEX(_xlfn._xlws.FILTER(O$2:O199, D$2:D199=D200),COUNT(_xlfn._xlws.FILTER(O$2:O199, D$2:D199=D200)))-N200) / O200), J200))</f>
        <v>31339.875556311283</v>
      </c>
      <c r="Q200" s="1" t="str">
        <f t="shared" si="23"/>
        <v>USD</v>
      </c>
      <c r="R200" s="1" cm="1">
        <f t="array" ref="R200">IF(A200="", "",
    IFERROR(
        _xlfn.SWITCH(
            TRUE,
            AND(Q200="USD", $Q$2="USD"), K200,
            AND(Q200="USD", $Q$2="GBP"), K200*$Z$3,
            AND(Q200="USD", $Q$2="HKD"), K200*$Z$4,
            AND(Q200="USD", $Q$2="EUR"), K200*$Z$5,
            AND(Q200="GBP", $Q$2="GBP"), K200,
            AND(Q200="GBP", $Q$2="USD"), K200*$Z$6,
            AND(Q200="GBP", $Q$2="HKD"), K200*$Z$7,
            AND(Q200="HKG", $Q$2="HKG"), K200,
            AND(Q200="HKD", $Q$2="USD"), K200*$Z$9,
            AND(Q200="HKD", $Q$2="GBP"), K200*$Z$10,
            AND(Q200="HKD", $Q$2="EUR"), K200*$Z$11,
            AND(Q200="EUR", $Q$2="EUR"), K200,
            AND(Q200="EUR", $Q$2="USD"), K200*$Z$12,
            AND(Q200="EUR", $Q$2="GBP"), K200*$Z$13,
            AND(Q200="EUR", $Q$2="HKD"), K200*$Z$14,
        ),
        0
    )
)</f>
        <v>0</v>
      </c>
      <c r="S200" s="1" cm="1">
        <f t="array" ref="S200">IF(A200="", "",
    IFERROR(
        _xlfn.SWITCH(
            TRUE,
            AND(Q200="USD", $Q$2="USD"), M200,
            AND(Q200="USD", $Q$2="GBP"), M200*$Z$3,
            AND(Q200="USD", $Q$2="HKD"), M200*$Z$4,
            AND(Q200="USD", $Q$2="EUR"), M200*$Z$5,
            AND(Q200="GBP", $Q$2="GBP"), M200,
            AND(Q200="GBP", $Q$2="USD"), M200*$Z$6,
            AND(Q200="GBP", $Q$2="HKD"), M200*$Z$7,
            AND(Q200="GBP", $Q$2="HKD"), M200*$Z$8,
            AND(Q200="HKG", $Q$2="HKG"), M200,
            AND(Q200="HKD", $Q$2="USD"), M200*$Z$9,
            AND(Q200="HKD", $Q$2="GBP"), M200*$Z$10,
            AND(Q200="HKD", $Q$2="EUR"), M200*$Z$11,
            AND(Q200="EUR", $Q$2="EUR"), M200,
            AND(Q200="EUR", $Q$2="USD"), M200*$Z$12,
            AND(Q200="EUR", $Q$2="GBP"), M200*$Z$13,
            AND(Q200="EUR", $Q$2="HKD"), M200*$Z$14,
        ),
        0
    )
)</f>
        <v>246.00999999987297</v>
      </c>
      <c r="T200" s="1" t="str">
        <f t="shared" si="24"/>
        <v>5</v>
      </c>
      <c r="U200" s="9" t="str">
        <f t="shared" si="25"/>
        <v>11</v>
      </c>
      <c r="V200" s="1" t="str">
        <f t="shared" si="26"/>
        <v>2023</v>
      </c>
      <c r="W200" s="18" t="str">
        <f t="shared" si="27"/>
        <v>星期日</v>
      </c>
    </row>
    <row r="201" spans="1:23">
      <c r="A201" s="17" t="s">
        <v>399</v>
      </c>
      <c r="B201" s="1" t="s">
        <v>348</v>
      </c>
      <c r="C201" s="9">
        <v>45260</v>
      </c>
      <c r="D201" s="1" t="e" vm="15">
        <v>#VALUE!</v>
      </c>
      <c r="E201" s="1" t="s">
        <v>410</v>
      </c>
      <c r="F201" s="1" t="s">
        <v>411</v>
      </c>
      <c r="H201" s="1" t="s">
        <v>414</v>
      </c>
      <c r="I201" s="1">
        <v>1</v>
      </c>
      <c r="J201" s="27">
        <v>11.28</v>
      </c>
      <c r="K201" s="1">
        <v>3.38</v>
      </c>
      <c r="M201" s="24">
        <f t="shared" si="21"/>
        <v>11.28</v>
      </c>
      <c r="N201" s="36">
        <f t="shared" si="22"/>
        <v>0</v>
      </c>
      <c r="O201" s="34">
        <f>IF(ISBLANK(A201),"",SUMIFS(I$3:I201,D$3:D201,D201,H$3:H201,"Buy")+SUMIFS(I$3:I201,D$3:D201,D201,H$3:H201,"Cash Deposit")+SUMIFS(I$3:I201,D$3:D201,D201,H$3:H201,"Crypto Deposit")+SUMIFS(I$3:I201,D$3:D201,D201,H$3:H201,"Airdrop/Rewards")-SUMIFS(I$3:I201,D$3:D201,D201,H$3:H201,"Sell"))</f>
        <v>70</v>
      </c>
      <c r="P201" s="2" cm="1">
        <f t="array" ref="P201">IF(ISBLANK(A201),"",IFERROR(IF(OR(H201="Sell",F201="Stable Coin"),INDEX(_xlfn._xlws.FILTER(P$2:P200, D$2:D200=D201),COUNT(_xlfn._xlws.FILTER(P$2:P200, D$2:D200=D201))),(INDEX(_xlfn._xlws.FILTER(P$2:P200, D$2:D200=D201),COUNT(_xlfn._xlws.FILTER(P$2:P200, D$2:D200=D201)))*INDEX(_xlfn._xlws.FILTER(O$2:O200, D$2:D200=D201),COUNT(_xlfn._xlws.FILTER(O$2:O200, D$2:D200=D201)))-N201) / O201), J201))</f>
        <v>16.775714285714287</v>
      </c>
      <c r="Q201" s="1" t="str">
        <f t="shared" si="23"/>
        <v>USD</v>
      </c>
      <c r="R201" s="1" cm="1">
        <f t="array" ref="R201">IF(A201="", "",
    IFERROR(
        _xlfn.SWITCH(
            TRUE,
            AND(Q201="USD", $Q$2="USD"), K201,
            AND(Q201="USD", $Q$2="GBP"), K201*$Z$3,
            AND(Q201="USD", $Q$2="HKD"), K201*$Z$4,
            AND(Q201="USD", $Q$2="EUR"), K201*$Z$5,
            AND(Q201="GBP", $Q$2="GBP"), K201,
            AND(Q201="GBP", $Q$2="USD"), K201*$Z$6,
            AND(Q201="GBP", $Q$2="HKD"), K201*$Z$7,
            AND(Q201="HKG", $Q$2="HKG"), K201,
            AND(Q201="HKD", $Q$2="USD"), K201*$Z$9,
            AND(Q201="HKD", $Q$2="GBP"), K201*$Z$10,
            AND(Q201="HKD", $Q$2="EUR"), K201*$Z$11,
            AND(Q201="EUR", $Q$2="EUR"), K201,
            AND(Q201="EUR", $Q$2="USD"), K201*$Z$12,
            AND(Q201="EUR", $Q$2="GBP"), K201*$Z$13,
            AND(Q201="EUR", $Q$2="HKD"), K201*$Z$14,
        ),
        0
    )
)</f>
        <v>3.38</v>
      </c>
      <c r="S201" s="1" cm="1">
        <f t="array" ref="S201">IF(A201="", "",
    IFERROR(
        _xlfn.SWITCH(
            TRUE,
            AND(Q201="USD", $Q$2="USD"), M201,
            AND(Q201="USD", $Q$2="GBP"), M201*$Z$3,
            AND(Q201="USD", $Q$2="HKD"), M201*$Z$4,
            AND(Q201="USD", $Q$2="EUR"), M201*$Z$5,
            AND(Q201="GBP", $Q$2="GBP"), M201,
            AND(Q201="GBP", $Q$2="USD"), M201*$Z$6,
            AND(Q201="GBP", $Q$2="HKD"), M201*$Z$7,
            AND(Q201="GBP", $Q$2="HKD"), M201*$Z$8,
            AND(Q201="HKG", $Q$2="HKG"), M201,
            AND(Q201="HKD", $Q$2="USD"), M201*$Z$9,
            AND(Q201="HKD", $Q$2="GBP"), M201*$Z$10,
            AND(Q201="HKD", $Q$2="EUR"), M201*$Z$11,
            AND(Q201="EUR", $Q$2="EUR"), M201,
            AND(Q201="EUR", $Q$2="USD"), M201*$Z$12,
            AND(Q201="EUR", $Q$2="GBP"), M201*$Z$13,
            AND(Q201="EUR", $Q$2="HKD"), M201*$Z$14,
        ),
        0
    )
)</f>
        <v>11.28</v>
      </c>
      <c r="T201" s="1" t="str">
        <f t="shared" si="24"/>
        <v>30</v>
      </c>
      <c r="U201" s="9" t="str">
        <f t="shared" si="25"/>
        <v>11</v>
      </c>
      <c r="V201" s="1" t="str">
        <f t="shared" si="26"/>
        <v>2023</v>
      </c>
      <c r="W201" s="18" t="str">
        <f t="shared" si="27"/>
        <v>星期四</v>
      </c>
    </row>
    <row r="202" spans="1:23">
      <c r="A202" s="17" t="s">
        <v>59</v>
      </c>
      <c r="B202" s="1" t="s">
        <v>348</v>
      </c>
      <c r="C202" s="9">
        <v>45261</v>
      </c>
      <c r="D202" s="1" t="s">
        <v>361</v>
      </c>
      <c r="E202" s="1" t="s">
        <v>362</v>
      </c>
      <c r="F202" s="1" t="s">
        <v>349</v>
      </c>
      <c r="H202" s="1" t="s">
        <v>360</v>
      </c>
      <c r="I202" s="1">
        <v>1.2909999999999999</v>
      </c>
      <c r="J202" s="27">
        <v>2483.5500000000002</v>
      </c>
      <c r="M202" s="24">
        <f t="shared" si="21"/>
        <v>3206.26305</v>
      </c>
      <c r="N202" s="36">
        <f t="shared" si="22"/>
        <v>0</v>
      </c>
      <c r="O202" s="34">
        <f>IF(ISBLANK(A202),"",SUMIFS(I$3:I202,D$3:D202,D202,H$3:H202,"Buy")+SUMIFS(I$3:I202,D$3:D202,D202,H$3:H202,"Cash Deposit")+SUMIFS(I$3:I202,D$3:D202,D202,H$3:H202,"Crypto Deposit")+SUMIFS(I$3:I202,D$3:D202,D202,H$3:H202,"Airdrop/Rewards")-SUMIFS(I$3:I202,D$3:D202,D202,H$3:H202,"Sell"))</f>
        <v>1.2909999999999999</v>
      </c>
      <c r="P202" s="2" cm="1">
        <f t="array" ref="P202">IF(ISBLANK(A202),"",IFERROR(IF(OR(H202="Sell",F202="Stable Coin"),INDEX(_xlfn._xlws.FILTER(P$2:P201, D$2:D201=D202),COUNT(_xlfn._xlws.FILTER(P$2:P201, D$2:D201=D202))),(INDEX(_xlfn._xlws.FILTER(P$2:P201, D$2:D201=D202),COUNT(_xlfn._xlws.FILTER(P$2:P201, D$2:D201=D202)))*INDEX(_xlfn._xlws.FILTER(O$2:O201, D$2:D201=D202),COUNT(_xlfn._xlws.FILTER(O$2:O201, D$2:D201=D202)))-N202) / O202), J202))</f>
        <v>2483.5500000000002</v>
      </c>
      <c r="Q202" s="1" t="str">
        <f t="shared" si="23"/>
        <v>USD</v>
      </c>
      <c r="R202" s="1" cm="1">
        <f t="array" ref="R202">IF(A202="", "",
    IFERROR(
        _xlfn.SWITCH(
            TRUE,
            AND(Q202="USD", $Q$2="USD"), K202,
            AND(Q202="USD", $Q$2="GBP"), K202*$Z$3,
            AND(Q202="USD", $Q$2="HKD"), K202*$Z$4,
            AND(Q202="USD", $Q$2="EUR"), K202*$Z$5,
            AND(Q202="GBP", $Q$2="GBP"), K202,
            AND(Q202="GBP", $Q$2="USD"), K202*$Z$6,
            AND(Q202="GBP", $Q$2="HKD"), K202*$Z$7,
            AND(Q202="HKG", $Q$2="HKG"), K202,
            AND(Q202="HKD", $Q$2="USD"), K202*$Z$9,
            AND(Q202="HKD", $Q$2="GBP"), K202*$Z$10,
            AND(Q202="HKD", $Q$2="EUR"), K202*$Z$11,
            AND(Q202="EUR", $Q$2="EUR"), K202,
            AND(Q202="EUR", $Q$2="USD"), K202*$Z$12,
            AND(Q202="EUR", $Q$2="GBP"), K202*$Z$13,
            AND(Q202="EUR", $Q$2="HKD"), K202*$Z$14,
        ),
        0
    )
)</f>
        <v>0</v>
      </c>
      <c r="S202" s="1" cm="1">
        <f t="array" ref="S202">IF(A202="", "",
    IFERROR(
        _xlfn.SWITCH(
            TRUE,
            AND(Q202="USD", $Q$2="USD"), M202,
            AND(Q202="USD", $Q$2="GBP"), M202*$Z$3,
            AND(Q202="USD", $Q$2="HKD"), M202*$Z$4,
            AND(Q202="USD", $Q$2="EUR"), M202*$Z$5,
            AND(Q202="GBP", $Q$2="GBP"), M202,
            AND(Q202="GBP", $Q$2="USD"), M202*$Z$6,
            AND(Q202="GBP", $Q$2="HKD"), M202*$Z$7,
            AND(Q202="GBP", $Q$2="HKD"), M202*$Z$8,
            AND(Q202="HKG", $Q$2="HKG"), M202,
            AND(Q202="HKD", $Q$2="USD"), M202*$Z$9,
            AND(Q202="HKD", $Q$2="GBP"), M202*$Z$10,
            AND(Q202="HKD", $Q$2="EUR"), M202*$Z$11,
            AND(Q202="EUR", $Q$2="EUR"), M202,
            AND(Q202="EUR", $Q$2="USD"), M202*$Z$12,
            AND(Q202="EUR", $Q$2="GBP"), M202*$Z$13,
            AND(Q202="EUR", $Q$2="HKD"), M202*$Z$14,
        ),
        0
    )
)</f>
        <v>3206.26305</v>
      </c>
      <c r="T202" s="1" t="str">
        <f t="shared" si="24"/>
        <v>1</v>
      </c>
      <c r="U202" s="9" t="str">
        <f t="shared" si="25"/>
        <v>12</v>
      </c>
      <c r="V202" s="1" t="str">
        <f t="shared" si="26"/>
        <v>2023</v>
      </c>
      <c r="W202" s="18" t="str">
        <f t="shared" si="27"/>
        <v>星期五</v>
      </c>
    </row>
    <row r="203" spans="1:23">
      <c r="A203" s="17" t="s">
        <v>59</v>
      </c>
      <c r="B203" s="1" t="s">
        <v>348</v>
      </c>
      <c r="C203" s="9">
        <v>45261</v>
      </c>
      <c r="D203" s="1" t="s">
        <v>27</v>
      </c>
      <c r="E203" s="1" t="s">
        <v>28</v>
      </c>
      <c r="F203" s="1" t="s">
        <v>349</v>
      </c>
      <c r="H203" s="1" t="s">
        <v>360</v>
      </c>
      <c r="I203" s="1">
        <v>66.150000000000006</v>
      </c>
      <c r="J203" s="27">
        <v>21.76</v>
      </c>
      <c r="M203" s="24">
        <f t="shared" si="21"/>
        <v>1439.4240000000002</v>
      </c>
      <c r="N203" s="36">
        <f t="shared" si="22"/>
        <v>0</v>
      </c>
      <c r="O203" s="34">
        <f>IF(ISBLANK(A203),"",SUMIFS(I$3:I203,D$3:D203,D203,H$3:H203,"Buy")+SUMIFS(I$3:I203,D$3:D203,D203,H$3:H203,"Cash Deposit")+SUMIFS(I$3:I203,D$3:D203,D203,H$3:H203,"Crypto Deposit")+SUMIFS(I$3:I203,D$3:D203,D203,H$3:H203,"Airdrop/Rewards")-SUMIFS(I$3:I203,D$3:D203,D203,H$3:H203,"Sell"))</f>
        <v>86.770499999999998</v>
      </c>
      <c r="P203" s="2" cm="1">
        <f t="array" ref="P203">IF(ISBLANK(A203),"",IFERROR(IF(OR(H203="Sell",F203="Stable Coin"),INDEX(_xlfn._xlws.FILTER(P$2:P202, D$2:D202=D203),COUNT(_xlfn._xlws.FILTER(P$2:P202, D$2:D202=D203))),(INDEX(_xlfn._xlws.FILTER(P$2:P202, D$2:D202=D203),COUNT(_xlfn._xlws.FILTER(P$2:P202, D$2:D202=D203)))*INDEX(_xlfn._xlws.FILTER(O$2:O202, D$2:D202=D203),COUNT(_xlfn._xlws.FILTER(O$2:O202, D$2:D202=D203)))-N203) / O203), J203))</f>
        <v>24.34198627413695</v>
      </c>
      <c r="Q203" s="1" t="str">
        <f t="shared" si="23"/>
        <v>USD</v>
      </c>
      <c r="R203" s="1" cm="1">
        <f t="array" ref="R203">IF(A203="", "",
    IFERROR(
        _xlfn.SWITCH(
            TRUE,
            AND(Q203="USD", $Q$2="USD"), K203,
            AND(Q203="USD", $Q$2="GBP"), K203*$Z$3,
            AND(Q203="USD", $Q$2="HKD"), K203*$Z$4,
            AND(Q203="USD", $Q$2="EUR"), K203*$Z$5,
            AND(Q203="GBP", $Q$2="GBP"), K203,
            AND(Q203="GBP", $Q$2="USD"), K203*$Z$6,
            AND(Q203="GBP", $Q$2="HKD"), K203*$Z$7,
            AND(Q203="HKG", $Q$2="HKG"), K203,
            AND(Q203="HKD", $Q$2="USD"), K203*$Z$9,
            AND(Q203="HKD", $Q$2="GBP"), K203*$Z$10,
            AND(Q203="HKD", $Q$2="EUR"), K203*$Z$11,
            AND(Q203="EUR", $Q$2="EUR"), K203,
            AND(Q203="EUR", $Q$2="USD"), K203*$Z$12,
            AND(Q203="EUR", $Q$2="GBP"), K203*$Z$13,
            AND(Q203="EUR", $Q$2="HKD"), K203*$Z$14,
        ),
        0
    )
)</f>
        <v>0</v>
      </c>
      <c r="S203" s="1" cm="1">
        <f t="array" ref="S203">IF(A203="", "",
    IFERROR(
        _xlfn.SWITCH(
            TRUE,
            AND(Q203="USD", $Q$2="USD"), M203,
            AND(Q203="USD", $Q$2="GBP"), M203*$Z$3,
            AND(Q203="USD", $Q$2="HKD"), M203*$Z$4,
            AND(Q203="USD", $Q$2="EUR"), M203*$Z$5,
            AND(Q203="GBP", $Q$2="GBP"), M203,
            AND(Q203="GBP", $Q$2="USD"), M203*$Z$6,
            AND(Q203="GBP", $Q$2="HKD"), M203*$Z$7,
            AND(Q203="GBP", $Q$2="HKD"), M203*$Z$8,
            AND(Q203="HKG", $Q$2="HKG"), M203,
            AND(Q203="HKD", $Q$2="USD"), M203*$Z$9,
            AND(Q203="HKD", $Q$2="GBP"), M203*$Z$10,
            AND(Q203="HKD", $Q$2="EUR"), M203*$Z$11,
            AND(Q203="EUR", $Q$2="EUR"), M203,
            AND(Q203="EUR", $Q$2="USD"), M203*$Z$12,
            AND(Q203="EUR", $Q$2="GBP"), M203*$Z$13,
            AND(Q203="EUR", $Q$2="HKD"), M203*$Z$14,
        ),
        0
    )
)</f>
        <v>1439.4240000000002</v>
      </c>
      <c r="T203" s="1" t="str">
        <f t="shared" si="24"/>
        <v>1</v>
      </c>
      <c r="U203" s="9" t="str">
        <f t="shared" si="25"/>
        <v>12</v>
      </c>
      <c r="V203" s="1" t="str">
        <f t="shared" si="26"/>
        <v>2023</v>
      </c>
      <c r="W203" s="18" t="str">
        <f t="shared" si="27"/>
        <v>星期五</v>
      </c>
    </row>
    <row r="204" spans="1:23">
      <c r="A204" s="17" t="s">
        <v>399</v>
      </c>
      <c r="B204" s="1" t="s">
        <v>348</v>
      </c>
      <c r="C204" s="9">
        <v>45273</v>
      </c>
      <c r="D204" s="1" t="e" vm="23">
        <v>#VALUE!</v>
      </c>
      <c r="E204" s="1" t="s">
        <v>408</v>
      </c>
      <c r="F204" s="1" t="s">
        <v>401</v>
      </c>
      <c r="H204" s="1" t="s">
        <v>347</v>
      </c>
      <c r="I204" s="1">
        <v>20</v>
      </c>
      <c r="J204" s="27">
        <v>11.33</v>
      </c>
      <c r="K204" s="1">
        <v>2.0499999999999998</v>
      </c>
      <c r="M204" s="24">
        <f t="shared" si="21"/>
        <v>226.6</v>
      </c>
      <c r="N204" s="36">
        <f t="shared" si="22"/>
        <v>-226.6</v>
      </c>
      <c r="O204" s="34">
        <f>IF(ISBLANK(A204),"",SUMIFS(I$3:I204,D$3:D204,D204,H$3:H204,"Buy")+SUMIFS(I$3:I204,D$3:D204,D204,H$3:H204,"Cash Deposit")+SUMIFS(I$3:I204,D$3:D204,D204,H$3:H204,"Crypto Deposit")+SUMIFS(I$3:I204,D$3:D204,D204,H$3:H204,"Airdrop/Rewards")-SUMIFS(I$3:I204,D$3:D204,D204,H$3:H204,"Sell"))</f>
        <v>20</v>
      </c>
      <c r="P204" s="2" cm="1">
        <f t="array" ref="P204">IF(ISBLANK(A204),"",IFERROR(IF(OR(H204="Sell",F204="Stable Coin"),INDEX(_xlfn._xlws.FILTER(P$2:P203, D$2:D203=D204),COUNT(_xlfn._xlws.FILTER(P$2:P203, D$2:D203=D204))),(INDEX(_xlfn._xlws.FILTER(P$2:P203, D$2:D203=D204),COUNT(_xlfn._xlws.FILTER(P$2:P203, D$2:D203=D204)))*INDEX(_xlfn._xlws.FILTER(O$2:O203, D$2:D203=D204),COUNT(_xlfn._xlws.FILTER(O$2:O203, D$2:D203=D204)))-N204) / O204), J204))</f>
        <v>11.33</v>
      </c>
      <c r="Q204" s="1" t="str">
        <f t="shared" si="23"/>
        <v>USD</v>
      </c>
      <c r="R204" s="1" cm="1">
        <f t="array" ref="R204">IF(A204="", "",
    IFERROR(
        _xlfn.SWITCH(
            TRUE,
            AND(Q204="USD", $Q$2="USD"), K204,
            AND(Q204="USD", $Q$2="GBP"), K204*$Z$3,
            AND(Q204="USD", $Q$2="HKD"), K204*$Z$4,
            AND(Q204="USD", $Q$2="EUR"), K204*$Z$5,
            AND(Q204="GBP", $Q$2="GBP"), K204,
            AND(Q204="GBP", $Q$2="USD"), K204*$Z$6,
            AND(Q204="GBP", $Q$2="HKD"), K204*$Z$7,
            AND(Q204="HKG", $Q$2="HKG"), K204,
            AND(Q204="HKD", $Q$2="USD"), K204*$Z$9,
            AND(Q204="HKD", $Q$2="GBP"), K204*$Z$10,
            AND(Q204="HKD", $Q$2="EUR"), K204*$Z$11,
            AND(Q204="EUR", $Q$2="EUR"), K204,
            AND(Q204="EUR", $Q$2="USD"), K204*$Z$12,
            AND(Q204="EUR", $Q$2="GBP"), K204*$Z$13,
            AND(Q204="EUR", $Q$2="HKD"), K204*$Z$14,
        ),
        0
    )
)</f>
        <v>2.0499999999999998</v>
      </c>
      <c r="S204" s="1" cm="1">
        <f t="array" ref="S204">IF(A204="", "",
    IFERROR(
        _xlfn.SWITCH(
            TRUE,
            AND(Q204="USD", $Q$2="USD"), M204,
            AND(Q204="USD", $Q$2="GBP"), M204*$Z$3,
            AND(Q204="USD", $Q$2="HKD"), M204*$Z$4,
            AND(Q204="USD", $Q$2="EUR"), M204*$Z$5,
            AND(Q204="GBP", $Q$2="GBP"), M204,
            AND(Q204="GBP", $Q$2="USD"), M204*$Z$6,
            AND(Q204="GBP", $Q$2="HKD"), M204*$Z$7,
            AND(Q204="GBP", $Q$2="HKD"), M204*$Z$8,
            AND(Q204="HKG", $Q$2="HKG"), M204,
            AND(Q204="HKD", $Q$2="USD"), M204*$Z$9,
            AND(Q204="HKD", $Q$2="GBP"), M204*$Z$10,
            AND(Q204="HKD", $Q$2="EUR"), M204*$Z$11,
            AND(Q204="EUR", $Q$2="EUR"), M204,
            AND(Q204="EUR", $Q$2="USD"), M204*$Z$12,
            AND(Q204="EUR", $Q$2="GBP"), M204*$Z$13,
            AND(Q204="EUR", $Q$2="HKD"), M204*$Z$14,
        ),
        0
    )
)</f>
        <v>226.6</v>
      </c>
      <c r="T204" s="1" t="str">
        <f t="shared" si="24"/>
        <v>13</v>
      </c>
      <c r="U204" s="9" t="str">
        <f t="shared" si="25"/>
        <v>12</v>
      </c>
      <c r="V204" s="1" t="str">
        <f t="shared" si="26"/>
        <v>2023</v>
      </c>
      <c r="W204" s="18" t="str">
        <f t="shared" si="27"/>
        <v>星期三</v>
      </c>
    </row>
    <row r="205" spans="1:23">
      <c r="A205" s="17" t="s">
        <v>399</v>
      </c>
      <c r="B205" s="1" t="s">
        <v>348</v>
      </c>
      <c r="C205" s="9">
        <v>45279</v>
      </c>
      <c r="D205" s="1" t="e" vm="17">
        <v>#VALUE!</v>
      </c>
      <c r="E205" s="1" t="s">
        <v>32</v>
      </c>
      <c r="F205" s="1" t="s">
        <v>401</v>
      </c>
      <c r="H205" s="1" t="s">
        <v>367</v>
      </c>
      <c r="I205" s="1">
        <v>4</v>
      </c>
      <c r="J205" s="27">
        <v>156</v>
      </c>
      <c r="K205" s="1">
        <v>2.02</v>
      </c>
      <c r="M205" s="24">
        <f t="shared" si="21"/>
        <v>621.98</v>
      </c>
      <c r="N205" s="36">
        <f t="shared" si="22"/>
        <v>624</v>
      </c>
      <c r="O205" s="34">
        <f>IF(ISBLANK(A205),"",SUMIFS(I$3:I205,D$3:D205,D205,H$3:H205,"Buy")+SUMIFS(I$3:I205,D$3:D205,D205,H$3:H205,"Cash Deposit")+SUMIFS(I$3:I205,D$3:D205,D205,H$3:H205,"Crypto Deposit")+SUMIFS(I$3:I205,D$3:D205,D205,H$3:H205,"Airdrop/Rewards")-SUMIFS(I$3:I205,D$3:D205,D205,H$3:H205,"Sell"))</f>
        <v>80</v>
      </c>
      <c r="P205" s="2" cm="1">
        <f t="array" ref="P205">IF(ISBLANK(A205),"",IFERROR(IF(OR(H205="Sell",F205="Stable Coin"),INDEX(_xlfn._xlws.FILTER(P$2:P204, D$2:D204=D205),COUNT(_xlfn._xlws.FILTER(P$2:P204, D$2:D204=D205))),(INDEX(_xlfn._xlws.FILTER(P$2:P204, D$2:D204=D205),COUNT(_xlfn._xlws.FILTER(P$2:P204, D$2:D204=D205)))*INDEX(_xlfn._xlws.FILTER(O$2:O204, D$2:D204=D205),COUNT(_xlfn._xlws.FILTER(O$2:O204, D$2:D204=D205)))-N205) / O205), J205))</f>
        <v>66.475679957356064</v>
      </c>
      <c r="Q205" s="1" t="str">
        <f t="shared" si="23"/>
        <v>USD</v>
      </c>
      <c r="R205" s="1" cm="1">
        <f t="array" ref="R205">IF(A205="", "",
    IFERROR(
        _xlfn.SWITCH(
            TRUE,
            AND(Q205="USD", $Q$2="USD"), K205,
            AND(Q205="USD", $Q$2="GBP"), K205*$Z$3,
            AND(Q205="USD", $Q$2="HKD"), K205*$Z$4,
            AND(Q205="USD", $Q$2="EUR"), K205*$Z$5,
            AND(Q205="GBP", $Q$2="GBP"), K205,
            AND(Q205="GBP", $Q$2="USD"), K205*$Z$6,
            AND(Q205="GBP", $Q$2="HKD"), K205*$Z$7,
            AND(Q205="HKG", $Q$2="HKG"), K205,
            AND(Q205="HKD", $Q$2="USD"), K205*$Z$9,
            AND(Q205="HKD", $Q$2="GBP"), K205*$Z$10,
            AND(Q205="HKD", $Q$2="EUR"), K205*$Z$11,
            AND(Q205="EUR", $Q$2="EUR"), K205,
            AND(Q205="EUR", $Q$2="USD"), K205*$Z$12,
            AND(Q205="EUR", $Q$2="GBP"), K205*$Z$13,
            AND(Q205="EUR", $Q$2="HKD"), K205*$Z$14,
        ),
        0
    )
)</f>
        <v>2.02</v>
      </c>
      <c r="S205" s="1" cm="1">
        <f t="array" ref="S205">IF(A205="", "",
    IFERROR(
        _xlfn.SWITCH(
            TRUE,
            AND(Q205="USD", $Q$2="USD"), M205,
            AND(Q205="USD", $Q$2="GBP"), M205*$Z$3,
            AND(Q205="USD", $Q$2="HKD"), M205*$Z$4,
            AND(Q205="USD", $Q$2="EUR"), M205*$Z$5,
            AND(Q205="GBP", $Q$2="GBP"), M205,
            AND(Q205="GBP", $Q$2="USD"), M205*$Z$6,
            AND(Q205="GBP", $Q$2="HKD"), M205*$Z$7,
            AND(Q205="GBP", $Q$2="HKD"), M205*$Z$8,
            AND(Q205="HKG", $Q$2="HKG"), M205,
            AND(Q205="HKD", $Q$2="USD"), M205*$Z$9,
            AND(Q205="HKD", $Q$2="GBP"), M205*$Z$10,
            AND(Q205="HKD", $Q$2="EUR"), M205*$Z$11,
            AND(Q205="EUR", $Q$2="EUR"), M205,
            AND(Q205="EUR", $Q$2="USD"), M205*$Z$12,
            AND(Q205="EUR", $Q$2="GBP"), M205*$Z$13,
            AND(Q205="EUR", $Q$2="HKD"), M205*$Z$14,
        ),
        0
    )
)</f>
        <v>621.98</v>
      </c>
      <c r="T205" s="1" t="str">
        <f t="shared" si="24"/>
        <v>19</v>
      </c>
      <c r="U205" s="9" t="str">
        <f t="shared" si="25"/>
        <v>12</v>
      </c>
      <c r="V205" s="1" t="str">
        <f t="shared" si="26"/>
        <v>2023</v>
      </c>
      <c r="W205" s="18" t="str">
        <f t="shared" si="27"/>
        <v>星期二</v>
      </c>
    </row>
    <row r="206" spans="1:23">
      <c r="A206" s="17" t="s">
        <v>399</v>
      </c>
      <c r="B206" s="1" t="s">
        <v>348</v>
      </c>
      <c r="C206" s="9">
        <v>45279</v>
      </c>
      <c r="D206" s="1" t="e" vm="20">
        <v>#VALUE!</v>
      </c>
      <c r="E206" s="1" t="s">
        <v>402</v>
      </c>
      <c r="F206" s="1" t="s">
        <v>401</v>
      </c>
      <c r="H206" s="1" t="s">
        <v>367</v>
      </c>
      <c r="I206" s="1">
        <v>30</v>
      </c>
      <c r="J206" s="27">
        <v>20.66</v>
      </c>
      <c r="K206" s="1">
        <v>2.1</v>
      </c>
      <c r="M206" s="24">
        <f t="shared" si="21"/>
        <v>617.69999999999993</v>
      </c>
      <c r="N206" s="36">
        <f t="shared" si="22"/>
        <v>619.79999999999995</v>
      </c>
      <c r="O206" s="34">
        <f>IF(ISBLANK(A206),"",SUMIFS(I$3:I206,D$3:D206,D206,H$3:H206,"Buy")+SUMIFS(I$3:I206,D$3:D206,D206,H$3:H206,"Cash Deposit")+SUMIFS(I$3:I206,D$3:D206,D206,H$3:H206,"Crypto Deposit")+SUMIFS(I$3:I206,D$3:D206,D206,H$3:H206,"Airdrop/Rewards")-SUMIFS(I$3:I206,D$3:D206,D206,H$3:H206,"Sell"))</f>
        <v>220</v>
      </c>
      <c r="P206" s="2" cm="1">
        <f t="array" ref="P206">IF(ISBLANK(A206),"",IFERROR(IF(OR(H206="Sell",F206="Stable Coin"),INDEX(_xlfn._xlws.FILTER(P$2:P205, D$2:D205=D206),COUNT(_xlfn._xlws.FILTER(P$2:P205, D$2:D205=D206))),(INDEX(_xlfn._xlws.FILTER(P$2:P205, D$2:D205=D206),COUNT(_xlfn._xlws.FILTER(P$2:P205, D$2:D205=D206)))*INDEX(_xlfn._xlws.FILTER(O$2:O205, D$2:D205=D206),COUNT(_xlfn._xlws.FILTER(O$2:O205, D$2:D205=D206)))-N206) / O206), J206))</f>
        <v>9.1493706666666679</v>
      </c>
      <c r="Q206" s="1" t="str">
        <f t="shared" si="23"/>
        <v>USD</v>
      </c>
      <c r="R206" s="1" cm="1">
        <f t="array" ref="R206">IF(A206="", "",
    IFERROR(
        _xlfn.SWITCH(
            TRUE,
            AND(Q206="USD", $Q$2="USD"), K206,
            AND(Q206="USD", $Q$2="GBP"), K206*$Z$3,
            AND(Q206="USD", $Q$2="HKD"), K206*$Z$4,
            AND(Q206="USD", $Q$2="EUR"), K206*$Z$5,
            AND(Q206="GBP", $Q$2="GBP"), K206,
            AND(Q206="GBP", $Q$2="USD"), K206*$Z$6,
            AND(Q206="GBP", $Q$2="HKD"), K206*$Z$7,
            AND(Q206="HKG", $Q$2="HKG"), K206,
            AND(Q206="HKD", $Q$2="USD"), K206*$Z$9,
            AND(Q206="HKD", $Q$2="GBP"), K206*$Z$10,
            AND(Q206="HKD", $Q$2="EUR"), K206*$Z$11,
            AND(Q206="EUR", $Q$2="EUR"), K206,
            AND(Q206="EUR", $Q$2="USD"), K206*$Z$12,
            AND(Q206="EUR", $Q$2="GBP"), K206*$Z$13,
            AND(Q206="EUR", $Q$2="HKD"), K206*$Z$14,
        ),
        0
    )
)</f>
        <v>2.1</v>
      </c>
      <c r="S206" s="1" cm="1">
        <f t="array" ref="S206">IF(A206="", "",
    IFERROR(
        _xlfn.SWITCH(
            TRUE,
            AND(Q206="USD", $Q$2="USD"), M206,
            AND(Q206="USD", $Q$2="GBP"), M206*$Z$3,
            AND(Q206="USD", $Q$2="HKD"), M206*$Z$4,
            AND(Q206="USD", $Q$2="EUR"), M206*$Z$5,
            AND(Q206="GBP", $Q$2="GBP"), M206,
            AND(Q206="GBP", $Q$2="USD"), M206*$Z$6,
            AND(Q206="GBP", $Q$2="HKD"), M206*$Z$7,
            AND(Q206="GBP", $Q$2="HKD"), M206*$Z$8,
            AND(Q206="HKG", $Q$2="HKG"), M206,
            AND(Q206="HKD", $Q$2="USD"), M206*$Z$9,
            AND(Q206="HKD", $Q$2="GBP"), M206*$Z$10,
            AND(Q206="HKD", $Q$2="EUR"), M206*$Z$11,
            AND(Q206="EUR", $Q$2="EUR"), M206,
            AND(Q206="EUR", $Q$2="USD"), M206*$Z$12,
            AND(Q206="EUR", $Q$2="GBP"), M206*$Z$13,
            AND(Q206="EUR", $Q$2="HKD"), M206*$Z$14,
        ),
        0
    )
)</f>
        <v>617.69999999999993</v>
      </c>
      <c r="T206" s="1" t="str">
        <f t="shared" si="24"/>
        <v>19</v>
      </c>
      <c r="U206" s="9" t="str">
        <f t="shared" si="25"/>
        <v>12</v>
      </c>
      <c r="V206" s="1" t="str">
        <f t="shared" si="26"/>
        <v>2023</v>
      </c>
      <c r="W206" s="18" t="str">
        <f t="shared" si="27"/>
        <v>星期二</v>
      </c>
    </row>
    <row r="207" spans="1:23">
      <c r="A207" s="17" t="s">
        <v>399</v>
      </c>
      <c r="B207" s="1" t="s">
        <v>348</v>
      </c>
      <c r="C207" s="9">
        <v>45280</v>
      </c>
      <c r="D207" s="1" t="e" vm="17">
        <v>#VALUE!</v>
      </c>
      <c r="E207" s="1" t="s">
        <v>32</v>
      </c>
      <c r="F207" s="1" t="s">
        <v>401</v>
      </c>
      <c r="H207" s="1" t="s">
        <v>367</v>
      </c>
      <c r="I207" s="1">
        <v>3</v>
      </c>
      <c r="J207" s="27">
        <v>168.3</v>
      </c>
      <c r="K207" s="1">
        <v>2.02</v>
      </c>
      <c r="M207" s="24">
        <f t="shared" si="21"/>
        <v>502.88000000000005</v>
      </c>
      <c r="N207" s="36">
        <f t="shared" si="22"/>
        <v>504.90000000000003</v>
      </c>
      <c r="O207" s="34">
        <f>IF(ISBLANK(A207),"",SUMIFS(I$3:I207,D$3:D207,D207,H$3:H207,"Buy")+SUMIFS(I$3:I207,D$3:D207,D207,H$3:H207,"Cash Deposit")+SUMIFS(I$3:I207,D$3:D207,D207,H$3:H207,"Crypto Deposit")+SUMIFS(I$3:I207,D$3:D207,D207,H$3:H207,"Airdrop/Rewards")-SUMIFS(I$3:I207,D$3:D207,D207,H$3:H207,"Sell"))</f>
        <v>77</v>
      </c>
      <c r="P207" s="2" cm="1">
        <f t="array" ref="P207">IF(ISBLANK(A207),"",IFERROR(IF(OR(H207="Sell",F207="Stable Coin"),INDEX(_xlfn._xlws.FILTER(P$2:P206, D$2:D206=D207),COUNT(_xlfn._xlws.FILTER(P$2:P206, D$2:D206=D207))),(INDEX(_xlfn._xlws.FILTER(P$2:P206, D$2:D206=D207),COUNT(_xlfn._xlws.FILTER(P$2:P206, D$2:D206=D207)))*INDEX(_xlfn._xlws.FILTER(O$2:O206, D$2:D206=D207),COUNT(_xlfn._xlws.FILTER(O$2:O206, D$2:D206=D207)))-N207) / O207), J207))</f>
        <v>66.475679957356064</v>
      </c>
      <c r="Q207" s="1" t="str">
        <f t="shared" si="23"/>
        <v>USD</v>
      </c>
      <c r="R207" s="1" cm="1">
        <f t="array" ref="R207">IF(A207="", "",
    IFERROR(
        _xlfn.SWITCH(
            TRUE,
            AND(Q207="USD", $Q$2="USD"), K207,
            AND(Q207="USD", $Q$2="GBP"), K207*$Z$3,
            AND(Q207="USD", $Q$2="HKD"), K207*$Z$4,
            AND(Q207="USD", $Q$2="EUR"), K207*$Z$5,
            AND(Q207="GBP", $Q$2="GBP"), K207,
            AND(Q207="GBP", $Q$2="USD"), K207*$Z$6,
            AND(Q207="GBP", $Q$2="HKD"), K207*$Z$7,
            AND(Q207="HKG", $Q$2="HKG"), K207,
            AND(Q207="HKD", $Q$2="USD"), K207*$Z$9,
            AND(Q207="HKD", $Q$2="GBP"), K207*$Z$10,
            AND(Q207="HKD", $Q$2="EUR"), K207*$Z$11,
            AND(Q207="EUR", $Q$2="EUR"), K207,
            AND(Q207="EUR", $Q$2="USD"), K207*$Z$12,
            AND(Q207="EUR", $Q$2="GBP"), K207*$Z$13,
            AND(Q207="EUR", $Q$2="HKD"), K207*$Z$14,
        ),
        0
    )
)</f>
        <v>2.02</v>
      </c>
      <c r="S207" s="1" cm="1">
        <f t="array" ref="S207">IF(A207="", "",
    IFERROR(
        _xlfn.SWITCH(
            TRUE,
            AND(Q207="USD", $Q$2="USD"), M207,
            AND(Q207="USD", $Q$2="GBP"), M207*$Z$3,
            AND(Q207="USD", $Q$2="HKD"), M207*$Z$4,
            AND(Q207="USD", $Q$2="EUR"), M207*$Z$5,
            AND(Q207="GBP", $Q$2="GBP"), M207,
            AND(Q207="GBP", $Q$2="USD"), M207*$Z$6,
            AND(Q207="GBP", $Q$2="HKD"), M207*$Z$7,
            AND(Q207="GBP", $Q$2="HKD"), M207*$Z$8,
            AND(Q207="HKG", $Q$2="HKG"), M207,
            AND(Q207="HKD", $Q$2="USD"), M207*$Z$9,
            AND(Q207="HKD", $Q$2="GBP"), M207*$Z$10,
            AND(Q207="HKD", $Q$2="EUR"), M207*$Z$11,
            AND(Q207="EUR", $Q$2="EUR"), M207,
            AND(Q207="EUR", $Q$2="USD"), M207*$Z$12,
            AND(Q207="EUR", $Q$2="GBP"), M207*$Z$13,
            AND(Q207="EUR", $Q$2="HKD"), M207*$Z$14,
        ),
        0
    )
)</f>
        <v>502.88000000000005</v>
      </c>
      <c r="T207" s="1" t="str">
        <f t="shared" si="24"/>
        <v>20</v>
      </c>
      <c r="U207" s="9" t="str">
        <f t="shared" si="25"/>
        <v>12</v>
      </c>
      <c r="V207" s="1" t="str">
        <f t="shared" si="26"/>
        <v>2023</v>
      </c>
      <c r="W207" s="18" t="str">
        <f t="shared" si="27"/>
        <v>星期三</v>
      </c>
    </row>
    <row r="208" spans="1:23">
      <c r="A208" s="17" t="s">
        <v>399</v>
      </c>
      <c r="B208" s="1" t="s">
        <v>348</v>
      </c>
      <c r="C208" s="9">
        <v>45281</v>
      </c>
      <c r="D208" s="1" t="e" vm="20">
        <v>#VALUE!</v>
      </c>
      <c r="E208" s="1" t="s">
        <v>402</v>
      </c>
      <c r="F208" s="1" t="s">
        <v>401</v>
      </c>
      <c r="H208" s="1" t="s">
        <v>367</v>
      </c>
      <c r="I208" s="1">
        <v>20</v>
      </c>
      <c r="J208" s="27">
        <v>23.090800000000002</v>
      </c>
      <c r="K208" s="1">
        <v>2.0699999999999998</v>
      </c>
      <c r="M208" s="24">
        <f t="shared" si="21"/>
        <v>459.74600000000004</v>
      </c>
      <c r="N208" s="36">
        <f t="shared" si="22"/>
        <v>461.81600000000003</v>
      </c>
      <c r="O208" s="34">
        <f>IF(ISBLANK(A208),"",SUMIFS(I$3:I208,D$3:D208,D208,H$3:H208,"Buy")+SUMIFS(I$3:I208,D$3:D208,D208,H$3:H208,"Cash Deposit")+SUMIFS(I$3:I208,D$3:D208,D208,H$3:H208,"Crypto Deposit")+SUMIFS(I$3:I208,D$3:D208,D208,H$3:H208,"Airdrop/Rewards")-SUMIFS(I$3:I208,D$3:D208,D208,H$3:H208,"Sell"))</f>
        <v>200</v>
      </c>
      <c r="P208" s="2" cm="1">
        <f t="array" ref="P208">IF(ISBLANK(A208),"",IFERROR(IF(OR(H208="Sell",F208="Stable Coin"),INDEX(_xlfn._xlws.FILTER(P$2:P207, D$2:D207=D208),COUNT(_xlfn._xlws.FILTER(P$2:P207, D$2:D207=D208))),(INDEX(_xlfn._xlws.FILTER(P$2:P207, D$2:D207=D208),COUNT(_xlfn._xlws.FILTER(P$2:P207, D$2:D207=D208)))*INDEX(_xlfn._xlws.FILTER(O$2:O207, D$2:D207=D208),COUNT(_xlfn._xlws.FILTER(O$2:O207, D$2:D207=D208)))-N208) / O208), J208))</f>
        <v>9.1493706666666679</v>
      </c>
      <c r="Q208" s="1" t="str">
        <f t="shared" si="23"/>
        <v>USD</v>
      </c>
      <c r="R208" s="1" cm="1">
        <f t="array" ref="R208">IF(A208="", "",
    IFERROR(
        _xlfn.SWITCH(
            TRUE,
            AND(Q208="USD", $Q$2="USD"), K208,
            AND(Q208="USD", $Q$2="GBP"), K208*$Z$3,
            AND(Q208="USD", $Q$2="HKD"), K208*$Z$4,
            AND(Q208="USD", $Q$2="EUR"), K208*$Z$5,
            AND(Q208="GBP", $Q$2="GBP"), K208,
            AND(Q208="GBP", $Q$2="USD"), K208*$Z$6,
            AND(Q208="GBP", $Q$2="HKD"), K208*$Z$7,
            AND(Q208="HKG", $Q$2="HKG"), K208,
            AND(Q208="HKD", $Q$2="USD"), K208*$Z$9,
            AND(Q208="HKD", $Q$2="GBP"), K208*$Z$10,
            AND(Q208="HKD", $Q$2="EUR"), K208*$Z$11,
            AND(Q208="EUR", $Q$2="EUR"), K208,
            AND(Q208="EUR", $Q$2="USD"), K208*$Z$12,
            AND(Q208="EUR", $Q$2="GBP"), K208*$Z$13,
            AND(Q208="EUR", $Q$2="HKD"), K208*$Z$14,
        ),
        0
    )
)</f>
        <v>2.0699999999999998</v>
      </c>
      <c r="S208" s="1" cm="1">
        <f t="array" ref="S208">IF(A208="", "",
    IFERROR(
        _xlfn.SWITCH(
            TRUE,
            AND(Q208="USD", $Q$2="USD"), M208,
            AND(Q208="USD", $Q$2="GBP"), M208*$Z$3,
            AND(Q208="USD", $Q$2="HKD"), M208*$Z$4,
            AND(Q208="USD", $Q$2="EUR"), M208*$Z$5,
            AND(Q208="GBP", $Q$2="GBP"), M208,
            AND(Q208="GBP", $Q$2="USD"), M208*$Z$6,
            AND(Q208="GBP", $Q$2="HKD"), M208*$Z$7,
            AND(Q208="GBP", $Q$2="HKD"), M208*$Z$8,
            AND(Q208="HKG", $Q$2="HKG"), M208,
            AND(Q208="HKD", $Q$2="USD"), M208*$Z$9,
            AND(Q208="HKD", $Q$2="GBP"), M208*$Z$10,
            AND(Q208="HKD", $Q$2="EUR"), M208*$Z$11,
            AND(Q208="EUR", $Q$2="EUR"), M208,
            AND(Q208="EUR", $Q$2="USD"), M208*$Z$12,
            AND(Q208="EUR", $Q$2="GBP"), M208*$Z$13,
            AND(Q208="EUR", $Q$2="HKD"), M208*$Z$14,
        ),
        0
    )
)</f>
        <v>459.74600000000004</v>
      </c>
      <c r="T208" s="1" t="str">
        <f t="shared" si="24"/>
        <v>21</v>
      </c>
      <c r="U208" s="9" t="str">
        <f t="shared" si="25"/>
        <v>12</v>
      </c>
      <c r="V208" s="1" t="str">
        <f t="shared" si="26"/>
        <v>2023</v>
      </c>
      <c r="W208" s="18" t="str">
        <f t="shared" si="27"/>
        <v>星期四</v>
      </c>
    </row>
    <row r="209" spans="1:23">
      <c r="A209" s="17" t="s">
        <v>399</v>
      </c>
      <c r="B209" s="1" t="s">
        <v>348</v>
      </c>
      <c r="C209" s="9">
        <v>45281</v>
      </c>
      <c r="D209" s="1" t="e" vm="17">
        <v>#VALUE!</v>
      </c>
      <c r="E209" s="1" t="s">
        <v>32</v>
      </c>
      <c r="F209" s="1" t="s">
        <v>401</v>
      </c>
      <c r="H209" s="1" t="s">
        <v>367</v>
      </c>
      <c r="I209" s="1">
        <v>3</v>
      </c>
      <c r="J209" s="27">
        <v>166.6</v>
      </c>
      <c r="K209" s="1">
        <v>2.02</v>
      </c>
      <c r="M209" s="24">
        <f t="shared" si="21"/>
        <v>497.78</v>
      </c>
      <c r="N209" s="36">
        <f t="shared" si="22"/>
        <v>499.79999999999995</v>
      </c>
      <c r="O209" s="34">
        <f>IF(ISBLANK(A209),"",SUMIFS(I$3:I209,D$3:D209,D209,H$3:H209,"Buy")+SUMIFS(I$3:I209,D$3:D209,D209,H$3:H209,"Cash Deposit")+SUMIFS(I$3:I209,D$3:D209,D209,H$3:H209,"Crypto Deposit")+SUMIFS(I$3:I209,D$3:D209,D209,H$3:H209,"Airdrop/Rewards")-SUMIFS(I$3:I209,D$3:D209,D209,H$3:H209,"Sell"))</f>
        <v>74</v>
      </c>
      <c r="P209" s="2" cm="1">
        <f t="array" ref="P209">IF(ISBLANK(A209),"",IFERROR(IF(OR(H209="Sell",F209="Stable Coin"),INDEX(_xlfn._xlws.FILTER(P$2:P208, D$2:D208=D209),COUNT(_xlfn._xlws.FILTER(P$2:P208, D$2:D208=D209))),(INDEX(_xlfn._xlws.FILTER(P$2:P208, D$2:D208=D209),COUNT(_xlfn._xlws.FILTER(P$2:P208, D$2:D208=D209)))*INDEX(_xlfn._xlws.FILTER(O$2:O208, D$2:D208=D209),COUNT(_xlfn._xlws.FILTER(O$2:O208, D$2:D208=D209)))-N209) / O209), J209))</f>
        <v>66.475679957356064</v>
      </c>
      <c r="Q209" s="1" t="str">
        <f t="shared" si="23"/>
        <v>USD</v>
      </c>
      <c r="R209" s="1" cm="1">
        <f t="array" ref="R209">IF(A209="", "",
    IFERROR(
        _xlfn.SWITCH(
            TRUE,
            AND(Q209="USD", $Q$2="USD"), K209,
            AND(Q209="USD", $Q$2="GBP"), K209*$Z$3,
            AND(Q209="USD", $Q$2="HKD"), K209*$Z$4,
            AND(Q209="USD", $Q$2="EUR"), K209*$Z$5,
            AND(Q209="GBP", $Q$2="GBP"), K209,
            AND(Q209="GBP", $Q$2="USD"), K209*$Z$6,
            AND(Q209="GBP", $Q$2="HKD"), K209*$Z$7,
            AND(Q209="HKG", $Q$2="HKG"), K209,
            AND(Q209="HKD", $Q$2="USD"), K209*$Z$9,
            AND(Q209="HKD", $Q$2="GBP"), K209*$Z$10,
            AND(Q209="HKD", $Q$2="EUR"), K209*$Z$11,
            AND(Q209="EUR", $Q$2="EUR"), K209,
            AND(Q209="EUR", $Q$2="USD"), K209*$Z$12,
            AND(Q209="EUR", $Q$2="GBP"), K209*$Z$13,
            AND(Q209="EUR", $Q$2="HKD"), K209*$Z$14,
        ),
        0
    )
)</f>
        <v>2.02</v>
      </c>
      <c r="S209" s="1" cm="1">
        <f t="array" ref="S209">IF(A209="", "",
    IFERROR(
        _xlfn.SWITCH(
            TRUE,
            AND(Q209="USD", $Q$2="USD"), M209,
            AND(Q209="USD", $Q$2="GBP"), M209*$Z$3,
            AND(Q209="USD", $Q$2="HKD"), M209*$Z$4,
            AND(Q209="USD", $Q$2="EUR"), M209*$Z$5,
            AND(Q209="GBP", $Q$2="GBP"), M209,
            AND(Q209="GBP", $Q$2="USD"), M209*$Z$6,
            AND(Q209="GBP", $Q$2="HKD"), M209*$Z$7,
            AND(Q209="GBP", $Q$2="HKD"), M209*$Z$8,
            AND(Q209="HKG", $Q$2="HKG"), M209,
            AND(Q209="HKD", $Q$2="USD"), M209*$Z$9,
            AND(Q209="HKD", $Q$2="GBP"), M209*$Z$10,
            AND(Q209="HKD", $Q$2="EUR"), M209*$Z$11,
            AND(Q209="EUR", $Q$2="EUR"), M209,
            AND(Q209="EUR", $Q$2="USD"), M209*$Z$12,
            AND(Q209="EUR", $Q$2="GBP"), M209*$Z$13,
            AND(Q209="EUR", $Q$2="HKD"), M209*$Z$14,
        ),
        0
    )
)</f>
        <v>497.78</v>
      </c>
      <c r="T209" s="1" t="str">
        <f t="shared" si="24"/>
        <v>21</v>
      </c>
      <c r="U209" s="9" t="str">
        <f t="shared" si="25"/>
        <v>12</v>
      </c>
      <c r="V209" s="1" t="str">
        <f t="shared" si="26"/>
        <v>2023</v>
      </c>
      <c r="W209" s="18" t="str">
        <f t="shared" si="27"/>
        <v>星期四</v>
      </c>
    </row>
    <row r="210" spans="1:23">
      <c r="A210" s="17" t="s">
        <v>32</v>
      </c>
      <c r="B210" s="1" t="s">
        <v>343</v>
      </c>
      <c r="C210" s="9">
        <v>45282</v>
      </c>
      <c r="D210" s="1" t="s">
        <v>345</v>
      </c>
      <c r="E210" s="1" t="s">
        <v>345</v>
      </c>
      <c r="F210" s="1" t="s">
        <v>345</v>
      </c>
      <c r="H210" s="1" t="s">
        <v>344</v>
      </c>
      <c r="I210" s="1">
        <v>1</v>
      </c>
      <c r="J210" s="27">
        <v>100</v>
      </c>
      <c r="M210" s="24">
        <f t="shared" si="21"/>
        <v>100</v>
      </c>
      <c r="N210" s="36">
        <f t="shared" si="22"/>
        <v>-100</v>
      </c>
      <c r="O210" s="34">
        <f>IF(ISBLANK(A210),"",SUMIFS(I$3:I210,D$3:D210,D210,H$3:H210,"Buy")+SUMIFS(I$3:I210,D$3:D210,D210,H$3:H210,"Cash Deposit")+SUMIFS(I$3:I210,D$3:D210,D210,H$3:H210,"Crypto Deposit")+SUMIFS(I$3:I210,D$3:D210,D210,H$3:H210,"Airdrop/Rewards")-SUMIFS(I$3:I210,D$3:D210,D210,H$3:H210,"Sell"))</f>
        <v>12</v>
      </c>
      <c r="P210" s="2" cm="1">
        <f t="array" ref="P210">IF(ISBLANK(A210),"",IFERROR(IF(OR(H210="Sell",F210="Stable Coin"),INDEX(_xlfn._xlws.FILTER(P$2:P209, D$2:D209=D210),COUNT(_xlfn._xlws.FILTER(P$2:P209, D$2:D209=D210))),(INDEX(_xlfn._xlws.FILTER(P$2:P209, D$2:D209=D210),COUNT(_xlfn._xlws.FILTER(P$2:P209, D$2:D209=D210)))*INDEX(_xlfn._xlws.FILTER(O$2:O209, D$2:D209=D210),COUNT(_xlfn._xlws.FILTER(O$2:O209, D$2:D209=D210)))-N210) / O210), J210))</f>
        <v>1490</v>
      </c>
      <c r="Q210" s="1" t="str">
        <f t="shared" si="23"/>
        <v>GBP</v>
      </c>
      <c r="R210" s="1" cm="1">
        <f t="array" ref="R210">IF(A210="", "",
    IFERROR(
        _xlfn.SWITCH(
            TRUE,
            AND(Q210="USD", $Q$2="USD"), K210,
            AND(Q210="USD", $Q$2="GBP"), K210*$Z$3,
            AND(Q210="USD", $Q$2="HKD"), K210*$Z$4,
            AND(Q210="USD", $Q$2="EUR"), K210*$Z$5,
            AND(Q210="GBP", $Q$2="GBP"), K210,
            AND(Q210="GBP", $Q$2="USD"), K210*$Z$6,
            AND(Q210="GBP", $Q$2="HKD"), K210*$Z$7,
            AND(Q210="HKG", $Q$2="HKG"), K210,
            AND(Q210="HKD", $Q$2="USD"), K210*$Z$9,
            AND(Q210="HKD", $Q$2="GBP"), K210*$Z$10,
            AND(Q210="HKD", $Q$2="EUR"), K210*$Z$11,
            AND(Q210="EUR", $Q$2="EUR"), K210,
            AND(Q210="EUR", $Q$2="USD"), K210*$Z$12,
            AND(Q210="EUR", $Q$2="GBP"), K210*$Z$13,
            AND(Q210="EUR", $Q$2="HKD"), K210*$Z$14,
        ),
        0
    )
)</f>
        <v>0</v>
      </c>
      <c r="S210" s="1" cm="1">
        <f t="array" ref="S210">IF(A210="", "",
    IFERROR(
        _xlfn.SWITCH(
            TRUE,
            AND(Q210="USD", $Q$2="USD"), M210,
            AND(Q210="USD", $Q$2="GBP"), M210*$Z$3,
            AND(Q210="USD", $Q$2="HKD"), M210*$Z$4,
            AND(Q210="USD", $Q$2="EUR"), M210*$Z$5,
            AND(Q210="GBP", $Q$2="GBP"), M210,
            AND(Q210="GBP", $Q$2="USD"), M210*$Z$6,
            AND(Q210="GBP", $Q$2="HKD"), M210*$Z$7,
            AND(Q210="GBP", $Q$2="HKD"), M210*$Z$8,
            AND(Q210="HKG", $Q$2="HKG"), M210,
            AND(Q210="HKD", $Q$2="USD"), M210*$Z$9,
            AND(Q210="HKD", $Q$2="GBP"), M210*$Z$10,
            AND(Q210="HKD", $Q$2="EUR"), M210*$Z$11,
            AND(Q210="EUR", $Q$2="EUR"), M210,
            AND(Q210="EUR", $Q$2="USD"), M210*$Z$12,
            AND(Q210="EUR", $Q$2="GBP"), M210*$Z$13,
            AND(Q210="EUR", $Q$2="HKD"), M210*$Z$14,
        ),
        0
    )
)</f>
        <v>127.82</v>
      </c>
      <c r="T210" s="1" t="str">
        <f t="shared" si="24"/>
        <v>22</v>
      </c>
      <c r="U210" s="9" t="str">
        <f t="shared" si="25"/>
        <v>12</v>
      </c>
      <c r="V210" s="1" t="str">
        <f t="shared" si="26"/>
        <v>2023</v>
      </c>
      <c r="W210" s="18" t="str">
        <f t="shared" si="27"/>
        <v>星期五</v>
      </c>
    </row>
    <row r="211" spans="1:23">
      <c r="A211" s="17" t="s">
        <v>32</v>
      </c>
      <c r="B211" s="1" t="s">
        <v>343</v>
      </c>
      <c r="C211" s="9">
        <v>45282</v>
      </c>
      <c r="D211" s="1" t="s">
        <v>345</v>
      </c>
      <c r="E211" s="1" t="s">
        <v>345</v>
      </c>
      <c r="F211" s="1" t="s">
        <v>345</v>
      </c>
      <c r="I211" s="1">
        <v>1</v>
      </c>
      <c r="J211" s="27">
        <v>100</v>
      </c>
      <c r="M211" s="24">
        <f t="shared" si="21"/>
        <v>100</v>
      </c>
      <c r="N211" s="36">
        <f t="shared" si="22"/>
        <v>0</v>
      </c>
      <c r="O211" s="34">
        <f>IF(ISBLANK(A211),"",SUMIFS(I$3:I211,D$3:D211,D211,H$3:H211,"Buy")+SUMIFS(I$3:I211,D$3:D211,D211,H$3:H211,"Cash Deposit")+SUMIFS(I$3:I211,D$3:D211,D211,H$3:H211,"Crypto Deposit")+SUMIFS(I$3:I211,D$3:D211,D211,H$3:H211,"Airdrop/Rewards")-SUMIFS(I$3:I211,D$3:D211,D211,H$3:H211,"Sell"))</f>
        <v>12</v>
      </c>
      <c r="P211" s="2" cm="1">
        <f t="array" ref="P211">IF(ISBLANK(A211),"",IFERROR(IF(OR(H211="Sell",F211="Stable Coin"),INDEX(_xlfn._xlws.FILTER(P$2:P210, D$2:D210=D211),COUNT(_xlfn._xlws.FILTER(P$2:P210, D$2:D210=D211))),(INDEX(_xlfn._xlws.FILTER(P$2:P210, D$2:D210=D211),COUNT(_xlfn._xlws.FILTER(P$2:P210, D$2:D210=D211)))*INDEX(_xlfn._xlws.FILTER(O$2:O210, D$2:D210=D211),COUNT(_xlfn._xlws.FILTER(O$2:O210, D$2:D210=D211)))-N211) / O211), J211))</f>
        <v>1490</v>
      </c>
      <c r="Q211" s="1" t="str">
        <f t="shared" si="23"/>
        <v>GBP</v>
      </c>
      <c r="R211" s="1" cm="1">
        <f t="array" ref="R211">IF(A211="", "",
    IFERROR(
        _xlfn.SWITCH(
            TRUE,
            AND(Q211="USD", $Q$2="USD"), K211,
            AND(Q211="USD", $Q$2="GBP"), K211*$Z$3,
            AND(Q211="USD", $Q$2="HKD"), K211*$Z$4,
            AND(Q211="USD", $Q$2="EUR"), K211*$Z$5,
            AND(Q211="GBP", $Q$2="GBP"), K211,
            AND(Q211="GBP", $Q$2="USD"), K211*$Z$6,
            AND(Q211="GBP", $Q$2="HKD"), K211*$Z$7,
            AND(Q211="HKG", $Q$2="HKG"), K211,
            AND(Q211="HKD", $Q$2="USD"), K211*$Z$9,
            AND(Q211="HKD", $Q$2="GBP"), K211*$Z$10,
            AND(Q211="HKD", $Q$2="EUR"), K211*$Z$11,
            AND(Q211="EUR", $Q$2="EUR"), K211,
            AND(Q211="EUR", $Q$2="USD"), K211*$Z$12,
            AND(Q211="EUR", $Q$2="GBP"), K211*$Z$13,
            AND(Q211="EUR", $Q$2="HKD"), K211*$Z$14,
        ),
        0
    )
)</f>
        <v>0</v>
      </c>
      <c r="S211" s="1" cm="1">
        <f t="array" ref="S211">IF(A211="", "",
    IFERROR(
        _xlfn.SWITCH(
            TRUE,
            AND(Q211="USD", $Q$2="USD"), M211,
            AND(Q211="USD", $Q$2="GBP"), M211*$Z$3,
            AND(Q211="USD", $Q$2="HKD"), M211*$Z$4,
            AND(Q211="USD", $Q$2="EUR"), M211*$Z$5,
            AND(Q211="GBP", $Q$2="GBP"), M211,
            AND(Q211="GBP", $Q$2="USD"), M211*$Z$6,
            AND(Q211="GBP", $Q$2="HKD"), M211*$Z$7,
            AND(Q211="GBP", $Q$2="HKD"), M211*$Z$8,
            AND(Q211="HKG", $Q$2="HKG"), M211,
            AND(Q211="HKD", $Q$2="USD"), M211*$Z$9,
            AND(Q211="HKD", $Q$2="GBP"), M211*$Z$10,
            AND(Q211="HKD", $Q$2="EUR"), M211*$Z$11,
            AND(Q211="EUR", $Q$2="EUR"), M211,
            AND(Q211="EUR", $Q$2="USD"), M211*$Z$12,
            AND(Q211="EUR", $Q$2="GBP"), M211*$Z$13,
            AND(Q211="EUR", $Q$2="HKD"), M211*$Z$14,
        ),
        0
    )
)</f>
        <v>127.82</v>
      </c>
      <c r="T211" s="1" t="str">
        <f t="shared" si="24"/>
        <v>22</v>
      </c>
      <c r="U211" s="9" t="str">
        <f t="shared" si="25"/>
        <v>12</v>
      </c>
      <c r="V211" s="1" t="str">
        <f t="shared" si="26"/>
        <v>2023</v>
      </c>
      <c r="W211" s="18" t="str">
        <f t="shared" si="27"/>
        <v>星期五</v>
      </c>
    </row>
    <row r="212" spans="1:23">
      <c r="A212" s="17" t="s">
        <v>32</v>
      </c>
      <c r="B212" s="1" t="s">
        <v>348</v>
      </c>
      <c r="C212" s="9">
        <v>45282</v>
      </c>
      <c r="D212" s="1" t="s">
        <v>122</v>
      </c>
      <c r="E212" s="1" t="s">
        <v>122</v>
      </c>
      <c r="F212" s="1" t="s">
        <v>346</v>
      </c>
      <c r="H212" s="1" t="s">
        <v>347</v>
      </c>
      <c r="I212" s="1">
        <v>126.24</v>
      </c>
      <c r="J212" s="27">
        <v>1</v>
      </c>
      <c r="M212" s="24">
        <f t="shared" si="21"/>
        <v>126.24</v>
      </c>
      <c r="N212" s="36">
        <f t="shared" si="22"/>
        <v>-126.24</v>
      </c>
      <c r="O212" s="34">
        <f>IF(ISBLANK(A212),"",SUMIFS(I$3:I212,D$3:D212,D212,H$3:H212,"Buy")+SUMIFS(I$3:I212,D$3:D212,D212,H$3:H212,"Cash Deposit")+SUMIFS(I$3:I212,D$3:D212,D212,H$3:H212,"Crypto Deposit")+SUMIFS(I$3:I212,D$3:D212,D212,H$3:H212,"Airdrop/Rewards")-SUMIFS(I$3:I212,D$3:D212,D212,H$3:H212,"Sell"))</f>
        <v>126.17000000000007</v>
      </c>
      <c r="P212" s="2" cm="1">
        <f t="array" ref="P212">IF(ISBLANK(A212),"",IFERROR(IF(OR(H212="Sell",F212="Stable Coin"),INDEX(_xlfn._xlws.FILTER(P$2:P211, D$2:D211=D212),COUNT(_xlfn._xlws.FILTER(P$2:P211, D$2:D211=D212))),(INDEX(_xlfn._xlws.FILTER(P$2:P211, D$2:D211=D212),COUNT(_xlfn._xlws.FILTER(P$2:P211, D$2:D211=D212)))*INDEX(_xlfn._xlws.FILTER(O$2:O211, D$2:D211=D212),COUNT(_xlfn._xlws.FILTER(O$2:O211, D$2:D211=D212)))-N212) / O212), J212))</f>
        <v>1</v>
      </c>
      <c r="Q212" s="1" t="str">
        <f t="shared" si="23"/>
        <v>USD</v>
      </c>
      <c r="R212" s="1" cm="1">
        <f t="array" ref="R212">IF(A212="", "",
    IFERROR(
        _xlfn.SWITCH(
            TRUE,
            AND(Q212="USD", $Q$2="USD"), K212,
            AND(Q212="USD", $Q$2="GBP"), K212*$Z$3,
            AND(Q212="USD", $Q$2="HKD"), K212*$Z$4,
            AND(Q212="USD", $Q$2="EUR"), K212*$Z$5,
            AND(Q212="GBP", $Q$2="GBP"), K212,
            AND(Q212="GBP", $Q$2="USD"), K212*$Z$6,
            AND(Q212="GBP", $Q$2="HKD"), K212*$Z$7,
            AND(Q212="HKG", $Q$2="HKG"), K212,
            AND(Q212="HKD", $Q$2="USD"), K212*$Z$9,
            AND(Q212="HKD", $Q$2="GBP"), K212*$Z$10,
            AND(Q212="HKD", $Q$2="EUR"), K212*$Z$11,
            AND(Q212="EUR", $Q$2="EUR"), K212,
            AND(Q212="EUR", $Q$2="USD"), K212*$Z$12,
            AND(Q212="EUR", $Q$2="GBP"), K212*$Z$13,
            AND(Q212="EUR", $Q$2="HKD"), K212*$Z$14,
        ),
        0
    )
)</f>
        <v>0</v>
      </c>
      <c r="S212" s="1" cm="1">
        <f t="array" ref="S212">IF(A212="", "",
    IFERROR(
        _xlfn.SWITCH(
            TRUE,
            AND(Q212="USD", $Q$2="USD"), M212,
            AND(Q212="USD", $Q$2="GBP"), M212*$Z$3,
            AND(Q212="USD", $Q$2="HKD"), M212*$Z$4,
            AND(Q212="USD", $Q$2="EUR"), M212*$Z$5,
            AND(Q212="GBP", $Q$2="GBP"), M212,
            AND(Q212="GBP", $Q$2="USD"), M212*$Z$6,
            AND(Q212="GBP", $Q$2="HKD"), M212*$Z$7,
            AND(Q212="GBP", $Q$2="HKD"), M212*$Z$8,
            AND(Q212="HKG", $Q$2="HKG"), M212,
            AND(Q212="HKD", $Q$2="USD"), M212*$Z$9,
            AND(Q212="HKD", $Q$2="GBP"), M212*$Z$10,
            AND(Q212="HKD", $Q$2="EUR"), M212*$Z$11,
            AND(Q212="EUR", $Q$2="EUR"), M212,
            AND(Q212="EUR", $Q$2="USD"), M212*$Z$12,
            AND(Q212="EUR", $Q$2="GBP"), M212*$Z$13,
            AND(Q212="EUR", $Q$2="HKD"), M212*$Z$14,
        ),
        0
    )
)</f>
        <v>126.24</v>
      </c>
      <c r="T212" s="1" t="str">
        <f t="shared" si="24"/>
        <v>22</v>
      </c>
      <c r="U212" s="9" t="str">
        <f t="shared" si="25"/>
        <v>12</v>
      </c>
      <c r="V212" s="1" t="str">
        <f t="shared" si="26"/>
        <v>2023</v>
      </c>
      <c r="W212" s="18" t="str">
        <f t="shared" si="27"/>
        <v>星期五</v>
      </c>
    </row>
    <row r="213" spans="1:23">
      <c r="A213" s="17" t="s">
        <v>32</v>
      </c>
      <c r="B213" s="1" t="s">
        <v>348</v>
      </c>
      <c r="C213" s="9">
        <v>45282</v>
      </c>
      <c r="D213" s="1" t="s">
        <v>122</v>
      </c>
      <c r="E213" s="1" t="s">
        <v>122</v>
      </c>
      <c r="F213" s="1" t="s">
        <v>346</v>
      </c>
      <c r="H213" s="1" t="s">
        <v>367</v>
      </c>
      <c r="I213" s="1">
        <v>126.24</v>
      </c>
      <c r="J213" s="27">
        <v>1</v>
      </c>
      <c r="M213" s="24">
        <f t="shared" si="21"/>
        <v>126.24</v>
      </c>
      <c r="N213" s="36">
        <f t="shared" si="22"/>
        <v>126.24</v>
      </c>
      <c r="O213" s="34">
        <f>IF(ISBLANK(A213),"",SUMIFS(I$3:I213,D$3:D213,D213,H$3:H213,"Buy")+SUMIFS(I$3:I213,D$3:D213,D213,H$3:H213,"Cash Deposit")+SUMIFS(I$3:I213,D$3:D213,D213,H$3:H213,"Crypto Deposit")+SUMIFS(I$3:I213,D$3:D213,D213,H$3:H213,"Airdrop/Rewards")-SUMIFS(I$3:I213,D$3:D213,D213,H$3:H213,"Sell"))</f>
        <v>-6.9999999999936335E-2</v>
      </c>
      <c r="P213" s="2" cm="1">
        <f t="array" ref="P213">IF(ISBLANK(A213),"",IFERROR(IF(OR(H213="Sell",F213="Stable Coin"),INDEX(_xlfn._xlws.FILTER(P$2:P212, D$2:D212=D213),COUNT(_xlfn._xlws.FILTER(P$2:P212, D$2:D212=D213))),(INDEX(_xlfn._xlws.FILTER(P$2:P212, D$2:D212=D213),COUNT(_xlfn._xlws.FILTER(P$2:P212, D$2:D212=D213)))*INDEX(_xlfn._xlws.FILTER(O$2:O212, D$2:D212=D213),COUNT(_xlfn._xlws.FILTER(O$2:O212, D$2:D212=D213)))-N213) / O213), J213))</f>
        <v>1</v>
      </c>
      <c r="Q213" s="1" t="str">
        <f t="shared" si="23"/>
        <v>USD</v>
      </c>
      <c r="R213" s="1" cm="1">
        <f t="array" ref="R213">IF(A213="", "",
    IFERROR(
        _xlfn.SWITCH(
            TRUE,
            AND(Q213="USD", $Q$2="USD"), K213,
            AND(Q213="USD", $Q$2="GBP"), K213*$Z$3,
            AND(Q213="USD", $Q$2="HKD"), K213*$Z$4,
            AND(Q213="USD", $Q$2="EUR"), K213*$Z$5,
            AND(Q213="GBP", $Q$2="GBP"), K213,
            AND(Q213="GBP", $Q$2="USD"), K213*$Z$6,
            AND(Q213="GBP", $Q$2="HKD"), K213*$Z$7,
            AND(Q213="HKG", $Q$2="HKG"), K213,
            AND(Q213="HKD", $Q$2="USD"), K213*$Z$9,
            AND(Q213="HKD", $Q$2="GBP"), K213*$Z$10,
            AND(Q213="HKD", $Q$2="EUR"), K213*$Z$11,
            AND(Q213="EUR", $Q$2="EUR"), K213,
            AND(Q213="EUR", $Q$2="USD"), K213*$Z$12,
            AND(Q213="EUR", $Q$2="GBP"), K213*$Z$13,
            AND(Q213="EUR", $Q$2="HKD"), K213*$Z$14,
        ),
        0
    )
)</f>
        <v>0</v>
      </c>
      <c r="S213" s="1" cm="1">
        <f t="array" ref="S213">IF(A213="", "",
    IFERROR(
        _xlfn.SWITCH(
            TRUE,
            AND(Q213="USD", $Q$2="USD"), M213,
            AND(Q213="USD", $Q$2="GBP"), M213*$Z$3,
            AND(Q213="USD", $Q$2="HKD"), M213*$Z$4,
            AND(Q213="USD", $Q$2="EUR"), M213*$Z$5,
            AND(Q213="GBP", $Q$2="GBP"), M213,
            AND(Q213="GBP", $Q$2="USD"), M213*$Z$6,
            AND(Q213="GBP", $Q$2="HKD"), M213*$Z$7,
            AND(Q213="GBP", $Q$2="HKD"), M213*$Z$8,
            AND(Q213="HKG", $Q$2="HKG"), M213,
            AND(Q213="HKD", $Q$2="USD"), M213*$Z$9,
            AND(Q213="HKD", $Q$2="GBP"), M213*$Z$10,
            AND(Q213="HKD", $Q$2="EUR"), M213*$Z$11,
            AND(Q213="EUR", $Q$2="EUR"), M213,
            AND(Q213="EUR", $Q$2="USD"), M213*$Z$12,
            AND(Q213="EUR", $Q$2="GBP"), M213*$Z$13,
            AND(Q213="EUR", $Q$2="HKD"), M213*$Z$14,
        ),
        0
    )
)</f>
        <v>126.24</v>
      </c>
      <c r="T213" s="1" t="str">
        <f t="shared" si="24"/>
        <v>22</v>
      </c>
      <c r="U213" s="9" t="str">
        <f t="shared" si="25"/>
        <v>12</v>
      </c>
      <c r="V213" s="1" t="str">
        <f t="shared" si="26"/>
        <v>2023</v>
      </c>
      <c r="W213" s="18" t="str">
        <f t="shared" si="27"/>
        <v>星期五</v>
      </c>
    </row>
    <row r="214" spans="1:23">
      <c r="A214" s="17" t="s">
        <v>32</v>
      </c>
      <c r="B214" s="1" t="s">
        <v>348</v>
      </c>
      <c r="C214" s="9">
        <v>45282</v>
      </c>
      <c r="D214" s="1" t="s">
        <v>23</v>
      </c>
      <c r="E214" s="1" t="s">
        <v>24</v>
      </c>
      <c r="F214" s="1" t="s">
        <v>349</v>
      </c>
      <c r="H214" s="1" t="s">
        <v>347</v>
      </c>
      <c r="I214" s="1">
        <v>5.3809999999999997E-2</v>
      </c>
      <c r="J214" s="27">
        <v>2346.0323359899999</v>
      </c>
      <c r="M214" s="24">
        <f t="shared" si="21"/>
        <v>126.23999999962189</v>
      </c>
      <c r="N214" s="36">
        <f t="shared" si="22"/>
        <v>-126.23999999962189</v>
      </c>
      <c r="O214" s="34">
        <f>IF(ISBLANK(A214),"",SUMIFS(I$3:I214,D$3:D214,D214,H$3:H214,"Buy")+SUMIFS(I$3:I214,D$3:D214,D214,H$3:H214,"Cash Deposit")+SUMIFS(I$3:I214,D$3:D214,D214,H$3:H214,"Crypto Deposit")+SUMIFS(I$3:I214,D$3:D214,D214,H$3:H214,"Airdrop/Rewards")-SUMIFS(I$3:I214,D$3:D214,D214,H$3:H214,"Sell"))</f>
        <v>10.024571120000001</v>
      </c>
      <c r="P214" s="2" cm="1">
        <f t="array" ref="P214">IF(ISBLANK(A214),"",IFERROR(IF(OR(H214="Sell",F214="Stable Coin"),INDEX(_xlfn._xlws.FILTER(P$2:P213, D$2:D213=D214),COUNT(_xlfn._xlws.FILTER(P$2:P213, D$2:D213=D214))),(INDEX(_xlfn._xlws.FILTER(P$2:P213, D$2:D213=D214),COUNT(_xlfn._xlws.FILTER(P$2:P213, D$2:D213=D214)))*INDEX(_xlfn._xlws.FILTER(O$2:O213, D$2:D213=D214),COUNT(_xlfn._xlws.FILTER(O$2:O213, D$2:D213=D214)))-N214) / O214), J214))</f>
        <v>2362.9912404548354</v>
      </c>
      <c r="Q214" s="1" t="str">
        <f t="shared" si="23"/>
        <v>USD</v>
      </c>
      <c r="R214" s="1" cm="1">
        <f t="array" ref="R214">IF(A214="", "",
    IFERROR(
        _xlfn.SWITCH(
            TRUE,
            AND(Q214="USD", $Q$2="USD"), K214,
            AND(Q214="USD", $Q$2="GBP"), K214*$Z$3,
            AND(Q214="USD", $Q$2="HKD"), K214*$Z$4,
            AND(Q214="USD", $Q$2="EUR"), K214*$Z$5,
            AND(Q214="GBP", $Q$2="GBP"), K214,
            AND(Q214="GBP", $Q$2="USD"), K214*$Z$6,
            AND(Q214="GBP", $Q$2="HKD"), K214*$Z$7,
            AND(Q214="HKG", $Q$2="HKG"), K214,
            AND(Q214="HKD", $Q$2="USD"), K214*$Z$9,
            AND(Q214="HKD", $Q$2="GBP"), K214*$Z$10,
            AND(Q214="HKD", $Q$2="EUR"), K214*$Z$11,
            AND(Q214="EUR", $Q$2="EUR"), K214,
            AND(Q214="EUR", $Q$2="USD"), K214*$Z$12,
            AND(Q214="EUR", $Q$2="GBP"), K214*$Z$13,
            AND(Q214="EUR", $Q$2="HKD"), K214*$Z$14,
        ),
        0
    )
)</f>
        <v>0</v>
      </c>
      <c r="S214" s="1" cm="1">
        <f t="array" ref="S214">IF(A214="", "",
    IFERROR(
        _xlfn.SWITCH(
            TRUE,
            AND(Q214="USD", $Q$2="USD"), M214,
            AND(Q214="USD", $Q$2="GBP"), M214*$Z$3,
            AND(Q214="USD", $Q$2="HKD"), M214*$Z$4,
            AND(Q214="USD", $Q$2="EUR"), M214*$Z$5,
            AND(Q214="GBP", $Q$2="GBP"), M214,
            AND(Q214="GBP", $Q$2="USD"), M214*$Z$6,
            AND(Q214="GBP", $Q$2="HKD"), M214*$Z$7,
            AND(Q214="GBP", $Q$2="HKD"), M214*$Z$8,
            AND(Q214="HKG", $Q$2="HKG"), M214,
            AND(Q214="HKD", $Q$2="USD"), M214*$Z$9,
            AND(Q214="HKD", $Q$2="GBP"), M214*$Z$10,
            AND(Q214="HKD", $Q$2="EUR"), M214*$Z$11,
            AND(Q214="EUR", $Q$2="EUR"), M214,
            AND(Q214="EUR", $Q$2="USD"), M214*$Z$12,
            AND(Q214="EUR", $Q$2="GBP"), M214*$Z$13,
            AND(Q214="EUR", $Q$2="HKD"), M214*$Z$14,
        ),
        0
    )
)</f>
        <v>126.23999999962189</v>
      </c>
      <c r="T214" s="1" t="str">
        <f t="shared" si="24"/>
        <v>22</v>
      </c>
      <c r="U214" s="9" t="str">
        <f t="shared" si="25"/>
        <v>12</v>
      </c>
      <c r="V214" s="1" t="str">
        <f t="shared" si="26"/>
        <v>2023</v>
      </c>
      <c r="W214" s="18" t="str">
        <f t="shared" si="27"/>
        <v>星期五</v>
      </c>
    </row>
    <row r="215" spans="1:23">
      <c r="A215" s="17" t="s">
        <v>6</v>
      </c>
      <c r="B215" s="1" t="s">
        <v>348</v>
      </c>
      <c r="C215" s="9">
        <v>45285</v>
      </c>
      <c r="D215" s="1" t="s">
        <v>364</v>
      </c>
      <c r="E215" s="1" t="s">
        <v>114</v>
      </c>
      <c r="F215" s="1" t="s">
        <v>346</v>
      </c>
      <c r="H215" s="1" t="s">
        <v>367</v>
      </c>
      <c r="I215" s="1">
        <v>145.31</v>
      </c>
      <c r="J215" s="27">
        <v>0.99680000000000002</v>
      </c>
      <c r="M215" s="24">
        <f t="shared" si="21"/>
        <v>144.84500800000001</v>
      </c>
      <c r="N215" s="36">
        <f t="shared" si="22"/>
        <v>144.84500800000001</v>
      </c>
      <c r="O215" s="34">
        <f>IF(ISBLANK(A215),"",SUMIFS(I$3:I215,D$3:D215,D215,H$3:H215,"Buy")+SUMIFS(I$3:I215,D$3:D215,D215,H$3:H215,"Cash Deposit")+SUMIFS(I$3:I215,D$3:D215,D215,H$3:H215,"Crypto Deposit")+SUMIFS(I$3:I215,D$3:D215,D215,H$3:H215,"Airdrop/Rewards")-SUMIFS(I$3:I215,D$3:D215,D215,H$3:H215,"Sell"))</f>
        <v>4582.9364181803794</v>
      </c>
      <c r="P215" s="2" cm="1">
        <f t="array" ref="P215">IF(ISBLANK(A215),"",IFERROR(IF(OR(H215="Sell",F215="Stable Coin"),INDEX(_xlfn._xlws.FILTER(P$2:P214, D$2:D214=D215),COUNT(_xlfn._xlws.FILTER(P$2:P214, D$2:D214=D215))),(INDEX(_xlfn._xlws.FILTER(P$2:P214, D$2:D214=D215),COUNT(_xlfn._xlws.FILTER(P$2:P214, D$2:D214=D215)))*INDEX(_xlfn._xlws.FILTER(O$2:O214, D$2:D214=D215),COUNT(_xlfn._xlws.FILTER(O$2:O214, D$2:D214=D215)))-N215) / O215), J215))</f>
        <v>1</v>
      </c>
      <c r="Q215" s="1" t="str">
        <f t="shared" si="23"/>
        <v>USD</v>
      </c>
      <c r="R215" s="1" cm="1">
        <f t="array" ref="R215">IF(A215="", "",
    IFERROR(
        _xlfn.SWITCH(
            TRUE,
            AND(Q215="USD", $Q$2="USD"), K215,
            AND(Q215="USD", $Q$2="GBP"), K215*$Z$3,
            AND(Q215="USD", $Q$2="HKD"), K215*$Z$4,
            AND(Q215="USD", $Q$2="EUR"), K215*$Z$5,
            AND(Q215="GBP", $Q$2="GBP"), K215,
            AND(Q215="GBP", $Q$2="USD"), K215*$Z$6,
            AND(Q215="GBP", $Q$2="HKD"), K215*$Z$7,
            AND(Q215="HKG", $Q$2="HKG"), K215,
            AND(Q215="HKD", $Q$2="USD"), K215*$Z$9,
            AND(Q215="HKD", $Q$2="GBP"), K215*$Z$10,
            AND(Q215="HKD", $Q$2="EUR"), K215*$Z$11,
            AND(Q215="EUR", $Q$2="EUR"), K215,
            AND(Q215="EUR", $Q$2="USD"), K215*$Z$12,
            AND(Q215="EUR", $Q$2="GBP"), K215*$Z$13,
            AND(Q215="EUR", $Q$2="HKD"), K215*$Z$14,
        ),
        0
    )
)</f>
        <v>0</v>
      </c>
      <c r="S215" s="1" cm="1">
        <f t="array" ref="S215">IF(A215="", "",
    IFERROR(
        _xlfn.SWITCH(
            TRUE,
            AND(Q215="USD", $Q$2="USD"), M215,
            AND(Q215="USD", $Q$2="GBP"), M215*$Z$3,
            AND(Q215="USD", $Q$2="HKD"), M215*$Z$4,
            AND(Q215="USD", $Q$2="EUR"), M215*$Z$5,
            AND(Q215="GBP", $Q$2="GBP"), M215,
            AND(Q215="GBP", $Q$2="USD"), M215*$Z$6,
            AND(Q215="GBP", $Q$2="HKD"), M215*$Z$7,
            AND(Q215="GBP", $Q$2="HKD"), M215*$Z$8,
            AND(Q215="HKG", $Q$2="HKG"), M215,
            AND(Q215="HKD", $Q$2="USD"), M215*$Z$9,
            AND(Q215="HKD", $Q$2="GBP"), M215*$Z$10,
            AND(Q215="HKD", $Q$2="EUR"), M215*$Z$11,
            AND(Q215="EUR", $Q$2="EUR"), M215,
            AND(Q215="EUR", $Q$2="USD"), M215*$Z$12,
            AND(Q215="EUR", $Q$2="GBP"), M215*$Z$13,
            AND(Q215="EUR", $Q$2="HKD"), M215*$Z$14,
        ),
        0
    )
)</f>
        <v>144.84500800000001</v>
      </c>
      <c r="T215" s="1" t="str">
        <f t="shared" si="24"/>
        <v>25</v>
      </c>
      <c r="U215" s="9" t="str">
        <f t="shared" si="25"/>
        <v>12</v>
      </c>
      <c r="V215" s="1" t="str">
        <f t="shared" si="26"/>
        <v>2023</v>
      </c>
      <c r="W215" s="18" t="str">
        <f t="shared" si="27"/>
        <v>星期一</v>
      </c>
    </row>
    <row r="216" spans="1:23">
      <c r="A216" s="17" t="s">
        <v>6</v>
      </c>
      <c r="B216" s="1" t="s">
        <v>348</v>
      </c>
      <c r="C216" s="9">
        <v>45285</v>
      </c>
      <c r="D216" s="1" t="s">
        <v>7</v>
      </c>
      <c r="E216" s="1" t="s">
        <v>37</v>
      </c>
      <c r="F216" s="1" t="s">
        <v>349</v>
      </c>
      <c r="H216" s="1" t="s">
        <v>347</v>
      </c>
      <c r="I216" s="1">
        <v>1.27</v>
      </c>
      <c r="J216" s="27">
        <v>114.05</v>
      </c>
      <c r="M216" s="24">
        <f t="shared" si="21"/>
        <v>144.84350000000001</v>
      </c>
      <c r="N216" s="36">
        <f t="shared" si="22"/>
        <v>-144.84350000000001</v>
      </c>
      <c r="O216" s="34">
        <f>IF(ISBLANK(A216),"",SUMIFS(I$3:I216,D$3:D216,D216,H$3:H216,"Buy")+SUMIFS(I$3:I216,D$3:D216,D216,H$3:H216,"Cash Deposit")+SUMIFS(I$3:I216,D$3:D216,D216,H$3:H216,"Crypto Deposit")+SUMIFS(I$3:I216,D$3:D216,D216,H$3:H216,"Airdrop/Rewards")-SUMIFS(I$3:I216,D$3:D216,D216,H$3:H216,"Sell"))</f>
        <v>6.3861733199999993</v>
      </c>
      <c r="P216" s="2" cm="1">
        <f t="array" ref="P216">IF(ISBLANK(A216),"",IFERROR(IF(OR(H216="Sell",F216="Stable Coin"),INDEX(_xlfn._xlws.FILTER(P$2:P215, D$2:D215=D216),COUNT(_xlfn._xlws.FILTER(P$2:P215, D$2:D215=D216))),(INDEX(_xlfn._xlws.FILTER(P$2:P215, D$2:D215=D216),COUNT(_xlfn._xlws.FILTER(P$2:P215, D$2:D215=D216)))*INDEX(_xlfn._xlws.FILTER(O$2:O215, D$2:D215=D216),COUNT(_xlfn._xlws.FILTER(O$2:O215, D$2:D215=D216)))-N216) / O216), J216))</f>
        <v>68.153098238054085</v>
      </c>
      <c r="Q216" s="1" t="str">
        <f t="shared" si="23"/>
        <v>USD</v>
      </c>
      <c r="R216" s="1" cm="1">
        <f t="array" ref="R216">IF(A216="", "",
    IFERROR(
        _xlfn.SWITCH(
            TRUE,
            AND(Q216="USD", $Q$2="USD"), K216,
            AND(Q216="USD", $Q$2="GBP"), K216*$Z$3,
            AND(Q216="USD", $Q$2="HKD"), K216*$Z$4,
            AND(Q216="USD", $Q$2="EUR"), K216*$Z$5,
            AND(Q216="GBP", $Q$2="GBP"), K216,
            AND(Q216="GBP", $Q$2="USD"), K216*$Z$6,
            AND(Q216="GBP", $Q$2="HKD"), K216*$Z$7,
            AND(Q216="HKG", $Q$2="HKG"), K216,
            AND(Q216="HKD", $Q$2="USD"), K216*$Z$9,
            AND(Q216="HKD", $Q$2="GBP"), K216*$Z$10,
            AND(Q216="HKD", $Q$2="EUR"), K216*$Z$11,
            AND(Q216="EUR", $Q$2="EUR"), K216,
            AND(Q216="EUR", $Q$2="USD"), K216*$Z$12,
            AND(Q216="EUR", $Q$2="GBP"), K216*$Z$13,
            AND(Q216="EUR", $Q$2="HKD"), K216*$Z$14,
        ),
        0
    )
)</f>
        <v>0</v>
      </c>
      <c r="S216" s="1" cm="1">
        <f t="array" ref="S216">IF(A216="", "",
    IFERROR(
        _xlfn.SWITCH(
            TRUE,
            AND(Q216="USD", $Q$2="USD"), M216,
            AND(Q216="USD", $Q$2="GBP"), M216*$Z$3,
            AND(Q216="USD", $Q$2="HKD"), M216*$Z$4,
            AND(Q216="USD", $Q$2="EUR"), M216*$Z$5,
            AND(Q216="GBP", $Q$2="GBP"), M216,
            AND(Q216="GBP", $Q$2="USD"), M216*$Z$6,
            AND(Q216="GBP", $Q$2="HKD"), M216*$Z$7,
            AND(Q216="GBP", $Q$2="HKD"), M216*$Z$8,
            AND(Q216="HKG", $Q$2="HKG"), M216,
            AND(Q216="HKD", $Q$2="USD"), M216*$Z$9,
            AND(Q216="HKD", $Q$2="GBP"), M216*$Z$10,
            AND(Q216="HKD", $Q$2="EUR"), M216*$Z$11,
            AND(Q216="EUR", $Q$2="EUR"), M216,
            AND(Q216="EUR", $Q$2="USD"), M216*$Z$12,
            AND(Q216="EUR", $Q$2="GBP"), M216*$Z$13,
            AND(Q216="EUR", $Q$2="HKD"), M216*$Z$14,
        ),
        0
    )
)</f>
        <v>144.84350000000001</v>
      </c>
      <c r="T216" s="1" t="str">
        <f t="shared" si="24"/>
        <v>25</v>
      </c>
      <c r="U216" s="9" t="str">
        <f t="shared" si="25"/>
        <v>12</v>
      </c>
      <c r="V216" s="1" t="str">
        <f t="shared" si="26"/>
        <v>2023</v>
      </c>
      <c r="W216" s="18" t="str">
        <f t="shared" si="27"/>
        <v>星期一</v>
      </c>
    </row>
    <row r="217" spans="1:23">
      <c r="A217" s="17" t="s">
        <v>399</v>
      </c>
      <c r="B217" s="1" t="s">
        <v>348</v>
      </c>
      <c r="C217" s="9">
        <v>45286</v>
      </c>
      <c r="D217" s="1" t="e" vm="20">
        <v>#VALUE!</v>
      </c>
      <c r="E217" s="1" t="s">
        <v>402</v>
      </c>
      <c r="F217" s="1" t="s">
        <v>401</v>
      </c>
      <c r="H217" s="1" t="s">
        <v>367</v>
      </c>
      <c r="I217" s="1">
        <v>15</v>
      </c>
      <c r="J217" s="27">
        <v>26.3</v>
      </c>
      <c r="K217" s="1">
        <v>2.06</v>
      </c>
      <c r="M217" s="24">
        <f t="shared" si="21"/>
        <v>392.44</v>
      </c>
      <c r="N217" s="36">
        <f t="shared" si="22"/>
        <v>394.5</v>
      </c>
      <c r="O217" s="34">
        <f>IF(ISBLANK(A217),"",SUMIFS(I$3:I217,D$3:D217,D217,H$3:H217,"Buy")+SUMIFS(I$3:I217,D$3:D217,D217,H$3:H217,"Cash Deposit")+SUMIFS(I$3:I217,D$3:D217,D217,H$3:H217,"Crypto Deposit")+SUMIFS(I$3:I217,D$3:D217,D217,H$3:H217,"Airdrop/Rewards")-SUMIFS(I$3:I217,D$3:D217,D217,H$3:H217,"Sell"))</f>
        <v>185</v>
      </c>
      <c r="P217" s="2" cm="1">
        <f t="array" ref="P217">IF(ISBLANK(A217),"",IFERROR(IF(OR(H217="Sell",F217="Stable Coin"),INDEX(_xlfn._xlws.FILTER(P$2:P216, D$2:D216=D217),COUNT(_xlfn._xlws.FILTER(P$2:P216, D$2:D216=D217))),(INDEX(_xlfn._xlws.FILTER(P$2:P216, D$2:D216=D217),COUNT(_xlfn._xlws.FILTER(P$2:P216, D$2:D216=D217)))*INDEX(_xlfn._xlws.FILTER(O$2:O216, D$2:D216=D217),COUNT(_xlfn._xlws.FILTER(O$2:O216, D$2:D216=D217)))-N217) / O217), J217))</f>
        <v>9.1493706666666679</v>
      </c>
      <c r="Q217" s="1" t="str">
        <f t="shared" si="23"/>
        <v>USD</v>
      </c>
      <c r="R217" s="1" cm="1">
        <f t="array" ref="R217">IF(A217="", "",
    IFERROR(
        _xlfn.SWITCH(
            TRUE,
            AND(Q217="USD", $Q$2="USD"), K217,
            AND(Q217="USD", $Q$2="GBP"), K217*$Z$3,
            AND(Q217="USD", $Q$2="HKD"), K217*$Z$4,
            AND(Q217="USD", $Q$2="EUR"), K217*$Z$5,
            AND(Q217="GBP", $Q$2="GBP"), K217,
            AND(Q217="GBP", $Q$2="USD"), K217*$Z$6,
            AND(Q217="GBP", $Q$2="HKD"), K217*$Z$7,
            AND(Q217="HKG", $Q$2="HKG"), K217,
            AND(Q217="HKD", $Q$2="USD"), K217*$Z$9,
            AND(Q217="HKD", $Q$2="GBP"), K217*$Z$10,
            AND(Q217="HKD", $Q$2="EUR"), K217*$Z$11,
            AND(Q217="EUR", $Q$2="EUR"), K217,
            AND(Q217="EUR", $Q$2="USD"), K217*$Z$12,
            AND(Q217="EUR", $Q$2="GBP"), K217*$Z$13,
            AND(Q217="EUR", $Q$2="HKD"), K217*$Z$14,
        ),
        0
    )
)</f>
        <v>2.06</v>
      </c>
      <c r="S217" s="1" cm="1">
        <f t="array" ref="S217">IF(A217="", "",
    IFERROR(
        _xlfn.SWITCH(
            TRUE,
            AND(Q217="USD", $Q$2="USD"), M217,
            AND(Q217="USD", $Q$2="GBP"), M217*$Z$3,
            AND(Q217="USD", $Q$2="HKD"), M217*$Z$4,
            AND(Q217="USD", $Q$2="EUR"), M217*$Z$5,
            AND(Q217="GBP", $Q$2="GBP"), M217,
            AND(Q217="GBP", $Q$2="USD"), M217*$Z$6,
            AND(Q217="GBP", $Q$2="HKD"), M217*$Z$7,
            AND(Q217="GBP", $Q$2="HKD"), M217*$Z$8,
            AND(Q217="HKG", $Q$2="HKG"), M217,
            AND(Q217="HKD", $Q$2="USD"), M217*$Z$9,
            AND(Q217="HKD", $Q$2="GBP"), M217*$Z$10,
            AND(Q217="HKD", $Q$2="EUR"), M217*$Z$11,
            AND(Q217="EUR", $Q$2="EUR"), M217,
            AND(Q217="EUR", $Q$2="USD"), M217*$Z$12,
            AND(Q217="EUR", $Q$2="GBP"), M217*$Z$13,
            AND(Q217="EUR", $Q$2="HKD"), M217*$Z$14,
        ),
        0
    )
)</f>
        <v>392.44</v>
      </c>
      <c r="T217" s="1" t="str">
        <f t="shared" si="24"/>
        <v>26</v>
      </c>
      <c r="U217" s="9" t="str">
        <f t="shared" si="25"/>
        <v>12</v>
      </c>
      <c r="V217" s="1" t="str">
        <f t="shared" si="26"/>
        <v>2023</v>
      </c>
      <c r="W217" s="18" t="str">
        <f t="shared" si="27"/>
        <v>星期二</v>
      </c>
    </row>
    <row r="218" spans="1:23">
      <c r="A218" s="17" t="s">
        <v>399</v>
      </c>
      <c r="B218" s="1" t="s">
        <v>348</v>
      </c>
      <c r="C218" s="9">
        <v>45286</v>
      </c>
      <c r="D218" s="1" t="e" vm="17">
        <v>#VALUE!</v>
      </c>
      <c r="E218" s="1" t="s">
        <v>32</v>
      </c>
      <c r="F218" s="1" t="s">
        <v>401</v>
      </c>
      <c r="H218" s="1" t="s">
        <v>367</v>
      </c>
      <c r="I218" s="1">
        <v>3</v>
      </c>
      <c r="J218" s="27">
        <v>172.88</v>
      </c>
      <c r="K218" s="1">
        <v>2.02</v>
      </c>
      <c r="M218" s="24">
        <f t="shared" si="21"/>
        <v>516.62</v>
      </c>
      <c r="N218" s="36">
        <f t="shared" si="22"/>
        <v>518.64</v>
      </c>
      <c r="O218" s="34">
        <f>IF(ISBLANK(A218),"",SUMIFS(I$3:I218,D$3:D218,D218,H$3:H218,"Buy")+SUMIFS(I$3:I218,D$3:D218,D218,H$3:H218,"Cash Deposit")+SUMIFS(I$3:I218,D$3:D218,D218,H$3:H218,"Crypto Deposit")+SUMIFS(I$3:I218,D$3:D218,D218,H$3:H218,"Airdrop/Rewards")-SUMIFS(I$3:I218,D$3:D218,D218,H$3:H218,"Sell"))</f>
        <v>71</v>
      </c>
      <c r="P218" s="2" cm="1">
        <f t="array" ref="P218">IF(ISBLANK(A218),"",IFERROR(IF(OR(H218="Sell",F218="Stable Coin"),INDEX(_xlfn._xlws.FILTER(P$2:P217, D$2:D217=D218),COUNT(_xlfn._xlws.FILTER(P$2:P217, D$2:D217=D218))),(INDEX(_xlfn._xlws.FILTER(P$2:P217, D$2:D217=D218),COUNT(_xlfn._xlws.FILTER(P$2:P217, D$2:D217=D218)))*INDEX(_xlfn._xlws.FILTER(O$2:O217, D$2:D217=D218),COUNT(_xlfn._xlws.FILTER(O$2:O217, D$2:D217=D218)))-N218) / O218), J218))</f>
        <v>66.475679957356064</v>
      </c>
      <c r="Q218" s="1" t="str">
        <f t="shared" si="23"/>
        <v>USD</v>
      </c>
      <c r="R218" s="1" cm="1">
        <f t="array" ref="R218">IF(A218="", "",
    IFERROR(
        _xlfn.SWITCH(
            TRUE,
            AND(Q218="USD", $Q$2="USD"), K218,
            AND(Q218="USD", $Q$2="GBP"), K218*$Z$3,
            AND(Q218="USD", $Q$2="HKD"), K218*$Z$4,
            AND(Q218="USD", $Q$2="EUR"), K218*$Z$5,
            AND(Q218="GBP", $Q$2="GBP"), K218,
            AND(Q218="GBP", $Q$2="USD"), K218*$Z$6,
            AND(Q218="GBP", $Q$2="HKD"), K218*$Z$7,
            AND(Q218="HKG", $Q$2="HKG"), K218,
            AND(Q218="HKD", $Q$2="USD"), K218*$Z$9,
            AND(Q218="HKD", $Q$2="GBP"), K218*$Z$10,
            AND(Q218="HKD", $Q$2="EUR"), K218*$Z$11,
            AND(Q218="EUR", $Q$2="EUR"), K218,
            AND(Q218="EUR", $Q$2="USD"), K218*$Z$12,
            AND(Q218="EUR", $Q$2="GBP"), K218*$Z$13,
            AND(Q218="EUR", $Q$2="HKD"), K218*$Z$14,
        ),
        0
    )
)</f>
        <v>2.02</v>
      </c>
      <c r="S218" s="1" cm="1">
        <f t="array" ref="S218">IF(A218="", "",
    IFERROR(
        _xlfn.SWITCH(
            TRUE,
            AND(Q218="USD", $Q$2="USD"), M218,
            AND(Q218="USD", $Q$2="GBP"), M218*$Z$3,
            AND(Q218="USD", $Q$2="HKD"), M218*$Z$4,
            AND(Q218="USD", $Q$2="EUR"), M218*$Z$5,
            AND(Q218="GBP", $Q$2="GBP"), M218,
            AND(Q218="GBP", $Q$2="USD"), M218*$Z$6,
            AND(Q218="GBP", $Q$2="HKD"), M218*$Z$7,
            AND(Q218="GBP", $Q$2="HKD"), M218*$Z$8,
            AND(Q218="HKG", $Q$2="HKG"), M218,
            AND(Q218="HKD", $Q$2="USD"), M218*$Z$9,
            AND(Q218="HKD", $Q$2="GBP"), M218*$Z$10,
            AND(Q218="HKD", $Q$2="EUR"), M218*$Z$11,
            AND(Q218="EUR", $Q$2="EUR"), M218,
            AND(Q218="EUR", $Q$2="USD"), M218*$Z$12,
            AND(Q218="EUR", $Q$2="GBP"), M218*$Z$13,
            AND(Q218="EUR", $Q$2="HKD"), M218*$Z$14,
        ),
        0
    )
)</f>
        <v>516.62</v>
      </c>
      <c r="T218" s="1" t="str">
        <f t="shared" si="24"/>
        <v>26</v>
      </c>
      <c r="U218" s="9" t="str">
        <f t="shared" si="25"/>
        <v>12</v>
      </c>
      <c r="V218" s="1" t="str">
        <f t="shared" si="26"/>
        <v>2023</v>
      </c>
      <c r="W218" s="18" t="str">
        <f t="shared" si="27"/>
        <v>星期二</v>
      </c>
    </row>
    <row r="219" spans="1:23">
      <c r="A219" s="17" t="s">
        <v>6</v>
      </c>
      <c r="B219" s="1" t="s">
        <v>348</v>
      </c>
      <c r="C219" s="9">
        <v>45287</v>
      </c>
      <c r="D219" s="1" t="s">
        <v>370</v>
      </c>
      <c r="E219" s="1" t="s">
        <v>419</v>
      </c>
      <c r="F219" s="1" t="s">
        <v>349</v>
      </c>
      <c r="H219" s="1" t="s">
        <v>359</v>
      </c>
      <c r="I219" s="1">
        <v>64</v>
      </c>
      <c r="J219" s="27">
        <v>1.33</v>
      </c>
      <c r="M219" s="24">
        <f t="shared" si="21"/>
        <v>85.12</v>
      </c>
      <c r="N219" s="36">
        <f t="shared" si="22"/>
        <v>0</v>
      </c>
      <c r="O219" s="34">
        <f>IF(ISBLANK(A219),"",SUMIFS(I$3:I219,D$3:D219,D219,H$3:H219,"Buy")+SUMIFS(I$3:I219,D$3:D219,D219,H$3:H219,"Cash Deposit")+SUMIFS(I$3:I219,D$3:D219,D219,H$3:H219,"Crypto Deposit")+SUMIFS(I$3:I219,D$3:D219,D219,H$3:H219,"Airdrop/Rewards")-SUMIFS(I$3:I219,D$3:D219,D219,H$3:H219,"Sell"))</f>
        <v>64</v>
      </c>
      <c r="P219" s="2" cm="1">
        <f t="array" ref="P219">IF(ISBLANK(A219),"",IFERROR(IF(OR(H219="Sell",F219="Stable Coin"),INDEX(_xlfn._xlws.FILTER(P$2:P218, D$2:D218=D219),COUNT(_xlfn._xlws.FILTER(P$2:P218, D$2:D218=D219))),(INDEX(_xlfn._xlws.FILTER(P$2:P218, D$2:D218=D219),COUNT(_xlfn._xlws.FILTER(P$2:P218, D$2:D218=D219)))*INDEX(_xlfn._xlws.FILTER(O$2:O218, D$2:D218=D219),COUNT(_xlfn._xlws.FILTER(O$2:O218, D$2:D218=D219)))-N219) / O219), J219))</f>
        <v>1.33</v>
      </c>
      <c r="Q219" s="1" t="str">
        <f t="shared" si="23"/>
        <v>USD</v>
      </c>
      <c r="R219" s="1" cm="1">
        <f t="array" ref="R219">IF(A219="", "",
    IFERROR(
        _xlfn.SWITCH(
            TRUE,
            AND(Q219="USD", $Q$2="USD"), K219,
            AND(Q219="USD", $Q$2="GBP"), K219*$Z$3,
            AND(Q219="USD", $Q$2="HKD"), K219*$Z$4,
            AND(Q219="USD", $Q$2="EUR"), K219*$Z$5,
            AND(Q219="GBP", $Q$2="GBP"), K219,
            AND(Q219="GBP", $Q$2="USD"), K219*$Z$6,
            AND(Q219="GBP", $Q$2="HKD"), K219*$Z$7,
            AND(Q219="HKG", $Q$2="HKG"), K219,
            AND(Q219="HKD", $Q$2="USD"), K219*$Z$9,
            AND(Q219="HKD", $Q$2="GBP"), K219*$Z$10,
            AND(Q219="HKD", $Q$2="EUR"), K219*$Z$11,
            AND(Q219="EUR", $Q$2="EUR"), K219,
            AND(Q219="EUR", $Q$2="USD"), K219*$Z$12,
            AND(Q219="EUR", $Q$2="GBP"), K219*$Z$13,
            AND(Q219="EUR", $Q$2="HKD"), K219*$Z$14,
        ),
        0
    )
)</f>
        <v>0</v>
      </c>
      <c r="S219" s="1" cm="1">
        <f t="array" ref="S219">IF(A219="", "",
    IFERROR(
        _xlfn.SWITCH(
            TRUE,
            AND(Q219="USD", $Q$2="USD"), M219,
            AND(Q219="USD", $Q$2="GBP"), M219*$Z$3,
            AND(Q219="USD", $Q$2="HKD"), M219*$Z$4,
            AND(Q219="USD", $Q$2="EUR"), M219*$Z$5,
            AND(Q219="GBP", $Q$2="GBP"), M219,
            AND(Q219="GBP", $Q$2="USD"), M219*$Z$6,
            AND(Q219="GBP", $Q$2="HKD"), M219*$Z$7,
            AND(Q219="GBP", $Q$2="HKD"), M219*$Z$8,
            AND(Q219="HKG", $Q$2="HKG"), M219,
            AND(Q219="HKD", $Q$2="USD"), M219*$Z$9,
            AND(Q219="HKD", $Q$2="GBP"), M219*$Z$10,
            AND(Q219="HKD", $Q$2="EUR"), M219*$Z$11,
            AND(Q219="EUR", $Q$2="EUR"), M219,
            AND(Q219="EUR", $Q$2="USD"), M219*$Z$12,
            AND(Q219="EUR", $Q$2="GBP"), M219*$Z$13,
            AND(Q219="EUR", $Q$2="HKD"), M219*$Z$14,
        ),
        0
    )
)</f>
        <v>85.12</v>
      </c>
      <c r="T219" s="1" t="str">
        <f t="shared" si="24"/>
        <v>27</v>
      </c>
      <c r="U219" s="9" t="str">
        <f t="shared" si="25"/>
        <v>12</v>
      </c>
      <c r="V219" s="1" t="str">
        <f t="shared" si="26"/>
        <v>2023</v>
      </c>
      <c r="W219" s="18" t="str">
        <f t="shared" si="27"/>
        <v>星期三</v>
      </c>
    </row>
    <row r="220" spans="1:23">
      <c r="A220" s="17" t="s">
        <v>6</v>
      </c>
      <c r="B220" s="1" t="s">
        <v>348</v>
      </c>
      <c r="C220" s="9">
        <v>45287</v>
      </c>
      <c r="D220" s="1" t="s">
        <v>370</v>
      </c>
      <c r="E220" s="1" t="s">
        <v>419</v>
      </c>
      <c r="F220" s="1" t="s">
        <v>349</v>
      </c>
      <c r="H220" s="1" t="s">
        <v>367</v>
      </c>
      <c r="I220" s="1">
        <v>64</v>
      </c>
      <c r="J220" s="27">
        <v>1.327</v>
      </c>
      <c r="M220" s="24">
        <f t="shared" si="21"/>
        <v>84.927999999999997</v>
      </c>
      <c r="N220" s="36">
        <f t="shared" si="22"/>
        <v>84.927999999999997</v>
      </c>
      <c r="O220" s="34">
        <f>IF(ISBLANK(A220),"",SUMIFS(I$3:I220,D$3:D220,D220,H$3:H220,"Buy")+SUMIFS(I$3:I220,D$3:D220,D220,H$3:H220,"Cash Deposit")+SUMIFS(I$3:I220,D$3:D220,D220,H$3:H220,"Crypto Deposit")+SUMIFS(I$3:I220,D$3:D220,D220,H$3:H220,"Airdrop/Rewards")-SUMIFS(I$3:I220,D$3:D220,D220,H$3:H220,"Sell"))</f>
        <v>0</v>
      </c>
      <c r="P220" s="2" cm="1">
        <f t="array" ref="P220">IF(ISBLANK(A220),"",IFERROR(IF(OR(H220="Sell",F220="Stable Coin"),INDEX(_xlfn._xlws.FILTER(P$2:P219, D$2:D219=D220),COUNT(_xlfn._xlws.FILTER(P$2:P219, D$2:D219=D220))),(INDEX(_xlfn._xlws.FILTER(P$2:P219, D$2:D219=D220),COUNT(_xlfn._xlws.FILTER(P$2:P219, D$2:D219=D220)))*INDEX(_xlfn._xlws.FILTER(O$2:O219, D$2:D219=D220),COUNT(_xlfn._xlws.FILTER(O$2:O219, D$2:D219=D220)))-N220) / O220), J220))</f>
        <v>1.33</v>
      </c>
      <c r="Q220" s="1" t="str">
        <f t="shared" si="23"/>
        <v>USD</v>
      </c>
      <c r="R220" s="1" cm="1">
        <f t="array" ref="R220">IF(A220="", "",
    IFERROR(
        _xlfn.SWITCH(
            TRUE,
            AND(Q220="USD", $Q$2="USD"), K220,
            AND(Q220="USD", $Q$2="GBP"), K220*$Z$3,
            AND(Q220="USD", $Q$2="HKD"), K220*$Z$4,
            AND(Q220="USD", $Q$2="EUR"), K220*$Z$5,
            AND(Q220="GBP", $Q$2="GBP"), K220,
            AND(Q220="GBP", $Q$2="USD"), K220*$Z$6,
            AND(Q220="GBP", $Q$2="HKD"), K220*$Z$7,
            AND(Q220="HKG", $Q$2="HKG"), K220,
            AND(Q220="HKD", $Q$2="USD"), K220*$Z$9,
            AND(Q220="HKD", $Q$2="GBP"), K220*$Z$10,
            AND(Q220="HKD", $Q$2="EUR"), K220*$Z$11,
            AND(Q220="EUR", $Q$2="EUR"), K220,
            AND(Q220="EUR", $Q$2="USD"), K220*$Z$12,
            AND(Q220="EUR", $Q$2="GBP"), K220*$Z$13,
            AND(Q220="EUR", $Q$2="HKD"), K220*$Z$14,
        ),
        0
    )
)</f>
        <v>0</v>
      </c>
      <c r="S220" s="1" cm="1">
        <f t="array" ref="S220">IF(A220="", "",
    IFERROR(
        _xlfn.SWITCH(
            TRUE,
            AND(Q220="USD", $Q$2="USD"), M220,
            AND(Q220="USD", $Q$2="GBP"), M220*$Z$3,
            AND(Q220="USD", $Q$2="HKD"), M220*$Z$4,
            AND(Q220="USD", $Q$2="EUR"), M220*$Z$5,
            AND(Q220="GBP", $Q$2="GBP"), M220,
            AND(Q220="GBP", $Q$2="USD"), M220*$Z$6,
            AND(Q220="GBP", $Q$2="HKD"), M220*$Z$7,
            AND(Q220="GBP", $Q$2="HKD"), M220*$Z$8,
            AND(Q220="HKG", $Q$2="HKG"), M220,
            AND(Q220="HKD", $Q$2="USD"), M220*$Z$9,
            AND(Q220="HKD", $Q$2="GBP"), M220*$Z$10,
            AND(Q220="HKD", $Q$2="EUR"), M220*$Z$11,
            AND(Q220="EUR", $Q$2="EUR"), M220,
            AND(Q220="EUR", $Q$2="USD"), M220*$Z$12,
            AND(Q220="EUR", $Q$2="GBP"), M220*$Z$13,
            AND(Q220="EUR", $Q$2="HKD"), M220*$Z$14,
        ),
        0
    )
)</f>
        <v>84.927999999999997</v>
      </c>
      <c r="T220" s="1" t="str">
        <f t="shared" si="24"/>
        <v>27</v>
      </c>
      <c r="U220" s="9" t="str">
        <f t="shared" si="25"/>
        <v>12</v>
      </c>
      <c r="V220" s="1" t="str">
        <f t="shared" si="26"/>
        <v>2023</v>
      </c>
      <c r="W220" s="18" t="str">
        <f t="shared" si="27"/>
        <v>星期三</v>
      </c>
    </row>
    <row r="221" spans="1:23">
      <c r="A221" s="17" t="s">
        <v>399</v>
      </c>
      <c r="B221" s="1" t="s">
        <v>348</v>
      </c>
      <c r="C221" s="9">
        <v>45287</v>
      </c>
      <c r="D221" s="1" t="e" vm="17">
        <v>#VALUE!</v>
      </c>
      <c r="E221" s="1" t="s">
        <v>32</v>
      </c>
      <c r="F221" s="1" t="s">
        <v>401</v>
      </c>
      <c r="H221" s="1" t="s">
        <v>367</v>
      </c>
      <c r="I221" s="1">
        <v>3</v>
      </c>
      <c r="J221" s="27">
        <v>185</v>
      </c>
      <c r="K221" s="1">
        <v>2.02</v>
      </c>
      <c r="M221" s="24">
        <f t="shared" si="21"/>
        <v>552.98</v>
      </c>
      <c r="N221" s="36">
        <f t="shared" si="22"/>
        <v>555</v>
      </c>
      <c r="O221" s="34">
        <f>IF(ISBLANK(A221),"",SUMIFS(I$3:I221,D$3:D221,D221,H$3:H221,"Buy")+SUMIFS(I$3:I221,D$3:D221,D221,H$3:H221,"Cash Deposit")+SUMIFS(I$3:I221,D$3:D221,D221,H$3:H221,"Crypto Deposit")+SUMIFS(I$3:I221,D$3:D221,D221,H$3:H221,"Airdrop/Rewards")-SUMIFS(I$3:I221,D$3:D221,D221,H$3:H221,"Sell"))</f>
        <v>68</v>
      </c>
      <c r="P221" s="2" cm="1">
        <f t="array" ref="P221">IF(ISBLANK(A221),"",IFERROR(IF(OR(H221="Sell",F221="Stable Coin"),INDEX(_xlfn._xlws.FILTER(P$2:P220, D$2:D220=D221),COUNT(_xlfn._xlws.FILTER(P$2:P220, D$2:D220=D221))),(INDEX(_xlfn._xlws.FILTER(P$2:P220, D$2:D220=D221),COUNT(_xlfn._xlws.FILTER(P$2:P220, D$2:D220=D221)))*INDEX(_xlfn._xlws.FILTER(O$2:O220, D$2:D220=D221),COUNT(_xlfn._xlws.FILTER(O$2:O220, D$2:D220=D221)))-N221) / O221), J221))</f>
        <v>66.475679957356064</v>
      </c>
      <c r="Q221" s="1" t="str">
        <f t="shared" si="23"/>
        <v>USD</v>
      </c>
      <c r="R221" s="1" cm="1">
        <f t="array" ref="R221">IF(A221="", "",
    IFERROR(
        _xlfn.SWITCH(
            TRUE,
            AND(Q221="USD", $Q$2="USD"), K221,
            AND(Q221="USD", $Q$2="GBP"), K221*$Z$3,
            AND(Q221="USD", $Q$2="HKD"), K221*$Z$4,
            AND(Q221="USD", $Q$2="EUR"), K221*$Z$5,
            AND(Q221="GBP", $Q$2="GBP"), K221,
            AND(Q221="GBP", $Q$2="USD"), K221*$Z$6,
            AND(Q221="GBP", $Q$2="HKD"), K221*$Z$7,
            AND(Q221="HKG", $Q$2="HKG"), K221,
            AND(Q221="HKD", $Q$2="USD"), K221*$Z$9,
            AND(Q221="HKD", $Q$2="GBP"), K221*$Z$10,
            AND(Q221="HKD", $Q$2="EUR"), K221*$Z$11,
            AND(Q221="EUR", $Q$2="EUR"), K221,
            AND(Q221="EUR", $Q$2="USD"), K221*$Z$12,
            AND(Q221="EUR", $Q$2="GBP"), K221*$Z$13,
            AND(Q221="EUR", $Q$2="HKD"), K221*$Z$14,
        ),
        0
    )
)</f>
        <v>2.02</v>
      </c>
      <c r="S221" s="1" cm="1">
        <f t="array" ref="S221">IF(A221="", "",
    IFERROR(
        _xlfn.SWITCH(
            TRUE,
            AND(Q221="USD", $Q$2="USD"), M221,
            AND(Q221="USD", $Q$2="GBP"), M221*$Z$3,
            AND(Q221="USD", $Q$2="HKD"), M221*$Z$4,
            AND(Q221="USD", $Q$2="EUR"), M221*$Z$5,
            AND(Q221="GBP", $Q$2="GBP"), M221,
            AND(Q221="GBP", $Q$2="USD"), M221*$Z$6,
            AND(Q221="GBP", $Q$2="HKD"), M221*$Z$7,
            AND(Q221="GBP", $Q$2="HKD"), M221*$Z$8,
            AND(Q221="HKG", $Q$2="HKG"), M221,
            AND(Q221="HKD", $Q$2="USD"), M221*$Z$9,
            AND(Q221="HKD", $Q$2="GBP"), M221*$Z$10,
            AND(Q221="HKD", $Q$2="EUR"), M221*$Z$11,
            AND(Q221="EUR", $Q$2="EUR"), M221,
            AND(Q221="EUR", $Q$2="USD"), M221*$Z$12,
            AND(Q221="EUR", $Q$2="GBP"), M221*$Z$13,
            AND(Q221="EUR", $Q$2="HKD"), M221*$Z$14,
        ),
        0
    )
)</f>
        <v>552.98</v>
      </c>
      <c r="T221" s="1" t="str">
        <f t="shared" si="24"/>
        <v>27</v>
      </c>
      <c r="U221" s="9" t="str">
        <f t="shared" si="25"/>
        <v>12</v>
      </c>
      <c r="V221" s="1" t="str">
        <f t="shared" si="26"/>
        <v>2023</v>
      </c>
      <c r="W221" s="18" t="str">
        <f t="shared" si="27"/>
        <v>星期三</v>
      </c>
    </row>
    <row r="222" spans="1:23">
      <c r="A222" s="17" t="s">
        <v>399</v>
      </c>
      <c r="B222" s="1" t="s">
        <v>348</v>
      </c>
      <c r="C222" s="9">
        <v>45287</v>
      </c>
      <c r="D222" s="1" t="e" vm="20">
        <v>#VALUE!</v>
      </c>
      <c r="E222" s="1" t="s">
        <v>402</v>
      </c>
      <c r="F222" s="1" t="s">
        <v>401</v>
      </c>
      <c r="H222" s="1" t="s">
        <v>367</v>
      </c>
      <c r="I222" s="1">
        <v>10</v>
      </c>
      <c r="J222" s="27">
        <v>30.3</v>
      </c>
      <c r="K222" s="1">
        <v>2.04</v>
      </c>
      <c r="M222" s="24">
        <f t="shared" si="21"/>
        <v>300.95999999999998</v>
      </c>
      <c r="N222" s="36">
        <f t="shared" si="22"/>
        <v>303</v>
      </c>
      <c r="O222" s="34">
        <f>IF(ISBLANK(A222),"",SUMIFS(I$3:I222,D$3:D222,D222,H$3:H222,"Buy")+SUMIFS(I$3:I222,D$3:D222,D222,H$3:H222,"Cash Deposit")+SUMIFS(I$3:I222,D$3:D222,D222,H$3:H222,"Crypto Deposit")+SUMIFS(I$3:I222,D$3:D222,D222,H$3:H222,"Airdrop/Rewards")-SUMIFS(I$3:I222,D$3:D222,D222,H$3:H222,"Sell"))</f>
        <v>175</v>
      </c>
      <c r="P222" s="2" cm="1">
        <f t="array" ref="P222">IF(ISBLANK(A222),"",IFERROR(IF(OR(H222="Sell",F222="Stable Coin"),INDEX(_xlfn._xlws.FILTER(P$2:P221, D$2:D221=D222),COUNT(_xlfn._xlws.FILTER(P$2:P221, D$2:D221=D222))),(INDEX(_xlfn._xlws.FILTER(P$2:P221, D$2:D221=D222),COUNT(_xlfn._xlws.FILTER(P$2:P221, D$2:D221=D222)))*INDEX(_xlfn._xlws.FILTER(O$2:O221, D$2:D221=D222),COUNT(_xlfn._xlws.FILTER(O$2:O221, D$2:D221=D222)))-N222) / O222), J222))</f>
        <v>9.1493706666666679</v>
      </c>
      <c r="Q222" s="1" t="str">
        <f t="shared" si="23"/>
        <v>USD</v>
      </c>
      <c r="R222" s="1" cm="1">
        <f t="array" ref="R222">IF(A222="", "",
    IFERROR(
        _xlfn.SWITCH(
            TRUE,
            AND(Q222="USD", $Q$2="USD"), K222,
            AND(Q222="USD", $Q$2="GBP"), K222*$Z$3,
            AND(Q222="USD", $Q$2="HKD"), K222*$Z$4,
            AND(Q222="USD", $Q$2="EUR"), K222*$Z$5,
            AND(Q222="GBP", $Q$2="GBP"), K222,
            AND(Q222="GBP", $Q$2="USD"), K222*$Z$6,
            AND(Q222="GBP", $Q$2="HKD"), K222*$Z$7,
            AND(Q222="HKG", $Q$2="HKG"), K222,
            AND(Q222="HKD", $Q$2="USD"), K222*$Z$9,
            AND(Q222="HKD", $Q$2="GBP"), K222*$Z$10,
            AND(Q222="HKD", $Q$2="EUR"), K222*$Z$11,
            AND(Q222="EUR", $Q$2="EUR"), K222,
            AND(Q222="EUR", $Q$2="USD"), K222*$Z$12,
            AND(Q222="EUR", $Q$2="GBP"), K222*$Z$13,
            AND(Q222="EUR", $Q$2="HKD"), K222*$Z$14,
        ),
        0
    )
)</f>
        <v>2.04</v>
      </c>
      <c r="S222" s="1" cm="1">
        <f t="array" ref="S222">IF(A222="", "",
    IFERROR(
        _xlfn.SWITCH(
            TRUE,
            AND(Q222="USD", $Q$2="USD"), M222,
            AND(Q222="USD", $Q$2="GBP"), M222*$Z$3,
            AND(Q222="USD", $Q$2="HKD"), M222*$Z$4,
            AND(Q222="USD", $Q$2="EUR"), M222*$Z$5,
            AND(Q222="GBP", $Q$2="GBP"), M222,
            AND(Q222="GBP", $Q$2="USD"), M222*$Z$6,
            AND(Q222="GBP", $Q$2="HKD"), M222*$Z$7,
            AND(Q222="GBP", $Q$2="HKD"), M222*$Z$8,
            AND(Q222="HKG", $Q$2="HKG"), M222,
            AND(Q222="HKD", $Q$2="USD"), M222*$Z$9,
            AND(Q222="HKD", $Q$2="GBP"), M222*$Z$10,
            AND(Q222="HKD", $Q$2="EUR"), M222*$Z$11,
            AND(Q222="EUR", $Q$2="EUR"), M222,
            AND(Q222="EUR", $Q$2="USD"), M222*$Z$12,
            AND(Q222="EUR", $Q$2="GBP"), M222*$Z$13,
            AND(Q222="EUR", $Q$2="HKD"), M222*$Z$14,
        ),
        0
    )
)</f>
        <v>300.95999999999998</v>
      </c>
      <c r="T222" s="1" t="str">
        <f t="shared" si="24"/>
        <v>27</v>
      </c>
      <c r="U222" s="9" t="str">
        <f t="shared" si="25"/>
        <v>12</v>
      </c>
      <c r="V222" s="1" t="str">
        <f t="shared" si="26"/>
        <v>2023</v>
      </c>
      <c r="W222" s="18" t="str">
        <f t="shared" si="27"/>
        <v>星期三</v>
      </c>
    </row>
    <row r="223" spans="1:23">
      <c r="A223" s="17" t="s">
        <v>32</v>
      </c>
      <c r="B223" s="1" t="s">
        <v>343</v>
      </c>
      <c r="C223" s="9">
        <v>45288</v>
      </c>
      <c r="D223" s="1" t="s">
        <v>345</v>
      </c>
      <c r="E223" s="1" t="s">
        <v>345</v>
      </c>
      <c r="F223" s="1" t="s">
        <v>345</v>
      </c>
      <c r="H223" s="1" t="s">
        <v>344</v>
      </c>
      <c r="I223" s="1">
        <v>1</v>
      </c>
      <c r="J223" s="27">
        <v>200</v>
      </c>
      <c r="M223" s="24">
        <f t="shared" si="21"/>
        <v>200</v>
      </c>
      <c r="N223" s="36">
        <f t="shared" si="22"/>
        <v>-200</v>
      </c>
      <c r="O223" s="34">
        <f>IF(ISBLANK(A223),"",SUMIFS(I$3:I223,D$3:D223,D223,H$3:H223,"Buy")+SUMIFS(I$3:I223,D$3:D223,D223,H$3:H223,"Cash Deposit")+SUMIFS(I$3:I223,D$3:D223,D223,H$3:H223,"Crypto Deposit")+SUMIFS(I$3:I223,D$3:D223,D223,H$3:H223,"Airdrop/Rewards")-SUMIFS(I$3:I223,D$3:D223,D223,H$3:H223,"Sell"))</f>
        <v>13</v>
      </c>
      <c r="P223" s="2" cm="1">
        <f t="array" ref="P223">IF(ISBLANK(A223),"",IFERROR(IF(OR(H223="Sell",F223="Stable Coin"),INDEX(_xlfn._xlws.FILTER(P$2:P222, D$2:D222=D223),COUNT(_xlfn._xlws.FILTER(P$2:P222, D$2:D222=D223))),(INDEX(_xlfn._xlws.FILTER(P$2:P222, D$2:D222=D223),COUNT(_xlfn._xlws.FILTER(P$2:P222, D$2:D222=D223)))*INDEX(_xlfn._xlws.FILTER(O$2:O222, D$2:D222=D223),COUNT(_xlfn._xlws.FILTER(O$2:O222, D$2:D222=D223)))-N223) / O223), J223))</f>
        <v>1390.7692307692307</v>
      </c>
      <c r="Q223" s="1" t="str">
        <f t="shared" si="23"/>
        <v>GBP</v>
      </c>
      <c r="R223" s="1" cm="1">
        <f t="array" ref="R223">IF(A223="", "",
    IFERROR(
        _xlfn.SWITCH(
            TRUE,
            AND(Q223="USD", $Q$2="USD"), K223,
            AND(Q223="USD", $Q$2="GBP"), K223*$Z$3,
            AND(Q223="USD", $Q$2="HKD"), K223*$Z$4,
            AND(Q223="USD", $Q$2="EUR"), K223*$Z$5,
            AND(Q223="GBP", $Q$2="GBP"), K223,
            AND(Q223="GBP", $Q$2="USD"), K223*$Z$6,
            AND(Q223="GBP", $Q$2="HKD"), K223*$Z$7,
            AND(Q223="HKG", $Q$2="HKG"), K223,
            AND(Q223="HKD", $Q$2="USD"), K223*$Z$9,
            AND(Q223="HKD", $Q$2="GBP"), K223*$Z$10,
            AND(Q223="HKD", $Q$2="EUR"), K223*$Z$11,
            AND(Q223="EUR", $Q$2="EUR"), K223,
            AND(Q223="EUR", $Q$2="USD"), K223*$Z$12,
            AND(Q223="EUR", $Q$2="GBP"), K223*$Z$13,
            AND(Q223="EUR", $Q$2="HKD"), K223*$Z$14,
        ),
        0
    )
)</f>
        <v>0</v>
      </c>
      <c r="S223" s="1" cm="1">
        <f t="array" ref="S223">IF(A223="", "",
    IFERROR(
        _xlfn.SWITCH(
            TRUE,
            AND(Q223="USD", $Q$2="USD"), M223,
            AND(Q223="USD", $Q$2="GBP"), M223*$Z$3,
            AND(Q223="USD", $Q$2="HKD"), M223*$Z$4,
            AND(Q223="USD", $Q$2="EUR"), M223*$Z$5,
            AND(Q223="GBP", $Q$2="GBP"), M223,
            AND(Q223="GBP", $Q$2="USD"), M223*$Z$6,
            AND(Q223="GBP", $Q$2="HKD"), M223*$Z$7,
            AND(Q223="GBP", $Q$2="HKD"), M223*$Z$8,
            AND(Q223="HKG", $Q$2="HKG"), M223,
            AND(Q223="HKD", $Q$2="USD"), M223*$Z$9,
            AND(Q223="HKD", $Q$2="GBP"), M223*$Z$10,
            AND(Q223="HKD", $Q$2="EUR"), M223*$Z$11,
            AND(Q223="EUR", $Q$2="EUR"), M223,
            AND(Q223="EUR", $Q$2="USD"), M223*$Z$12,
            AND(Q223="EUR", $Q$2="GBP"), M223*$Z$13,
            AND(Q223="EUR", $Q$2="HKD"), M223*$Z$14,
        ),
        0
    )
)</f>
        <v>255.64</v>
      </c>
      <c r="T223" s="1" t="str">
        <f t="shared" si="24"/>
        <v>28</v>
      </c>
      <c r="U223" s="9" t="str">
        <f t="shared" si="25"/>
        <v>12</v>
      </c>
      <c r="V223" s="1" t="str">
        <f t="shared" si="26"/>
        <v>2023</v>
      </c>
      <c r="W223" s="18" t="str">
        <f t="shared" si="27"/>
        <v>星期四</v>
      </c>
    </row>
    <row r="224" spans="1:23">
      <c r="A224" s="17" t="s">
        <v>32</v>
      </c>
      <c r="B224" s="1" t="s">
        <v>343</v>
      </c>
      <c r="C224" s="9">
        <v>45288</v>
      </c>
      <c r="D224" s="1" t="s">
        <v>345</v>
      </c>
      <c r="E224" s="1" t="s">
        <v>345</v>
      </c>
      <c r="F224" s="1" t="s">
        <v>345</v>
      </c>
      <c r="I224" s="1">
        <v>1</v>
      </c>
      <c r="J224" s="27">
        <v>200</v>
      </c>
      <c r="M224" s="24">
        <f t="shared" si="21"/>
        <v>200</v>
      </c>
      <c r="N224" s="36">
        <f t="shared" si="22"/>
        <v>0</v>
      </c>
      <c r="O224" s="34">
        <f>IF(ISBLANK(A224),"",SUMIFS(I$3:I224,D$3:D224,D224,H$3:H224,"Buy")+SUMIFS(I$3:I224,D$3:D224,D224,H$3:H224,"Cash Deposit")+SUMIFS(I$3:I224,D$3:D224,D224,H$3:H224,"Crypto Deposit")+SUMIFS(I$3:I224,D$3:D224,D224,H$3:H224,"Airdrop/Rewards")-SUMIFS(I$3:I224,D$3:D224,D224,H$3:H224,"Sell"))</f>
        <v>13</v>
      </c>
      <c r="P224" s="2" cm="1">
        <f t="array" ref="P224">IF(ISBLANK(A224),"",IFERROR(IF(OR(H224="Sell",F224="Stable Coin"),INDEX(_xlfn._xlws.FILTER(P$2:P223, D$2:D223=D224),COUNT(_xlfn._xlws.FILTER(P$2:P223, D$2:D223=D224))),(INDEX(_xlfn._xlws.FILTER(P$2:P223, D$2:D223=D224),COUNT(_xlfn._xlws.FILTER(P$2:P223, D$2:D223=D224)))*INDEX(_xlfn._xlws.FILTER(O$2:O223, D$2:D223=D224),COUNT(_xlfn._xlws.FILTER(O$2:O223, D$2:D223=D224)))-N224) / O224), J224))</f>
        <v>1390.7692307692307</v>
      </c>
      <c r="Q224" s="1" t="str">
        <f t="shared" si="23"/>
        <v>GBP</v>
      </c>
      <c r="R224" s="1" cm="1">
        <f t="array" ref="R224">IF(A224="", "",
    IFERROR(
        _xlfn.SWITCH(
            TRUE,
            AND(Q224="USD", $Q$2="USD"), K224,
            AND(Q224="USD", $Q$2="GBP"), K224*$Z$3,
            AND(Q224="USD", $Q$2="HKD"), K224*$Z$4,
            AND(Q224="USD", $Q$2="EUR"), K224*$Z$5,
            AND(Q224="GBP", $Q$2="GBP"), K224,
            AND(Q224="GBP", $Q$2="USD"), K224*$Z$6,
            AND(Q224="GBP", $Q$2="HKD"), K224*$Z$7,
            AND(Q224="HKG", $Q$2="HKG"), K224,
            AND(Q224="HKD", $Q$2="USD"), K224*$Z$9,
            AND(Q224="HKD", $Q$2="GBP"), K224*$Z$10,
            AND(Q224="HKD", $Q$2="EUR"), K224*$Z$11,
            AND(Q224="EUR", $Q$2="EUR"), K224,
            AND(Q224="EUR", $Q$2="USD"), K224*$Z$12,
            AND(Q224="EUR", $Q$2="GBP"), K224*$Z$13,
            AND(Q224="EUR", $Q$2="HKD"), K224*$Z$14,
        ),
        0
    )
)</f>
        <v>0</v>
      </c>
      <c r="S224" s="1" cm="1">
        <f t="array" ref="S224">IF(A224="", "",
    IFERROR(
        _xlfn.SWITCH(
            TRUE,
            AND(Q224="USD", $Q$2="USD"), M224,
            AND(Q224="USD", $Q$2="GBP"), M224*$Z$3,
            AND(Q224="USD", $Q$2="HKD"), M224*$Z$4,
            AND(Q224="USD", $Q$2="EUR"), M224*$Z$5,
            AND(Q224="GBP", $Q$2="GBP"), M224,
            AND(Q224="GBP", $Q$2="USD"), M224*$Z$6,
            AND(Q224="GBP", $Q$2="HKD"), M224*$Z$7,
            AND(Q224="GBP", $Q$2="HKD"), M224*$Z$8,
            AND(Q224="HKG", $Q$2="HKG"), M224,
            AND(Q224="HKD", $Q$2="USD"), M224*$Z$9,
            AND(Q224="HKD", $Q$2="GBP"), M224*$Z$10,
            AND(Q224="HKD", $Q$2="EUR"), M224*$Z$11,
            AND(Q224="EUR", $Q$2="EUR"), M224,
            AND(Q224="EUR", $Q$2="USD"), M224*$Z$12,
            AND(Q224="EUR", $Q$2="GBP"), M224*$Z$13,
            AND(Q224="EUR", $Q$2="HKD"), M224*$Z$14,
        ),
        0
    )
)</f>
        <v>255.64</v>
      </c>
      <c r="T224" s="1" t="str">
        <f t="shared" si="24"/>
        <v>28</v>
      </c>
      <c r="U224" s="9" t="str">
        <f t="shared" si="25"/>
        <v>12</v>
      </c>
      <c r="V224" s="1" t="str">
        <f t="shared" si="26"/>
        <v>2023</v>
      </c>
      <c r="W224" s="18" t="str">
        <f t="shared" si="27"/>
        <v>星期四</v>
      </c>
    </row>
    <row r="225" spans="1:23">
      <c r="A225" s="17" t="s">
        <v>32</v>
      </c>
      <c r="B225" s="1" t="s">
        <v>348</v>
      </c>
      <c r="C225" s="9">
        <v>45288</v>
      </c>
      <c r="D225" s="1" t="s">
        <v>122</v>
      </c>
      <c r="E225" s="1" t="s">
        <v>122</v>
      </c>
      <c r="F225" s="1" t="s">
        <v>346</v>
      </c>
      <c r="H225" s="1" t="s">
        <v>347</v>
      </c>
      <c r="I225" s="1">
        <v>254.67</v>
      </c>
      <c r="J225" s="27">
        <v>1</v>
      </c>
      <c r="M225" s="24">
        <f t="shared" si="21"/>
        <v>254.67</v>
      </c>
      <c r="N225" s="36">
        <f t="shared" si="22"/>
        <v>-254.67</v>
      </c>
      <c r="O225" s="34">
        <f>IF(ISBLANK(A225),"",SUMIFS(I$3:I225,D$3:D225,D225,H$3:H225,"Buy")+SUMIFS(I$3:I225,D$3:D225,D225,H$3:H225,"Cash Deposit")+SUMIFS(I$3:I225,D$3:D225,D225,H$3:H225,"Crypto Deposit")+SUMIFS(I$3:I225,D$3:D225,D225,H$3:H225,"Airdrop/Rewards")-SUMIFS(I$3:I225,D$3:D225,D225,H$3:H225,"Sell"))</f>
        <v>254.60000000000014</v>
      </c>
      <c r="P225" s="2" cm="1">
        <f t="array" ref="P225">IF(ISBLANK(A225),"",IFERROR(IF(OR(H225="Sell",F225="Stable Coin"),INDEX(_xlfn._xlws.FILTER(P$2:P224, D$2:D224=D225),COUNT(_xlfn._xlws.FILTER(P$2:P224, D$2:D224=D225))),(INDEX(_xlfn._xlws.FILTER(P$2:P224, D$2:D224=D225),COUNT(_xlfn._xlws.FILTER(P$2:P224, D$2:D224=D225)))*INDEX(_xlfn._xlws.FILTER(O$2:O224, D$2:D224=D225),COUNT(_xlfn._xlws.FILTER(O$2:O224, D$2:D224=D225)))-N225) / O225), J225))</f>
        <v>1</v>
      </c>
      <c r="Q225" s="1" t="str">
        <f t="shared" si="23"/>
        <v>USD</v>
      </c>
      <c r="R225" s="1" cm="1">
        <f t="array" ref="R225">IF(A225="", "",
    IFERROR(
        _xlfn.SWITCH(
            TRUE,
            AND(Q225="USD", $Q$2="USD"), K225,
            AND(Q225="USD", $Q$2="GBP"), K225*$Z$3,
            AND(Q225="USD", $Q$2="HKD"), K225*$Z$4,
            AND(Q225="USD", $Q$2="EUR"), K225*$Z$5,
            AND(Q225="GBP", $Q$2="GBP"), K225,
            AND(Q225="GBP", $Q$2="USD"), K225*$Z$6,
            AND(Q225="GBP", $Q$2="HKD"), K225*$Z$7,
            AND(Q225="HKG", $Q$2="HKG"), K225,
            AND(Q225="HKD", $Q$2="USD"), K225*$Z$9,
            AND(Q225="HKD", $Q$2="GBP"), K225*$Z$10,
            AND(Q225="HKD", $Q$2="EUR"), K225*$Z$11,
            AND(Q225="EUR", $Q$2="EUR"), K225,
            AND(Q225="EUR", $Q$2="USD"), K225*$Z$12,
            AND(Q225="EUR", $Q$2="GBP"), K225*$Z$13,
            AND(Q225="EUR", $Q$2="HKD"), K225*$Z$14,
        ),
        0
    )
)</f>
        <v>0</v>
      </c>
      <c r="S225" s="1" cm="1">
        <f t="array" ref="S225">IF(A225="", "",
    IFERROR(
        _xlfn.SWITCH(
            TRUE,
            AND(Q225="USD", $Q$2="USD"), M225,
            AND(Q225="USD", $Q$2="GBP"), M225*$Z$3,
            AND(Q225="USD", $Q$2="HKD"), M225*$Z$4,
            AND(Q225="USD", $Q$2="EUR"), M225*$Z$5,
            AND(Q225="GBP", $Q$2="GBP"), M225,
            AND(Q225="GBP", $Q$2="USD"), M225*$Z$6,
            AND(Q225="GBP", $Q$2="HKD"), M225*$Z$7,
            AND(Q225="GBP", $Q$2="HKD"), M225*$Z$8,
            AND(Q225="HKG", $Q$2="HKG"), M225,
            AND(Q225="HKD", $Q$2="USD"), M225*$Z$9,
            AND(Q225="HKD", $Q$2="GBP"), M225*$Z$10,
            AND(Q225="HKD", $Q$2="EUR"), M225*$Z$11,
            AND(Q225="EUR", $Q$2="EUR"), M225,
            AND(Q225="EUR", $Q$2="USD"), M225*$Z$12,
            AND(Q225="EUR", $Q$2="GBP"), M225*$Z$13,
            AND(Q225="EUR", $Q$2="HKD"), M225*$Z$14,
        ),
        0
    )
)</f>
        <v>254.67</v>
      </c>
      <c r="T225" s="1" t="str">
        <f t="shared" si="24"/>
        <v>28</v>
      </c>
      <c r="U225" s="9" t="str">
        <f t="shared" si="25"/>
        <v>12</v>
      </c>
      <c r="V225" s="1" t="str">
        <f t="shared" si="26"/>
        <v>2023</v>
      </c>
      <c r="W225" s="18" t="str">
        <f t="shared" si="27"/>
        <v>星期四</v>
      </c>
    </row>
    <row r="226" spans="1:23">
      <c r="A226" s="17" t="s">
        <v>32</v>
      </c>
      <c r="B226" s="1" t="s">
        <v>348</v>
      </c>
      <c r="C226" s="9">
        <v>45288</v>
      </c>
      <c r="D226" s="1" t="s">
        <v>122</v>
      </c>
      <c r="E226" s="1" t="s">
        <v>122</v>
      </c>
      <c r="F226" s="1" t="s">
        <v>346</v>
      </c>
      <c r="H226" s="1" t="s">
        <v>367</v>
      </c>
      <c r="I226" s="1">
        <v>127.98</v>
      </c>
      <c r="J226" s="27">
        <v>1</v>
      </c>
      <c r="M226" s="24">
        <f t="shared" si="21"/>
        <v>127.98</v>
      </c>
      <c r="N226" s="36">
        <f t="shared" si="22"/>
        <v>127.98</v>
      </c>
      <c r="O226" s="34">
        <f>IF(ISBLANK(A226),"",SUMIFS(I$3:I226,D$3:D226,D226,H$3:H226,"Buy")+SUMIFS(I$3:I226,D$3:D226,D226,H$3:H226,"Cash Deposit")+SUMIFS(I$3:I226,D$3:D226,D226,H$3:H226,"Crypto Deposit")+SUMIFS(I$3:I226,D$3:D226,D226,H$3:H226,"Airdrop/Rewards")-SUMIFS(I$3:I226,D$3:D226,D226,H$3:H226,"Sell"))</f>
        <v>126.62000000000012</v>
      </c>
      <c r="P226" s="2" cm="1">
        <f t="array" ref="P226">IF(ISBLANK(A226),"",IFERROR(IF(OR(H226="Sell",F226="Stable Coin"),INDEX(_xlfn._xlws.FILTER(P$2:P225, D$2:D225=D226),COUNT(_xlfn._xlws.FILTER(P$2:P225, D$2:D225=D226))),(INDEX(_xlfn._xlws.FILTER(P$2:P225, D$2:D225=D226),COUNT(_xlfn._xlws.FILTER(P$2:P225, D$2:D225=D226)))*INDEX(_xlfn._xlws.FILTER(O$2:O225, D$2:D225=D226),COUNT(_xlfn._xlws.FILTER(O$2:O225, D$2:D225=D226)))-N226) / O226), J226))</f>
        <v>1</v>
      </c>
      <c r="Q226" s="1" t="str">
        <f t="shared" si="23"/>
        <v>USD</v>
      </c>
      <c r="R226" s="1" cm="1">
        <f t="array" ref="R226">IF(A226="", "",
    IFERROR(
        _xlfn.SWITCH(
            TRUE,
            AND(Q226="USD", $Q$2="USD"), K226,
            AND(Q226="USD", $Q$2="GBP"), K226*$Z$3,
            AND(Q226="USD", $Q$2="HKD"), K226*$Z$4,
            AND(Q226="USD", $Q$2="EUR"), K226*$Z$5,
            AND(Q226="GBP", $Q$2="GBP"), K226,
            AND(Q226="GBP", $Q$2="USD"), K226*$Z$6,
            AND(Q226="GBP", $Q$2="HKD"), K226*$Z$7,
            AND(Q226="HKG", $Q$2="HKG"), K226,
            AND(Q226="HKD", $Q$2="USD"), K226*$Z$9,
            AND(Q226="HKD", $Q$2="GBP"), K226*$Z$10,
            AND(Q226="HKD", $Q$2="EUR"), K226*$Z$11,
            AND(Q226="EUR", $Q$2="EUR"), K226,
            AND(Q226="EUR", $Q$2="USD"), K226*$Z$12,
            AND(Q226="EUR", $Q$2="GBP"), K226*$Z$13,
            AND(Q226="EUR", $Q$2="HKD"), K226*$Z$14,
        ),
        0
    )
)</f>
        <v>0</v>
      </c>
      <c r="S226" s="1" cm="1">
        <f t="array" ref="S226">IF(A226="", "",
    IFERROR(
        _xlfn.SWITCH(
            TRUE,
            AND(Q226="USD", $Q$2="USD"), M226,
            AND(Q226="USD", $Q$2="GBP"), M226*$Z$3,
            AND(Q226="USD", $Q$2="HKD"), M226*$Z$4,
            AND(Q226="USD", $Q$2="EUR"), M226*$Z$5,
            AND(Q226="GBP", $Q$2="GBP"), M226,
            AND(Q226="GBP", $Q$2="USD"), M226*$Z$6,
            AND(Q226="GBP", $Q$2="HKD"), M226*$Z$7,
            AND(Q226="GBP", $Q$2="HKD"), M226*$Z$8,
            AND(Q226="HKG", $Q$2="HKG"), M226,
            AND(Q226="HKD", $Q$2="USD"), M226*$Z$9,
            AND(Q226="HKD", $Q$2="GBP"), M226*$Z$10,
            AND(Q226="HKD", $Q$2="EUR"), M226*$Z$11,
            AND(Q226="EUR", $Q$2="EUR"), M226,
            AND(Q226="EUR", $Q$2="USD"), M226*$Z$12,
            AND(Q226="EUR", $Q$2="GBP"), M226*$Z$13,
            AND(Q226="EUR", $Q$2="HKD"), M226*$Z$14,
        ),
        0
    )
)</f>
        <v>127.98</v>
      </c>
      <c r="T226" s="1" t="str">
        <f t="shared" si="24"/>
        <v>28</v>
      </c>
      <c r="U226" s="9" t="str">
        <f t="shared" si="25"/>
        <v>12</v>
      </c>
      <c r="V226" s="1" t="str">
        <f t="shared" si="26"/>
        <v>2023</v>
      </c>
      <c r="W226" s="18" t="str">
        <f t="shared" si="27"/>
        <v>星期四</v>
      </c>
    </row>
    <row r="227" spans="1:23">
      <c r="A227" s="17" t="s">
        <v>32</v>
      </c>
      <c r="B227" s="1" t="s">
        <v>348</v>
      </c>
      <c r="C227" s="9">
        <v>45288</v>
      </c>
      <c r="D227" s="1" t="s">
        <v>23</v>
      </c>
      <c r="E227" s="1" t="s">
        <v>24</v>
      </c>
      <c r="F227" s="1" t="s">
        <v>349</v>
      </c>
      <c r="H227" s="1" t="s">
        <v>347</v>
      </c>
      <c r="I227" s="1">
        <v>5.2569999999999999E-2</v>
      </c>
      <c r="J227" s="27">
        <v>2434.4683279000001</v>
      </c>
      <c r="M227" s="24">
        <f t="shared" si="21"/>
        <v>127.979999997703</v>
      </c>
      <c r="N227" s="36">
        <f t="shared" si="22"/>
        <v>-127.979999997703</v>
      </c>
      <c r="O227" s="34">
        <f>IF(ISBLANK(A227),"",SUMIFS(I$3:I227,D$3:D227,D227,H$3:H227,"Buy")+SUMIFS(I$3:I227,D$3:D227,D227,H$3:H227,"Cash Deposit")+SUMIFS(I$3:I227,D$3:D227,D227,H$3:H227,"Crypto Deposit")+SUMIFS(I$3:I227,D$3:D227,D227,H$3:H227,"Airdrop/Rewards")-SUMIFS(I$3:I227,D$3:D227,D227,H$3:H227,"Sell"))</f>
        <v>10.07714112</v>
      </c>
      <c r="P227" s="2" cm="1">
        <f t="array" ref="P227">IF(ISBLANK(A227),"",IFERROR(IF(OR(H227="Sell",F227="Stable Coin"),INDEX(_xlfn._xlws.FILTER(P$2:P226, D$2:D226=D227),COUNT(_xlfn._xlws.FILTER(P$2:P226, D$2:D226=D227))),(INDEX(_xlfn._xlws.FILTER(P$2:P226, D$2:D226=D227),COUNT(_xlfn._xlws.FILTER(P$2:P226, D$2:D226=D227)))*INDEX(_xlfn._xlws.FILTER(O$2:O226, D$2:D226=D227),COUNT(_xlfn._xlws.FILTER(O$2:O226, D$2:D226=D227)))-N227) / O227), J227))</f>
        <v>2363.3641190760882</v>
      </c>
      <c r="Q227" s="1" t="str">
        <f t="shared" si="23"/>
        <v>USD</v>
      </c>
      <c r="R227" s="1" cm="1">
        <f t="array" ref="R227">IF(A227="", "",
    IFERROR(
        _xlfn.SWITCH(
            TRUE,
            AND(Q227="USD", $Q$2="USD"), K227,
            AND(Q227="USD", $Q$2="GBP"), K227*$Z$3,
            AND(Q227="USD", $Q$2="HKD"), K227*$Z$4,
            AND(Q227="USD", $Q$2="EUR"), K227*$Z$5,
            AND(Q227="GBP", $Q$2="GBP"), K227,
            AND(Q227="GBP", $Q$2="USD"), K227*$Z$6,
            AND(Q227="GBP", $Q$2="HKD"), K227*$Z$7,
            AND(Q227="HKG", $Q$2="HKG"), K227,
            AND(Q227="HKD", $Q$2="USD"), K227*$Z$9,
            AND(Q227="HKD", $Q$2="GBP"), K227*$Z$10,
            AND(Q227="HKD", $Q$2="EUR"), K227*$Z$11,
            AND(Q227="EUR", $Q$2="EUR"), K227,
            AND(Q227="EUR", $Q$2="USD"), K227*$Z$12,
            AND(Q227="EUR", $Q$2="GBP"), K227*$Z$13,
            AND(Q227="EUR", $Q$2="HKD"), K227*$Z$14,
        ),
        0
    )
)</f>
        <v>0</v>
      </c>
      <c r="S227" s="1" cm="1">
        <f t="array" ref="S227">IF(A227="", "",
    IFERROR(
        _xlfn.SWITCH(
            TRUE,
            AND(Q227="USD", $Q$2="USD"), M227,
            AND(Q227="USD", $Q$2="GBP"), M227*$Z$3,
            AND(Q227="USD", $Q$2="HKD"), M227*$Z$4,
            AND(Q227="USD", $Q$2="EUR"), M227*$Z$5,
            AND(Q227="GBP", $Q$2="GBP"), M227,
            AND(Q227="GBP", $Q$2="USD"), M227*$Z$6,
            AND(Q227="GBP", $Q$2="HKD"), M227*$Z$7,
            AND(Q227="GBP", $Q$2="HKD"), M227*$Z$8,
            AND(Q227="HKG", $Q$2="HKG"), M227,
            AND(Q227="HKD", $Q$2="USD"), M227*$Z$9,
            AND(Q227="HKD", $Q$2="GBP"), M227*$Z$10,
            AND(Q227="HKD", $Q$2="EUR"), M227*$Z$11,
            AND(Q227="EUR", $Q$2="EUR"), M227,
            AND(Q227="EUR", $Q$2="USD"), M227*$Z$12,
            AND(Q227="EUR", $Q$2="GBP"), M227*$Z$13,
            AND(Q227="EUR", $Q$2="HKD"), M227*$Z$14,
        ),
        0
    )
)</f>
        <v>127.979999997703</v>
      </c>
      <c r="T227" s="1" t="str">
        <f t="shared" si="24"/>
        <v>28</v>
      </c>
      <c r="U227" s="9" t="str">
        <f t="shared" si="25"/>
        <v>12</v>
      </c>
      <c r="V227" s="1" t="str">
        <f t="shared" si="26"/>
        <v>2023</v>
      </c>
      <c r="W227" s="18" t="str">
        <f t="shared" si="27"/>
        <v>星期四</v>
      </c>
    </row>
    <row r="228" spans="1:23">
      <c r="A228" s="17" t="s">
        <v>32</v>
      </c>
      <c r="B228" s="1" t="s">
        <v>348</v>
      </c>
      <c r="C228" s="9">
        <v>45288</v>
      </c>
      <c r="D228" s="1" t="s">
        <v>122</v>
      </c>
      <c r="E228" s="1" t="s">
        <v>122</v>
      </c>
      <c r="F228" s="1" t="s">
        <v>346</v>
      </c>
      <c r="H228" s="1" t="s">
        <v>367</v>
      </c>
      <c r="I228" s="1">
        <v>126.68</v>
      </c>
      <c r="J228" s="27">
        <v>1</v>
      </c>
      <c r="M228" s="24">
        <f t="shared" si="21"/>
        <v>126.68</v>
      </c>
      <c r="N228" s="36">
        <f t="shared" si="22"/>
        <v>126.68</v>
      </c>
      <c r="O228" s="34">
        <f>IF(ISBLANK(A228),"",SUMIFS(I$3:I228,D$3:D228,D228,H$3:H228,"Buy")+SUMIFS(I$3:I228,D$3:D228,D228,H$3:H228,"Cash Deposit")+SUMIFS(I$3:I228,D$3:D228,D228,H$3:H228,"Crypto Deposit")+SUMIFS(I$3:I228,D$3:D228,D228,H$3:H228,"Airdrop/Rewards")-SUMIFS(I$3:I228,D$3:D228,D228,H$3:H228,"Sell"))</f>
        <v>-5.999999999994543E-2</v>
      </c>
      <c r="P228" s="2" cm="1">
        <f t="array" ref="P228">IF(ISBLANK(A228),"",IFERROR(IF(OR(H228="Sell",F228="Stable Coin"),INDEX(_xlfn._xlws.FILTER(P$2:P227, D$2:D227=D228),COUNT(_xlfn._xlws.FILTER(P$2:P227, D$2:D227=D228))),(INDEX(_xlfn._xlws.FILTER(P$2:P227, D$2:D227=D228),COUNT(_xlfn._xlws.FILTER(P$2:P227, D$2:D227=D228)))*INDEX(_xlfn._xlws.FILTER(O$2:O227, D$2:D227=D228),COUNT(_xlfn._xlws.FILTER(O$2:O227, D$2:D227=D228)))-N228) / O228), J228))</f>
        <v>1</v>
      </c>
      <c r="Q228" s="1" t="str">
        <f t="shared" si="23"/>
        <v>USD</v>
      </c>
      <c r="R228" s="1" cm="1">
        <f t="array" ref="R228">IF(A228="", "",
    IFERROR(
        _xlfn.SWITCH(
            TRUE,
            AND(Q228="USD", $Q$2="USD"), K228,
            AND(Q228="USD", $Q$2="GBP"), K228*$Z$3,
            AND(Q228="USD", $Q$2="HKD"), K228*$Z$4,
            AND(Q228="USD", $Q$2="EUR"), K228*$Z$5,
            AND(Q228="GBP", $Q$2="GBP"), K228,
            AND(Q228="GBP", $Q$2="USD"), K228*$Z$6,
            AND(Q228="GBP", $Q$2="HKD"), K228*$Z$7,
            AND(Q228="HKG", $Q$2="HKG"), K228,
            AND(Q228="HKD", $Q$2="USD"), K228*$Z$9,
            AND(Q228="HKD", $Q$2="GBP"), K228*$Z$10,
            AND(Q228="HKD", $Q$2="EUR"), K228*$Z$11,
            AND(Q228="EUR", $Q$2="EUR"), K228,
            AND(Q228="EUR", $Q$2="USD"), K228*$Z$12,
            AND(Q228="EUR", $Q$2="GBP"), K228*$Z$13,
            AND(Q228="EUR", $Q$2="HKD"), K228*$Z$14,
        ),
        0
    )
)</f>
        <v>0</v>
      </c>
      <c r="S228" s="1" cm="1">
        <f t="array" ref="S228">IF(A228="", "",
    IFERROR(
        _xlfn.SWITCH(
            TRUE,
            AND(Q228="USD", $Q$2="USD"), M228,
            AND(Q228="USD", $Q$2="GBP"), M228*$Z$3,
            AND(Q228="USD", $Q$2="HKD"), M228*$Z$4,
            AND(Q228="USD", $Q$2="EUR"), M228*$Z$5,
            AND(Q228="GBP", $Q$2="GBP"), M228,
            AND(Q228="GBP", $Q$2="USD"), M228*$Z$6,
            AND(Q228="GBP", $Q$2="HKD"), M228*$Z$7,
            AND(Q228="GBP", $Q$2="HKD"), M228*$Z$8,
            AND(Q228="HKG", $Q$2="HKG"), M228,
            AND(Q228="HKD", $Q$2="USD"), M228*$Z$9,
            AND(Q228="HKD", $Q$2="GBP"), M228*$Z$10,
            AND(Q228="HKD", $Q$2="EUR"), M228*$Z$11,
            AND(Q228="EUR", $Q$2="EUR"), M228,
            AND(Q228="EUR", $Q$2="USD"), M228*$Z$12,
            AND(Q228="EUR", $Q$2="GBP"), M228*$Z$13,
            AND(Q228="EUR", $Q$2="HKD"), M228*$Z$14,
        ),
        0
    )
)</f>
        <v>126.68</v>
      </c>
      <c r="T228" s="1" t="str">
        <f t="shared" si="24"/>
        <v>28</v>
      </c>
      <c r="U228" s="9" t="str">
        <f t="shared" si="25"/>
        <v>12</v>
      </c>
      <c r="V228" s="1" t="str">
        <f t="shared" si="26"/>
        <v>2023</v>
      </c>
      <c r="W228" s="18" t="str">
        <f t="shared" si="27"/>
        <v>星期四</v>
      </c>
    </row>
    <row r="229" spans="1:23">
      <c r="A229" s="17" t="s">
        <v>32</v>
      </c>
      <c r="B229" s="1" t="s">
        <v>348</v>
      </c>
      <c r="C229" s="9">
        <v>45288</v>
      </c>
      <c r="D229" s="1" t="s">
        <v>47</v>
      </c>
      <c r="E229" s="1" t="s">
        <v>4</v>
      </c>
      <c r="F229" s="1" t="s">
        <v>349</v>
      </c>
      <c r="H229" s="1" t="s">
        <v>347</v>
      </c>
      <c r="I229" s="1">
        <v>2.885E-3</v>
      </c>
      <c r="J229" s="27">
        <v>43909.878682800001</v>
      </c>
      <c r="M229" s="24">
        <f t="shared" si="21"/>
        <v>126.67999999987801</v>
      </c>
      <c r="N229" s="36">
        <f t="shared" si="22"/>
        <v>-126.67999999987801</v>
      </c>
      <c r="O229" s="34">
        <f>IF(ISBLANK(A229),"",SUMIFS(I$3:I229,D$3:D229,D229,H$3:H229,"Buy")+SUMIFS(I$3:I229,D$3:D229,D229,H$3:H229,"Cash Deposit")+SUMIFS(I$3:I229,D$3:D229,D229,H$3:H229,"Crypto Deposit")+SUMIFS(I$3:I229,D$3:D229,D229,H$3:H229,"Airdrop/Rewards")-SUMIFS(I$3:I229,D$3:D229,D229,H$3:H229,"Sell"))</f>
        <v>0.32808381999999997</v>
      </c>
      <c r="P229" s="2" cm="1">
        <f t="array" ref="P229">IF(ISBLANK(A229),"",IFERROR(IF(OR(H229="Sell",F229="Stable Coin"),INDEX(_xlfn._xlws.FILTER(P$2:P228, D$2:D228=D229),COUNT(_xlfn._xlws.FILTER(P$2:P228, D$2:D228=D229))),(INDEX(_xlfn._xlws.FILTER(P$2:P228, D$2:D228=D229),COUNT(_xlfn._xlws.FILTER(P$2:P228, D$2:D228=D229)))*INDEX(_xlfn._xlws.FILTER(O$2:O228, D$2:D228=D229),COUNT(_xlfn._xlws.FILTER(O$2:O228, D$2:D228=D229)))-N229) / O229), J229))</f>
        <v>31450.409684510352</v>
      </c>
      <c r="Q229" s="1" t="str">
        <f t="shared" si="23"/>
        <v>USD</v>
      </c>
      <c r="R229" s="1" cm="1">
        <f t="array" ref="R229">IF(A229="", "",
    IFERROR(
        _xlfn.SWITCH(
            TRUE,
            AND(Q229="USD", $Q$2="USD"), K229,
            AND(Q229="USD", $Q$2="GBP"), K229*$Z$3,
            AND(Q229="USD", $Q$2="HKD"), K229*$Z$4,
            AND(Q229="USD", $Q$2="EUR"), K229*$Z$5,
            AND(Q229="GBP", $Q$2="GBP"), K229,
            AND(Q229="GBP", $Q$2="USD"), K229*$Z$6,
            AND(Q229="GBP", $Q$2="HKD"), K229*$Z$7,
            AND(Q229="HKG", $Q$2="HKG"), K229,
            AND(Q229="HKD", $Q$2="USD"), K229*$Z$9,
            AND(Q229="HKD", $Q$2="GBP"), K229*$Z$10,
            AND(Q229="HKD", $Q$2="EUR"), K229*$Z$11,
            AND(Q229="EUR", $Q$2="EUR"), K229,
            AND(Q229="EUR", $Q$2="USD"), K229*$Z$12,
            AND(Q229="EUR", $Q$2="GBP"), K229*$Z$13,
            AND(Q229="EUR", $Q$2="HKD"), K229*$Z$14,
        ),
        0
    )
)</f>
        <v>0</v>
      </c>
      <c r="S229" s="1" cm="1">
        <f t="array" ref="S229">IF(A229="", "",
    IFERROR(
        _xlfn.SWITCH(
            TRUE,
            AND(Q229="USD", $Q$2="USD"), M229,
            AND(Q229="USD", $Q$2="GBP"), M229*$Z$3,
            AND(Q229="USD", $Q$2="HKD"), M229*$Z$4,
            AND(Q229="USD", $Q$2="EUR"), M229*$Z$5,
            AND(Q229="GBP", $Q$2="GBP"), M229,
            AND(Q229="GBP", $Q$2="USD"), M229*$Z$6,
            AND(Q229="GBP", $Q$2="HKD"), M229*$Z$7,
            AND(Q229="GBP", $Q$2="HKD"), M229*$Z$8,
            AND(Q229="HKG", $Q$2="HKG"), M229,
            AND(Q229="HKD", $Q$2="USD"), M229*$Z$9,
            AND(Q229="HKD", $Q$2="GBP"), M229*$Z$10,
            AND(Q229="HKD", $Q$2="EUR"), M229*$Z$11,
            AND(Q229="EUR", $Q$2="EUR"), M229,
            AND(Q229="EUR", $Q$2="USD"), M229*$Z$12,
            AND(Q229="EUR", $Q$2="GBP"), M229*$Z$13,
            AND(Q229="EUR", $Q$2="HKD"), M229*$Z$14,
        ),
        0
    )
)</f>
        <v>126.67999999987801</v>
      </c>
      <c r="T229" s="1" t="str">
        <f t="shared" si="24"/>
        <v>28</v>
      </c>
      <c r="U229" s="9" t="str">
        <f t="shared" si="25"/>
        <v>12</v>
      </c>
      <c r="V229" s="1" t="str">
        <f t="shared" si="26"/>
        <v>2023</v>
      </c>
      <c r="W229" s="18" t="str">
        <f t="shared" si="27"/>
        <v>星期四</v>
      </c>
    </row>
    <row r="230" spans="1:23">
      <c r="A230" s="17" t="s">
        <v>59</v>
      </c>
      <c r="B230" s="1" t="s">
        <v>348</v>
      </c>
      <c r="C230" s="9">
        <v>45292</v>
      </c>
      <c r="D230" s="30" t="s">
        <v>358</v>
      </c>
      <c r="E230" s="30" t="s">
        <v>66</v>
      </c>
      <c r="F230" s="1" t="s">
        <v>349</v>
      </c>
      <c r="H230" s="1" t="s">
        <v>359</v>
      </c>
      <c r="I230" s="1">
        <v>29.61</v>
      </c>
      <c r="J230" s="27">
        <v>1.88</v>
      </c>
      <c r="M230" s="24">
        <f t="shared" si="21"/>
        <v>55.666799999999995</v>
      </c>
      <c r="N230" s="36">
        <f t="shared" si="22"/>
        <v>0</v>
      </c>
      <c r="O230" s="34">
        <f>IF(ISBLANK(A230),"",SUMIFS(I$3:I230,D$3:D230,D230,H$3:H230,"Buy")+SUMIFS(I$3:I230,D$3:D230,D230,H$3:H230,"Cash Deposit")+SUMIFS(I$3:I230,D$3:D230,D230,H$3:H230,"Crypto Deposit")+SUMIFS(I$3:I230,D$3:D230,D230,H$3:H230,"Airdrop/Rewards")-SUMIFS(I$3:I230,D$3:D230,D230,H$3:H230,"Sell"))</f>
        <v>29.61</v>
      </c>
      <c r="P230" s="2" cm="1">
        <f t="array" ref="P230">IF(ISBLANK(A230),"",IFERROR(IF(OR(H230="Sell",F230="Stable Coin"),INDEX(_xlfn._xlws.FILTER(P$2:P229, D$2:D229=D230),COUNT(_xlfn._xlws.FILTER(P$2:P229, D$2:D229=D230))),(INDEX(_xlfn._xlws.FILTER(P$2:P229, D$2:D229=D230),COUNT(_xlfn._xlws.FILTER(P$2:P229, D$2:D229=D230)))*INDEX(_xlfn._xlws.FILTER(O$2:O229, D$2:D229=D230),COUNT(_xlfn._xlws.FILTER(O$2:O229, D$2:D229=D230)))-N230) / O230), J230))</f>
        <v>1.88</v>
      </c>
      <c r="Q230" s="1" t="str">
        <f t="shared" si="23"/>
        <v>USD</v>
      </c>
      <c r="R230" s="1" cm="1">
        <f t="array" ref="R230">IF(A230="", "",
    IFERROR(
        _xlfn.SWITCH(
            TRUE,
            AND(Q230="USD", $Q$2="USD"), K230,
            AND(Q230="USD", $Q$2="GBP"), K230*$Z$3,
            AND(Q230="USD", $Q$2="HKD"), K230*$Z$4,
            AND(Q230="USD", $Q$2="EUR"), K230*$Z$5,
            AND(Q230="GBP", $Q$2="GBP"), K230,
            AND(Q230="GBP", $Q$2="USD"), K230*$Z$6,
            AND(Q230="GBP", $Q$2="HKD"), K230*$Z$7,
            AND(Q230="HKG", $Q$2="HKG"), K230,
            AND(Q230="HKD", $Q$2="USD"), K230*$Z$9,
            AND(Q230="HKD", $Q$2="GBP"), K230*$Z$10,
            AND(Q230="HKD", $Q$2="EUR"), K230*$Z$11,
            AND(Q230="EUR", $Q$2="EUR"), K230,
            AND(Q230="EUR", $Q$2="USD"), K230*$Z$12,
            AND(Q230="EUR", $Q$2="GBP"), K230*$Z$13,
            AND(Q230="EUR", $Q$2="HKD"), K230*$Z$14,
        ),
        0
    )
)</f>
        <v>0</v>
      </c>
      <c r="S230" s="1" cm="1">
        <f t="array" ref="S230">IF(A230="", "",
    IFERROR(
        _xlfn.SWITCH(
            TRUE,
            AND(Q230="USD", $Q$2="USD"), M230,
            AND(Q230="USD", $Q$2="GBP"), M230*$Z$3,
            AND(Q230="USD", $Q$2="HKD"), M230*$Z$4,
            AND(Q230="USD", $Q$2="EUR"), M230*$Z$5,
            AND(Q230="GBP", $Q$2="GBP"), M230,
            AND(Q230="GBP", $Q$2="USD"), M230*$Z$6,
            AND(Q230="GBP", $Q$2="HKD"), M230*$Z$7,
            AND(Q230="GBP", $Q$2="HKD"), M230*$Z$8,
            AND(Q230="HKG", $Q$2="HKG"), M230,
            AND(Q230="HKD", $Q$2="USD"), M230*$Z$9,
            AND(Q230="HKD", $Q$2="GBP"), M230*$Z$10,
            AND(Q230="HKD", $Q$2="EUR"), M230*$Z$11,
            AND(Q230="EUR", $Q$2="EUR"), M230,
            AND(Q230="EUR", $Q$2="USD"), M230*$Z$12,
            AND(Q230="EUR", $Q$2="GBP"), M230*$Z$13,
            AND(Q230="EUR", $Q$2="HKD"), M230*$Z$14,
        ),
        0
    )
)</f>
        <v>55.666799999999995</v>
      </c>
      <c r="T230" s="1" t="str">
        <f t="shared" si="24"/>
        <v>1</v>
      </c>
      <c r="U230" s="9" t="str">
        <f t="shared" si="25"/>
        <v>01</v>
      </c>
      <c r="V230" s="1" t="str">
        <f t="shared" si="26"/>
        <v>2024</v>
      </c>
      <c r="W230" s="18" t="str">
        <f t="shared" si="27"/>
        <v>星期一</v>
      </c>
    </row>
    <row r="231" spans="1:23">
      <c r="A231" s="17" t="s">
        <v>59</v>
      </c>
      <c r="B231" s="1" t="s">
        <v>348</v>
      </c>
      <c r="C231" s="9">
        <v>45292</v>
      </c>
      <c r="D231" s="1" t="s">
        <v>23</v>
      </c>
      <c r="E231" s="1" t="s">
        <v>24</v>
      </c>
      <c r="F231" s="1" t="s">
        <v>349</v>
      </c>
      <c r="H231" s="1" t="s">
        <v>360</v>
      </c>
      <c r="I231" s="1">
        <v>3.49</v>
      </c>
      <c r="J231" s="27">
        <v>2483.5500000000002</v>
      </c>
      <c r="M231" s="24">
        <f t="shared" si="21"/>
        <v>8667.5895000000019</v>
      </c>
      <c r="N231" s="36">
        <f t="shared" si="22"/>
        <v>0</v>
      </c>
      <c r="O231" s="34">
        <f>IF(ISBLANK(A231),"",SUMIFS(I$3:I231,D$3:D231,D231,H$3:H231,"Buy")+SUMIFS(I$3:I231,D$3:D231,D231,H$3:H231,"Cash Deposit")+SUMIFS(I$3:I231,D$3:D231,D231,H$3:H231,"Crypto Deposit")+SUMIFS(I$3:I231,D$3:D231,D231,H$3:H231,"Airdrop/Rewards")-SUMIFS(I$3:I231,D$3:D231,D231,H$3:H231,"Sell"))</f>
        <v>10.07714112</v>
      </c>
      <c r="P231" s="2" cm="1">
        <f t="array" ref="P231">IF(ISBLANK(A231),"",IFERROR(IF(OR(H231="Sell",F231="Stable Coin"),INDEX(_xlfn._xlws.FILTER(P$2:P230, D$2:D230=D231),COUNT(_xlfn._xlws.FILTER(P$2:P230, D$2:D230=D231))),(INDEX(_xlfn._xlws.FILTER(P$2:P230, D$2:D230=D231),COUNT(_xlfn._xlws.FILTER(P$2:P230, D$2:D230=D231)))*INDEX(_xlfn._xlws.FILTER(O$2:O230, D$2:D230=D231),COUNT(_xlfn._xlws.FILTER(O$2:O230, D$2:D230=D231)))-N231) / O231), J231))</f>
        <v>2363.3641190760882</v>
      </c>
      <c r="Q231" s="1" t="str">
        <f t="shared" si="23"/>
        <v>USD</v>
      </c>
      <c r="R231" s="1" cm="1">
        <f t="array" ref="R231">IF(A231="", "",
    IFERROR(
        _xlfn.SWITCH(
            TRUE,
            AND(Q231="USD", $Q$2="USD"), K231,
            AND(Q231="USD", $Q$2="GBP"), K231*$Z$3,
            AND(Q231="USD", $Q$2="HKD"), K231*$Z$4,
            AND(Q231="USD", $Q$2="EUR"), K231*$Z$5,
            AND(Q231="GBP", $Q$2="GBP"), K231,
            AND(Q231="GBP", $Q$2="USD"), K231*$Z$6,
            AND(Q231="GBP", $Q$2="HKD"), K231*$Z$7,
            AND(Q231="HKG", $Q$2="HKG"), K231,
            AND(Q231="HKD", $Q$2="USD"), K231*$Z$9,
            AND(Q231="HKD", $Q$2="GBP"), K231*$Z$10,
            AND(Q231="HKD", $Q$2="EUR"), K231*$Z$11,
            AND(Q231="EUR", $Q$2="EUR"), K231,
            AND(Q231="EUR", $Q$2="USD"), K231*$Z$12,
            AND(Q231="EUR", $Q$2="GBP"), K231*$Z$13,
            AND(Q231="EUR", $Q$2="HKD"), K231*$Z$14,
        ),
        0
    )
)</f>
        <v>0</v>
      </c>
      <c r="S231" s="1" cm="1">
        <f t="array" ref="S231">IF(A231="", "",
    IFERROR(
        _xlfn.SWITCH(
            TRUE,
            AND(Q231="USD", $Q$2="USD"), M231,
            AND(Q231="USD", $Q$2="GBP"), M231*$Z$3,
            AND(Q231="USD", $Q$2="HKD"), M231*$Z$4,
            AND(Q231="USD", $Q$2="EUR"), M231*$Z$5,
            AND(Q231="GBP", $Q$2="GBP"), M231,
            AND(Q231="GBP", $Q$2="USD"), M231*$Z$6,
            AND(Q231="GBP", $Q$2="HKD"), M231*$Z$7,
            AND(Q231="GBP", $Q$2="HKD"), M231*$Z$8,
            AND(Q231="HKG", $Q$2="HKG"), M231,
            AND(Q231="HKD", $Q$2="USD"), M231*$Z$9,
            AND(Q231="HKD", $Q$2="GBP"), M231*$Z$10,
            AND(Q231="HKD", $Q$2="EUR"), M231*$Z$11,
            AND(Q231="EUR", $Q$2="EUR"), M231,
            AND(Q231="EUR", $Q$2="USD"), M231*$Z$12,
            AND(Q231="EUR", $Q$2="GBP"), M231*$Z$13,
            AND(Q231="EUR", $Q$2="HKD"), M231*$Z$14,
        ),
        0
    )
)</f>
        <v>8667.5895000000019</v>
      </c>
      <c r="T231" s="1" t="str">
        <f t="shared" si="24"/>
        <v>1</v>
      </c>
      <c r="U231" s="9" t="str">
        <f t="shared" si="25"/>
        <v>01</v>
      </c>
      <c r="V231" s="1" t="str">
        <f t="shared" si="26"/>
        <v>2024</v>
      </c>
      <c r="W231" s="18" t="str">
        <f t="shared" si="27"/>
        <v>星期一</v>
      </c>
    </row>
    <row r="232" spans="1:23">
      <c r="A232" s="17" t="s">
        <v>59</v>
      </c>
      <c r="B232" s="1" t="s">
        <v>348</v>
      </c>
      <c r="C232" s="9">
        <v>45292</v>
      </c>
      <c r="D232" s="1" t="s">
        <v>364</v>
      </c>
      <c r="E232" s="1" t="s">
        <v>114</v>
      </c>
      <c r="F232" s="1" t="s">
        <v>346</v>
      </c>
      <c r="H232" s="1" t="s">
        <v>360</v>
      </c>
      <c r="I232" s="1">
        <v>2024</v>
      </c>
      <c r="J232" s="27">
        <v>1</v>
      </c>
      <c r="M232" s="24">
        <f t="shared" si="21"/>
        <v>2024</v>
      </c>
      <c r="N232" s="36">
        <f t="shared" si="22"/>
        <v>0</v>
      </c>
      <c r="O232" s="34">
        <f>IF(ISBLANK(A232),"",SUMIFS(I$3:I232,D$3:D232,D232,H$3:H232,"Buy")+SUMIFS(I$3:I232,D$3:D232,D232,H$3:H232,"Cash Deposit")+SUMIFS(I$3:I232,D$3:D232,D232,H$3:H232,"Crypto Deposit")+SUMIFS(I$3:I232,D$3:D232,D232,H$3:H232,"Airdrop/Rewards")-SUMIFS(I$3:I232,D$3:D232,D232,H$3:H232,"Sell"))</f>
        <v>4582.9364181803794</v>
      </c>
      <c r="P232" s="2" cm="1">
        <f t="array" ref="P232">IF(ISBLANK(A232),"",IFERROR(IF(OR(H232="Sell",F232="Stable Coin"),INDEX(_xlfn._xlws.FILTER(P$2:P231, D$2:D231=D232),COUNT(_xlfn._xlws.FILTER(P$2:P231, D$2:D231=D232))),(INDEX(_xlfn._xlws.FILTER(P$2:P231, D$2:D231=D232),COUNT(_xlfn._xlws.FILTER(P$2:P231, D$2:D231=D232)))*INDEX(_xlfn._xlws.FILTER(O$2:O231, D$2:D231=D232),COUNT(_xlfn._xlws.FILTER(O$2:O231, D$2:D231=D232)))-N232) / O232), J232))</f>
        <v>1</v>
      </c>
      <c r="Q232" s="1" t="str">
        <f t="shared" si="23"/>
        <v>USD</v>
      </c>
      <c r="R232" s="1" cm="1">
        <f t="array" ref="R232">IF(A232="", "",
    IFERROR(
        _xlfn.SWITCH(
            TRUE,
            AND(Q232="USD", $Q$2="USD"), K232,
            AND(Q232="USD", $Q$2="GBP"), K232*$Z$3,
            AND(Q232="USD", $Q$2="HKD"), K232*$Z$4,
            AND(Q232="USD", $Q$2="EUR"), K232*$Z$5,
            AND(Q232="GBP", $Q$2="GBP"), K232,
            AND(Q232="GBP", $Q$2="USD"), K232*$Z$6,
            AND(Q232="GBP", $Q$2="HKD"), K232*$Z$7,
            AND(Q232="HKG", $Q$2="HKG"), K232,
            AND(Q232="HKD", $Q$2="USD"), K232*$Z$9,
            AND(Q232="HKD", $Q$2="GBP"), K232*$Z$10,
            AND(Q232="HKD", $Q$2="EUR"), K232*$Z$11,
            AND(Q232="EUR", $Q$2="EUR"), K232,
            AND(Q232="EUR", $Q$2="USD"), K232*$Z$12,
            AND(Q232="EUR", $Q$2="GBP"), K232*$Z$13,
            AND(Q232="EUR", $Q$2="HKD"), K232*$Z$14,
        ),
        0
    )
)</f>
        <v>0</v>
      </c>
      <c r="S232" s="1" cm="1">
        <f t="array" ref="S232">IF(A232="", "",
    IFERROR(
        _xlfn.SWITCH(
            TRUE,
            AND(Q232="USD", $Q$2="USD"), M232,
            AND(Q232="USD", $Q$2="GBP"), M232*$Z$3,
            AND(Q232="USD", $Q$2="HKD"), M232*$Z$4,
            AND(Q232="USD", $Q$2="EUR"), M232*$Z$5,
            AND(Q232="GBP", $Q$2="GBP"), M232,
            AND(Q232="GBP", $Q$2="USD"), M232*$Z$6,
            AND(Q232="GBP", $Q$2="HKD"), M232*$Z$7,
            AND(Q232="GBP", $Q$2="HKD"), M232*$Z$8,
            AND(Q232="HKG", $Q$2="HKG"), M232,
            AND(Q232="HKD", $Q$2="USD"), M232*$Z$9,
            AND(Q232="HKD", $Q$2="GBP"), M232*$Z$10,
            AND(Q232="HKD", $Q$2="EUR"), M232*$Z$11,
            AND(Q232="EUR", $Q$2="EUR"), M232,
            AND(Q232="EUR", $Q$2="USD"), M232*$Z$12,
            AND(Q232="EUR", $Q$2="GBP"), M232*$Z$13,
            AND(Q232="EUR", $Q$2="HKD"), M232*$Z$14,
        ),
        0
    )
)</f>
        <v>2024</v>
      </c>
      <c r="T232" s="1" t="str">
        <f t="shared" si="24"/>
        <v>1</v>
      </c>
      <c r="U232" s="9" t="str">
        <f t="shared" si="25"/>
        <v>01</v>
      </c>
      <c r="V232" s="1" t="str">
        <f t="shared" si="26"/>
        <v>2024</v>
      </c>
      <c r="W232" s="18" t="str">
        <f t="shared" si="27"/>
        <v>星期一</v>
      </c>
    </row>
    <row r="233" spans="1:23">
      <c r="A233" s="17" t="s">
        <v>32</v>
      </c>
      <c r="B233" s="1" t="s">
        <v>343</v>
      </c>
      <c r="C233" s="9">
        <v>45294</v>
      </c>
      <c r="D233" s="1" t="s">
        <v>345</v>
      </c>
      <c r="E233" s="1" t="s">
        <v>345</v>
      </c>
      <c r="F233" s="1" t="s">
        <v>345</v>
      </c>
      <c r="H233" s="1" t="s">
        <v>344</v>
      </c>
      <c r="I233" s="1">
        <v>1</v>
      </c>
      <c r="J233" s="27">
        <v>200</v>
      </c>
      <c r="M233" s="24">
        <f t="shared" si="21"/>
        <v>200</v>
      </c>
      <c r="N233" s="36">
        <f t="shared" si="22"/>
        <v>-200</v>
      </c>
      <c r="O233" s="34">
        <f>IF(ISBLANK(A233),"",SUMIFS(I$3:I233,D$3:D233,D233,H$3:H233,"Buy")+SUMIFS(I$3:I233,D$3:D233,D233,H$3:H233,"Cash Deposit")+SUMIFS(I$3:I233,D$3:D233,D233,H$3:H233,"Crypto Deposit")+SUMIFS(I$3:I233,D$3:D233,D233,H$3:H233,"Airdrop/Rewards")-SUMIFS(I$3:I233,D$3:D233,D233,H$3:H233,"Sell"))</f>
        <v>14</v>
      </c>
      <c r="P233" s="2" cm="1">
        <f t="array" ref="P233">IF(ISBLANK(A233),"",IFERROR(IF(OR(H233="Sell",F233="Stable Coin"),INDEX(_xlfn._xlws.FILTER(P$2:P232, D$2:D232=D233),COUNT(_xlfn._xlws.FILTER(P$2:P232, D$2:D232=D233))),(INDEX(_xlfn._xlws.FILTER(P$2:P232, D$2:D232=D233),COUNT(_xlfn._xlws.FILTER(P$2:P232, D$2:D232=D233)))*INDEX(_xlfn._xlws.FILTER(O$2:O232, D$2:D232=D233),COUNT(_xlfn._xlws.FILTER(O$2:O232, D$2:D232=D233)))-N233) / O233), J233))</f>
        <v>1305.7142857142858</v>
      </c>
      <c r="Q233" s="1" t="str">
        <f t="shared" si="23"/>
        <v>GBP</v>
      </c>
      <c r="R233" s="1" cm="1">
        <f t="array" ref="R233">IF(A233="", "",
    IFERROR(
        _xlfn.SWITCH(
            TRUE,
            AND(Q233="USD", $Q$2="USD"), K233,
            AND(Q233="USD", $Q$2="GBP"), K233*$Z$3,
            AND(Q233="USD", $Q$2="HKD"), K233*$Z$4,
            AND(Q233="USD", $Q$2="EUR"), K233*$Z$5,
            AND(Q233="GBP", $Q$2="GBP"), K233,
            AND(Q233="GBP", $Q$2="USD"), K233*$Z$6,
            AND(Q233="GBP", $Q$2="HKD"), K233*$Z$7,
            AND(Q233="HKG", $Q$2="HKG"), K233,
            AND(Q233="HKD", $Q$2="USD"), K233*$Z$9,
            AND(Q233="HKD", $Q$2="GBP"), K233*$Z$10,
            AND(Q233="HKD", $Q$2="EUR"), K233*$Z$11,
            AND(Q233="EUR", $Q$2="EUR"), K233,
            AND(Q233="EUR", $Q$2="USD"), K233*$Z$12,
            AND(Q233="EUR", $Q$2="GBP"), K233*$Z$13,
            AND(Q233="EUR", $Q$2="HKD"), K233*$Z$14,
        ),
        0
    )
)</f>
        <v>0</v>
      </c>
      <c r="S233" s="1" cm="1">
        <f t="array" ref="S233">IF(A233="", "",
    IFERROR(
        _xlfn.SWITCH(
            TRUE,
            AND(Q233="USD", $Q$2="USD"), M233,
            AND(Q233="USD", $Q$2="GBP"), M233*$Z$3,
            AND(Q233="USD", $Q$2="HKD"), M233*$Z$4,
            AND(Q233="USD", $Q$2="EUR"), M233*$Z$5,
            AND(Q233="GBP", $Q$2="GBP"), M233,
            AND(Q233="GBP", $Q$2="USD"), M233*$Z$6,
            AND(Q233="GBP", $Q$2="HKD"), M233*$Z$7,
            AND(Q233="GBP", $Q$2="HKD"), M233*$Z$8,
            AND(Q233="HKG", $Q$2="HKG"), M233,
            AND(Q233="HKD", $Q$2="USD"), M233*$Z$9,
            AND(Q233="HKD", $Q$2="GBP"), M233*$Z$10,
            AND(Q233="HKD", $Q$2="EUR"), M233*$Z$11,
            AND(Q233="EUR", $Q$2="EUR"), M233,
            AND(Q233="EUR", $Q$2="USD"), M233*$Z$12,
            AND(Q233="EUR", $Q$2="GBP"), M233*$Z$13,
            AND(Q233="EUR", $Q$2="HKD"), M233*$Z$14,
        ),
        0
    )
)</f>
        <v>255.64</v>
      </c>
      <c r="T233" s="1" t="str">
        <f t="shared" si="24"/>
        <v>3</v>
      </c>
      <c r="U233" s="9" t="str">
        <f t="shared" si="25"/>
        <v>01</v>
      </c>
      <c r="V233" s="1" t="str">
        <f t="shared" si="26"/>
        <v>2024</v>
      </c>
      <c r="W233" s="18" t="str">
        <f t="shared" si="27"/>
        <v>星期三</v>
      </c>
    </row>
    <row r="234" spans="1:23">
      <c r="A234" s="17" t="s">
        <v>32</v>
      </c>
      <c r="B234" s="1" t="s">
        <v>343</v>
      </c>
      <c r="C234" s="9">
        <v>45294</v>
      </c>
      <c r="D234" s="1" t="s">
        <v>345</v>
      </c>
      <c r="E234" s="1" t="s">
        <v>345</v>
      </c>
      <c r="F234" s="1" t="s">
        <v>345</v>
      </c>
      <c r="I234" s="1">
        <v>1</v>
      </c>
      <c r="J234" s="27">
        <v>200</v>
      </c>
      <c r="M234" s="24">
        <f t="shared" si="21"/>
        <v>200</v>
      </c>
      <c r="N234" s="36">
        <f t="shared" si="22"/>
        <v>0</v>
      </c>
      <c r="O234" s="34">
        <f>IF(ISBLANK(A234),"",SUMIFS(I$3:I234,D$3:D234,D234,H$3:H234,"Buy")+SUMIFS(I$3:I234,D$3:D234,D234,H$3:H234,"Cash Deposit")+SUMIFS(I$3:I234,D$3:D234,D234,H$3:H234,"Crypto Deposit")+SUMIFS(I$3:I234,D$3:D234,D234,H$3:H234,"Airdrop/Rewards")-SUMIFS(I$3:I234,D$3:D234,D234,H$3:H234,"Sell"))</f>
        <v>14</v>
      </c>
      <c r="P234" s="2" cm="1">
        <f t="array" ref="P234">IF(ISBLANK(A234),"",IFERROR(IF(OR(H234="Sell",F234="Stable Coin"),INDEX(_xlfn._xlws.FILTER(P$2:P233, D$2:D233=D234),COUNT(_xlfn._xlws.FILTER(P$2:P233, D$2:D233=D234))),(INDEX(_xlfn._xlws.FILTER(P$2:P233, D$2:D233=D234),COUNT(_xlfn._xlws.FILTER(P$2:P233, D$2:D233=D234)))*INDEX(_xlfn._xlws.FILTER(O$2:O233, D$2:D233=D234),COUNT(_xlfn._xlws.FILTER(O$2:O233, D$2:D233=D234)))-N234) / O234), J234))</f>
        <v>1305.7142857142858</v>
      </c>
      <c r="Q234" s="1" t="str">
        <f t="shared" si="23"/>
        <v>GBP</v>
      </c>
      <c r="R234" s="1" cm="1">
        <f t="array" ref="R234">IF(A234="", "",
    IFERROR(
        _xlfn.SWITCH(
            TRUE,
            AND(Q234="USD", $Q$2="USD"), K234,
            AND(Q234="USD", $Q$2="GBP"), K234*$Z$3,
            AND(Q234="USD", $Q$2="HKD"), K234*$Z$4,
            AND(Q234="USD", $Q$2="EUR"), K234*$Z$5,
            AND(Q234="GBP", $Q$2="GBP"), K234,
            AND(Q234="GBP", $Q$2="USD"), K234*$Z$6,
            AND(Q234="GBP", $Q$2="HKD"), K234*$Z$7,
            AND(Q234="HKG", $Q$2="HKG"), K234,
            AND(Q234="HKD", $Q$2="USD"), K234*$Z$9,
            AND(Q234="HKD", $Q$2="GBP"), K234*$Z$10,
            AND(Q234="HKD", $Q$2="EUR"), K234*$Z$11,
            AND(Q234="EUR", $Q$2="EUR"), K234,
            AND(Q234="EUR", $Q$2="USD"), K234*$Z$12,
            AND(Q234="EUR", $Q$2="GBP"), K234*$Z$13,
            AND(Q234="EUR", $Q$2="HKD"), K234*$Z$14,
        ),
        0
    )
)</f>
        <v>0</v>
      </c>
      <c r="S234" s="1" cm="1">
        <f t="array" ref="S234">IF(A234="", "",
    IFERROR(
        _xlfn.SWITCH(
            TRUE,
            AND(Q234="USD", $Q$2="USD"), M234,
            AND(Q234="USD", $Q$2="GBP"), M234*$Z$3,
            AND(Q234="USD", $Q$2="HKD"), M234*$Z$4,
            AND(Q234="USD", $Q$2="EUR"), M234*$Z$5,
            AND(Q234="GBP", $Q$2="GBP"), M234,
            AND(Q234="GBP", $Q$2="USD"), M234*$Z$6,
            AND(Q234="GBP", $Q$2="HKD"), M234*$Z$7,
            AND(Q234="GBP", $Q$2="HKD"), M234*$Z$8,
            AND(Q234="HKG", $Q$2="HKG"), M234,
            AND(Q234="HKD", $Q$2="USD"), M234*$Z$9,
            AND(Q234="HKD", $Q$2="GBP"), M234*$Z$10,
            AND(Q234="HKD", $Q$2="EUR"), M234*$Z$11,
            AND(Q234="EUR", $Q$2="EUR"), M234,
            AND(Q234="EUR", $Q$2="USD"), M234*$Z$12,
            AND(Q234="EUR", $Q$2="GBP"), M234*$Z$13,
            AND(Q234="EUR", $Q$2="HKD"), M234*$Z$14,
        ),
        0
    )
)</f>
        <v>255.64</v>
      </c>
      <c r="T234" s="1" t="str">
        <f t="shared" si="24"/>
        <v>3</v>
      </c>
      <c r="U234" s="9" t="str">
        <f t="shared" si="25"/>
        <v>01</v>
      </c>
      <c r="V234" s="1" t="str">
        <f t="shared" si="26"/>
        <v>2024</v>
      </c>
      <c r="W234" s="18" t="str">
        <f t="shared" si="27"/>
        <v>星期三</v>
      </c>
    </row>
    <row r="235" spans="1:23">
      <c r="A235" s="17" t="s">
        <v>32</v>
      </c>
      <c r="B235" s="1" t="s">
        <v>348</v>
      </c>
      <c r="C235" s="9">
        <v>45294</v>
      </c>
      <c r="D235" s="1" t="s">
        <v>122</v>
      </c>
      <c r="E235" s="1" t="s">
        <v>122</v>
      </c>
      <c r="F235" s="1" t="s">
        <v>346</v>
      </c>
      <c r="H235" s="1" t="s">
        <v>347</v>
      </c>
      <c r="I235" s="1">
        <v>251.04</v>
      </c>
      <c r="J235" s="27">
        <v>1</v>
      </c>
      <c r="M235" s="24">
        <f t="shared" si="21"/>
        <v>251.04</v>
      </c>
      <c r="N235" s="36">
        <f t="shared" si="22"/>
        <v>-251.04</v>
      </c>
      <c r="O235" s="34">
        <f>IF(ISBLANK(A235),"",SUMIFS(I$3:I235,D$3:D235,D235,H$3:H235,"Buy")+SUMIFS(I$3:I235,D$3:D235,D235,H$3:H235,"Cash Deposit")+SUMIFS(I$3:I235,D$3:D235,D235,H$3:H235,"Crypto Deposit")+SUMIFS(I$3:I235,D$3:D235,D235,H$3:H235,"Airdrop/Rewards")-SUMIFS(I$3:I235,D$3:D235,D235,H$3:H235,"Sell"))</f>
        <v>250.98000000000002</v>
      </c>
      <c r="P235" s="2" cm="1">
        <f t="array" ref="P235">IF(ISBLANK(A235),"",IFERROR(IF(OR(H235="Sell",F235="Stable Coin"),INDEX(_xlfn._xlws.FILTER(P$2:P234, D$2:D234=D235),COUNT(_xlfn._xlws.FILTER(P$2:P234, D$2:D234=D235))),(INDEX(_xlfn._xlws.FILTER(P$2:P234, D$2:D234=D235),COUNT(_xlfn._xlws.FILTER(P$2:P234, D$2:D234=D235)))*INDEX(_xlfn._xlws.FILTER(O$2:O234, D$2:D234=D235),COUNT(_xlfn._xlws.FILTER(O$2:O234, D$2:D234=D235)))-N235) / O235), J235))</f>
        <v>1</v>
      </c>
      <c r="Q235" s="1" t="str">
        <f t="shared" si="23"/>
        <v>USD</v>
      </c>
      <c r="R235" s="1" cm="1">
        <f t="array" ref="R235">IF(A235="", "",
    IFERROR(
        _xlfn.SWITCH(
            TRUE,
            AND(Q235="USD", $Q$2="USD"), K235,
            AND(Q235="USD", $Q$2="GBP"), K235*$Z$3,
            AND(Q235="USD", $Q$2="HKD"), K235*$Z$4,
            AND(Q235="USD", $Q$2="EUR"), K235*$Z$5,
            AND(Q235="GBP", $Q$2="GBP"), K235,
            AND(Q235="GBP", $Q$2="USD"), K235*$Z$6,
            AND(Q235="GBP", $Q$2="HKD"), K235*$Z$7,
            AND(Q235="HKG", $Q$2="HKG"), K235,
            AND(Q235="HKD", $Q$2="USD"), K235*$Z$9,
            AND(Q235="HKD", $Q$2="GBP"), K235*$Z$10,
            AND(Q235="HKD", $Q$2="EUR"), K235*$Z$11,
            AND(Q235="EUR", $Q$2="EUR"), K235,
            AND(Q235="EUR", $Q$2="USD"), K235*$Z$12,
            AND(Q235="EUR", $Q$2="GBP"), K235*$Z$13,
            AND(Q235="EUR", $Q$2="HKD"), K235*$Z$14,
        ),
        0
    )
)</f>
        <v>0</v>
      </c>
      <c r="S235" s="1" cm="1">
        <f t="array" ref="S235">IF(A235="", "",
    IFERROR(
        _xlfn.SWITCH(
            TRUE,
            AND(Q235="USD", $Q$2="USD"), M235,
            AND(Q235="USD", $Q$2="GBP"), M235*$Z$3,
            AND(Q235="USD", $Q$2="HKD"), M235*$Z$4,
            AND(Q235="USD", $Q$2="EUR"), M235*$Z$5,
            AND(Q235="GBP", $Q$2="GBP"), M235,
            AND(Q235="GBP", $Q$2="USD"), M235*$Z$6,
            AND(Q235="GBP", $Q$2="HKD"), M235*$Z$7,
            AND(Q235="GBP", $Q$2="HKD"), M235*$Z$8,
            AND(Q235="HKG", $Q$2="HKG"), M235,
            AND(Q235="HKD", $Q$2="USD"), M235*$Z$9,
            AND(Q235="HKD", $Q$2="GBP"), M235*$Z$10,
            AND(Q235="HKD", $Q$2="EUR"), M235*$Z$11,
            AND(Q235="EUR", $Q$2="EUR"), M235,
            AND(Q235="EUR", $Q$2="USD"), M235*$Z$12,
            AND(Q235="EUR", $Q$2="GBP"), M235*$Z$13,
            AND(Q235="EUR", $Q$2="HKD"), M235*$Z$14,
        ),
        0
    )
)</f>
        <v>251.04</v>
      </c>
      <c r="T235" s="1" t="str">
        <f t="shared" si="24"/>
        <v>3</v>
      </c>
      <c r="U235" s="9" t="str">
        <f t="shared" si="25"/>
        <v>01</v>
      </c>
      <c r="V235" s="1" t="str">
        <f t="shared" si="26"/>
        <v>2024</v>
      </c>
      <c r="W235" s="18" t="str">
        <f t="shared" si="27"/>
        <v>星期三</v>
      </c>
    </row>
    <row r="236" spans="1:23">
      <c r="A236" s="17" t="s">
        <v>32</v>
      </c>
      <c r="B236" s="1" t="s">
        <v>348</v>
      </c>
      <c r="C236" s="9">
        <v>45294</v>
      </c>
      <c r="D236" s="1" t="s">
        <v>122</v>
      </c>
      <c r="E236" s="1" t="s">
        <v>122</v>
      </c>
      <c r="F236" s="1" t="s">
        <v>346</v>
      </c>
      <c r="H236" s="1" t="s">
        <v>367</v>
      </c>
      <c r="I236" s="1">
        <v>100.91</v>
      </c>
      <c r="J236" s="27">
        <v>1</v>
      </c>
      <c r="M236" s="24">
        <f t="shared" si="21"/>
        <v>100.91</v>
      </c>
      <c r="N236" s="36">
        <f t="shared" si="22"/>
        <v>100.91</v>
      </c>
      <c r="O236" s="34">
        <f>IF(ISBLANK(A236),"",SUMIFS(I$3:I236,D$3:D236,D236,H$3:H236,"Buy")+SUMIFS(I$3:I236,D$3:D236,D236,H$3:H236,"Cash Deposit")+SUMIFS(I$3:I236,D$3:D236,D236,H$3:H236,"Crypto Deposit")+SUMIFS(I$3:I236,D$3:D236,D236,H$3:H236,"Airdrop/Rewards")-SUMIFS(I$3:I236,D$3:D236,D236,H$3:H236,"Sell"))</f>
        <v>150.06999999999994</v>
      </c>
      <c r="P236" s="2" cm="1">
        <f t="array" ref="P236">IF(ISBLANK(A236),"",IFERROR(IF(OR(H236="Sell",F236="Stable Coin"),INDEX(_xlfn._xlws.FILTER(P$2:P235, D$2:D235=D236),COUNT(_xlfn._xlws.FILTER(P$2:P235, D$2:D235=D236))),(INDEX(_xlfn._xlws.FILTER(P$2:P235, D$2:D235=D236),COUNT(_xlfn._xlws.FILTER(P$2:P235, D$2:D235=D236)))*INDEX(_xlfn._xlws.FILTER(O$2:O235, D$2:D235=D236),COUNT(_xlfn._xlws.FILTER(O$2:O235, D$2:D235=D236)))-N236) / O236), J236))</f>
        <v>1</v>
      </c>
      <c r="Q236" s="1" t="str">
        <f t="shared" si="23"/>
        <v>USD</v>
      </c>
      <c r="R236" s="1" cm="1">
        <f t="array" ref="R236">IF(A236="", "",
    IFERROR(
        _xlfn.SWITCH(
            TRUE,
            AND(Q236="USD", $Q$2="USD"), K236,
            AND(Q236="USD", $Q$2="GBP"), K236*$Z$3,
            AND(Q236="USD", $Q$2="HKD"), K236*$Z$4,
            AND(Q236="USD", $Q$2="EUR"), K236*$Z$5,
            AND(Q236="GBP", $Q$2="GBP"), K236,
            AND(Q236="GBP", $Q$2="USD"), K236*$Z$6,
            AND(Q236="GBP", $Q$2="HKD"), K236*$Z$7,
            AND(Q236="HKG", $Q$2="HKG"), K236,
            AND(Q236="HKD", $Q$2="USD"), K236*$Z$9,
            AND(Q236="HKD", $Q$2="GBP"), K236*$Z$10,
            AND(Q236="HKD", $Q$2="EUR"), K236*$Z$11,
            AND(Q236="EUR", $Q$2="EUR"), K236,
            AND(Q236="EUR", $Q$2="USD"), K236*$Z$12,
            AND(Q236="EUR", $Q$2="GBP"), K236*$Z$13,
            AND(Q236="EUR", $Q$2="HKD"), K236*$Z$14,
        ),
        0
    )
)</f>
        <v>0</v>
      </c>
      <c r="S236" s="1" cm="1">
        <f t="array" ref="S236">IF(A236="", "",
    IFERROR(
        _xlfn.SWITCH(
            TRUE,
            AND(Q236="USD", $Q$2="USD"), M236,
            AND(Q236="USD", $Q$2="GBP"), M236*$Z$3,
            AND(Q236="USD", $Q$2="HKD"), M236*$Z$4,
            AND(Q236="USD", $Q$2="EUR"), M236*$Z$5,
            AND(Q236="GBP", $Q$2="GBP"), M236,
            AND(Q236="GBP", $Q$2="USD"), M236*$Z$6,
            AND(Q236="GBP", $Q$2="HKD"), M236*$Z$7,
            AND(Q236="GBP", $Q$2="HKD"), M236*$Z$8,
            AND(Q236="HKG", $Q$2="HKG"), M236,
            AND(Q236="HKD", $Q$2="USD"), M236*$Z$9,
            AND(Q236="HKD", $Q$2="GBP"), M236*$Z$10,
            AND(Q236="HKD", $Q$2="EUR"), M236*$Z$11,
            AND(Q236="EUR", $Q$2="EUR"), M236,
            AND(Q236="EUR", $Q$2="USD"), M236*$Z$12,
            AND(Q236="EUR", $Q$2="GBP"), M236*$Z$13,
            AND(Q236="EUR", $Q$2="HKD"), M236*$Z$14,
        ),
        0
    )
)</f>
        <v>100.91</v>
      </c>
      <c r="T236" s="1" t="str">
        <f t="shared" si="24"/>
        <v>3</v>
      </c>
      <c r="U236" s="9" t="str">
        <f t="shared" si="25"/>
        <v>01</v>
      </c>
      <c r="V236" s="1" t="str">
        <f t="shared" si="26"/>
        <v>2024</v>
      </c>
      <c r="W236" s="18" t="str">
        <f t="shared" si="27"/>
        <v>星期三</v>
      </c>
    </row>
    <row r="237" spans="1:23">
      <c r="A237" s="17" t="s">
        <v>32</v>
      </c>
      <c r="B237" s="1" t="s">
        <v>348</v>
      </c>
      <c r="C237" s="9">
        <v>45294</v>
      </c>
      <c r="D237" s="1" t="s">
        <v>47</v>
      </c>
      <c r="E237" s="1" t="s">
        <v>4</v>
      </c>
      <c r="F237" s="1" t="s">
        <v>349</v>
      </c>
      <c r="H237" s="1" t="s">
        <v>347</v>
      </c>
      <c r="I237" s="1">
        <v>2.3509999999999998E-3</v>
      </c>
      <c r="J237" s="27">
        <v>42922.160779999998</v>
      </c>
      <c r="M237" s="24">
        <f t="shared" si="21"/>
        <v>100.90999999377999</v>
      </c>
      <c r="N237" s="36">
        <f t="shared" si="22"/>
        <v>-100.90999999377999</v>
      </c>
      <c r="O237" s="34">
        <f>IF(ISBLANK(A237),"",SUMIFS(I$3:I237,D$3:D237,D237,H$3:H237,"Buy")+SUMIFS(I$3:I237,D$3:D237,D237,H$3:H237,"Cash Deposit")+SUMIFS(I$3:I237,D$3:D237,D237,H$3:H237,"Crypto Deposit")+SUMIFS(I$3:I237,D$3:D237,D237,H$3:H237,"Airdrop/Rewards")-SUMIFS(I$3:I237,D$3:D237,D237,H$3:H237,"Sell"))</f>
        <v>0.33043481999999996</v>
      </c>
      <c r="P237" s="2" cm="1">
        <f t="array" ref="P237">IF(ISBLANK(A237),"",IFERROR(IF(OR(H237="Sell",F237="Stable Coin"),INDEX(_xlfn._xlws.FILTER(P$2:P236, D$2:D236=D237),COUNT(_xlfn._xlws.FILTER(P$2:P236, D$2:D236=D237))),(INDEX(_xlfn._xlws.FILTER(P$2:P236, D$2:D236=D237),COUNT(_xlfn._xlws.FILTER(P$2:P236, D$2:D236=D237)))*INDEX(_xlfn._xlws.FILTER(O$2:O236, D$2:D236=D237),COUNT(_xlfn._xlws.FILTER(O$2:O236, D$2:D236=D237)))-N237) / O237), J237))</f>
        <v>31532.029674877882</v>
      </c>
      <c r="Q237" s="1" t="str">
        <f t="shared" si="23"/>
        <v>USD</v>
      </c>
      <c r="R237" s="1" cm="1">
        <f t="array" ref="R237">IF(A237="", "",
    IFERROR(
        _xlfn.SWITCH(
            TRUE,
            AND(Q237="USD", $Q$2="USD"), K237,
            AND(Q237="USD", $Q$2="GBP"), K237*$Z$3,
            AND(Q237="USD", $Q$2="HKD"), K237*$Z$4,
            AND(Q237="USD", $Q$2="EUR"), K237*$Z$5,
            AND(Q237="GBP", $Q$2="GBP"), K237,
            AND(Q237="GBP", $Q$2="USD"), K237*$Z$6,
            AND(Q237="GBP", $Q$2="HKD"), K237*$Z$7,
            AND(Q237="HKG", $Q$2="HKG"), K237,
            AND(Q237="HKD", $Q$2="USD"), K237*$Z$9,
            AND(Q237="HKD", $Q$2="GBP"), K237*$Z$10,
            AND(Q237="HKD", $Q$2="EUR"), K237*$Z$11,
            AND(Q237="EUR", $Q$2="EUR"), K237,
            AND(Q237="EUR", $Q$2="USD"), K237*$Z$12,
            AND(Q237="EUR", $Q$2="GBP"), K237*$Z$13,
            AND(Q237="EUR", $Q$2="HKD"), K237*$Z$14,
        ),
        0
    )
)</f>
        <v>0</v>
      </c>
      <c r="S237" s="1" cm="1">
        <f t="array" ref="S237">IF(A237="", "",
    IFERROR(
        _xlfn.SWITCH(
            TRUE,
            AND(Q237="USD", $Q$2="USD"), M237,
            AND(Q237="USD", $Q$2="GBP"), M237*$Z$3,
            AND(Q237="USD", $Q$2="HKD"), M237*$Z$4,
            AND(Q237="USD", $Q$2="EUR"), M237*$Z$5,
            AND(Q237="GBP", $Q$2="GBP"), M237,
            AND(Q237="GBP", $Q$2="USD"), M237*$Z$6,
            AND(Q237="GBP", $Q$2="HKD"), M237*$Z$7,
            AND(Q237="GBP", $Q$2="HKD"), M237*$Z$8,
            AND(Q237="HKG", $Q$2="HKG"), M237,
            AND(Q237="HKD", $Q$2="USD"), M237*$Z$9,
            AND(Q237="HKD", $Q$2="GBP"), M237*$Z$10,
            AND(Q237="HKD", $Q$2="EUR"), M237*$Z$11,
            AND(Q237="EUR", $Q$2="EUR"), M237,
            AND(Q237="EUR", $Q$2="USD"), M237*$Z$12,
            AND(Q237="EUR", $Q$2="GBP"), M237*$Z$13,
            AND(Q237="EUR", $Q$2="HKD"), M237*$Z$14,
        ),
        0
    )
)</f>
        <v>100.90999999377999</v>
      </c>
      <c r="T237" s="1" t="str">
        <f t="shared" si="24"/>
        <v>3</v>
      </c>
      <c r="U237" s="9" t="str">
        <f t="shared" si="25"/>
        <v>01</v>
      </c>
      <c r="V237" s="1" t="str">
        <f t="shared" si="26"/>
        <v>2024</v>
      </c>
      <c r="W237" s="18" t="str">
        <f t="shared" si="27"/>
        <v>星期三</v>
      </c>
    </row>
    <row r="238" spans="1:23">
      <c r="A238" s="17" t="s">
        <v>32</v>
      </c>
      <c r="B238" s="1" t="s">
        <v>348</v>
      </c>
      <c r="C238" s="9">
        <v>45294</v>
      </c>
      <c r="D238" s="1" t="s">
        <v>122</v>
      </c>
      <c r="E238" s="1" t="s">
        <v>122</v>
      </c>
      <c r="F238" s="1" t="s">
        <v>346</v>
      </c>
      <c r="H238" s="1" t="s">
        <v>367</v>
      </c>
      <c r="I238" s="1">
        <v>100.9</v>
      </c>
      <c r="J238" s="27">
        <v>1</v>
      </c>
      <c r="M238" s="24">
        <f t="shared" si="21"/>
        <v>100.9</v>
      </c>
      <c r="N238" s="36">
        <f t="shared" si="22"/>
        <v>100.9</v>
      </c>
      <c r="O238" s="34">
        <f>IF(ISBLANK(A238),"",SUMIFS(I$3:I238,D$3:D238,D238,H$3:H238,"Buy")+SUMIFS(I$3:I238,D$3:D238,D238,H$3:H238,"Cash Deposit")+SUMIFS(I$3:I238,D$3:D238,D238,H$3:H238,"Crypto Deposit")+SUMIFS(I$3:I238,D$3:D238,D238,H$3:H238,"Airdrop/Rewards")-SUMIFS(I$3:I238,D$3:D238,D238,H$3:H238,"Sell"))</f>
        <v>49.169999999999845</v>
      </c>
      <c r="P238" s="2" cm="1">
        <f t="array" ref="P238">IF(ISBLANK(A238),"",IFERROR(IF(OR(H238="Sell",F238="Stable Coin"),INDEX(_xlfn._xlws.FILTER(P$2:P237, D$2:D237=D238),COUNT(_xlfn._xlws.FILTER(P$2:P237, D$2:D237=D238))),(INDEX(_xlfn._xlws.FILTER(P$2:P237, D$2:D237=D238),COUNT(_xlfn._xlws.FILTER(P$2:P237, D$2:D237=D238)))*INDEX(_xlfn._xlws.FILTER(O$2:O237, D$2:D237=D238),COUNT(_xlfn._xlws.FILTER(O$2:O237, D$2:D237=D238)))-N238) / O238), J238))</f>
        <v>1</v>
      </c>
      <c r="Q238" s="1" t="str">
        <f t="shared" si="23"/>
        <v>USD</v>
      </c>
      <c r="R238" s="1" cm="1">
        <f t="array" ref="R238">IF(A238="", "",
    IFERROR(
        _xlfn.SWITCH(
            TRUE,
            AND(Q238="USD", $Q$2="USD"), K238,
            AND(Q238="USD", $Q$2="GBP"), K238*$Z$3,
            AND(Q238="USD", $Q$2="HKD"), K238*$Z$4,
            AND(Q238="USD", $Q$2="EUR"), K238*$Z$5,
            AND(Q238="GBP", $Q$2="GBP"), K238,
            AND(Q238="GBP", $Q$2="USD"), K238*$Z$6,
            AND(Q238="GBP", $Q$2="HKD"), K238*$Z$7,
            AND(Q238="HKG", $Q$2="HKG"), K238,
            AND(Q238="HKD", $Q$2="USD"), K238*$Z$9,
            AND(Q238="HKD", $Q$2="GBP"), K238*$Z$10,
            AND(Q238="HKD", $Q$2="EUR"), K238*$Z$11,
            AND(Q238="EUR", $Q$2="EUR"), K238,
            AND(Q238="EUR", $Q$2="USD"), K238*$Z$12,
            AND(Q238="EUR", $Q$2="GBP"), K238*$Z$13,
            AND(Q238="EUR", $Q$2="HKD"), K238*$Z$14,
        ),
        0
    )
)</f>
        <v>0</v>
      </c>
      <c r="S238" s="1" cm="1">
        <f t="array" ref="S238">IF(A238="", "",
    IFERROR(
        _xlfn.SWITCH(
            TRUE,
            AND(Q238="USD", $Q$2="USD"), M238,
            AND(Q238="USD", $Q$2="GBP"), M238*$Z$3,
            AND(Q238="USD", $Q$2="HKD"), M238*$Z$4,
            AND(Q238="USD", $Q$2="EUR"), M238*$Z$5,
            AND(Q238="GBP", $Q$2="GBP"), M238,
            AND(Q238="GBP", $Q$2="USD"), M238*$Z$6,
            AND(Q238="GBP", $Q$2="HKD"), M238*$Z$7,
            AND(Q238="GBP", $Q$2="HKD"), M238*$Z$8,
            AND(Q238="HKG", $Q$2="HKG"), M238,
            AND(Q238="HKD", $Q$2="USD"), M238*$Z$9,
            AND(Q238="HKD", $Q$2="GBP"), M238*$Z$10,
            AND(Q238="HKD", $Q$2="EUR"), M238*$Z$11,
            AND(Q238="EUR", $Q$2="EUR"), M238,
            AND(Q238="EUR", $Q$2="USD"), M238*$Z$12,
            AND(Q238="EUR", $Q$2="GBP"), M238*$Z$13,
            AND(Q238="EUR", $Q$2="HKD"), M238*$Z$14,
        ),
        0
    )
)</f>
        <v>100.9</v>
      </c>
      <c r="T238" s="1" t="str">
        <f t="shared" si="24"/>
        <v>3</v>
      </c>
      <c r="U238" s="9" t="str">
        <f t="shared" si="25"/>
        <v>01</v>
      </c>
      <c r="V238" s="1" t="str">
        <f t="shared" si="26"/>
        <v>2024</v>
      </c>
      <c r="W238" s="18" t="str">
        <f t="shared" si="27"/>
        <v>星期三</v>
      </c>
    </row>
    <row r="239" spans="1:23">
      <c r="A239" s="17" t="s">
        <v>32</v>
      </c>
      <c r="B239" s="1" t="s">
        <v>348</v>
      </c>
      <c r="C239" s="9">
        <v>45294</v>
      </c>
      <c r="D239" s="1" t="s">
        <v>23</v>
      </c>
      <c r="E239" s="1" t="s">
        <v>24</v>
      </c>
      <c r="F239" s="1" t="s">
        <v>349</v>
      </c>
      <c r="H239" s="1" t="s">
        <v>347</v>
      </c>
      <c r="I239" s="1">
        <v>4.5010000000000001E-2</v>
      </c>
      <c r="J239" s="27">
        <v>2241.7240613197</v>
      </c>
      <c r="M239" s="24">
        <f t="shared" si="21"/>
        <v>100.89999999999971</v>
      </c>
      <c r="N239" s="36">
        <f t="shared" si="22"/>
        <v>-100.89999999999971</v>
      </c>
      <c r="O239" s="34">
        <f>IF(ISBLANK(A239),"",SUMIFS(I$3:I239,D$3:D239,D239,H$3:H239,"Buy")+SUMIFS(I$3:I239,D$3:D239,D239,H$3:H239,"Cash Deposit")+SUMIFS(I$3:I239,D$3:D239,D239,H$3:H239,"Crypto Deposit")+SUMIFS(I$3:I239,D$3:D239,D239,H$3:H239,"Airdrop/Rewards")-SUMIFS(I$3:I239,D$3:D239,D239,H$3:H239,"Sell"))</f>
        <v>10.122151120000002</v>
      </c>
      <c r="P239" s="2" cm="1">
        <f t="array" ref="P239">IF(ISBLANK(A239),"",IFERROR(IF(OR(H239="Sell",F239="Stable Coin"),INDEX(_xlfn._xlws.FILTER(P$2:P238, D$2:D238=D239),COUNT(_xlfn._xlws.FILTER(P$2:P238, D$2:D238=D239))),(INDEX(_xlfn._xlws.FILTER(P$2:P238, D$2:D238=D239),COUNT(_xlfn._xlws.FILTER(P$2:P238, D$2:D238=D239)))*INDEX(_xlfn._xlws.FILTER(O$2:O238, D$2:D238=D239),COUNT(_xlfn._xlws.FILTER(O$2:O238, D$2:D238=D239)))-N239) / O239), J239))</f>
        <v>2362.8232242668023</v>
      </c>
      <c r="Q239" s="1" t="str">
        <f t="shared" si="23"/>
        <v>USD</v>
      </c>
      <c r="R239" s="1" cm="1">
        <f t="array" ref="R239">IF(A239="", "",
    IFERROR(
        _xlfn.SWITCH(
            TRUE,
            AND(Q239="USD", $Q$2="USD"), K239,
            AND(Q239="USD", $Q$2="GBP"), K239*$Z$3,
            AND(Q239="USD", $Q$2="HKD"), K239*$Z$4,
            AND(Q239="USD", $Q$2="EUR"), K239*$Z$5,
            AND(Q239="GBP", $Q$2="GBP"), K239,
            AND(Q239="GBP", $Q$2="USD"), K239*$Z$6,
            AND(Q239="GBP", $Q$2="HKD"), K239*$Z$7,
            AND(Q239="HKG", $Q$2="HKG"), K239,
            AND(Q239="HKD", $Q$2="USD"), K239*$Z$9,
            AND(Q239="HKD", $Q$2="GBP"), K239*$Z$10,
            AND(Q239="HKD", $Q$2="EUR"), K239*$Z$11,
            AND(Q239="EUR", $Q$2="EUR"), K239,
            AND(Q239="EUR", $Q$2="USD"), K239*$Z$12,
            AND(Q239="EUR", $Q$2="GBP"), K239*$Z$13,
            AND(Q239="EUR", $Q$2="HKD"), K239*$Z$14,
        ),
        0
    )
)</f>
        <v>0</v>
      </c>
      <c r="S239" s="1" cm="1">
        <f t="array" ref="S239">IF(A239="", "",
    IFERROR(
        _xlfn.SWITCH(
            TRUE,
            AND(Q239="USD", $Q$2="USD"), M239,
            AND(Q239="USD", $Q$2="GBP"), M239*$Z$3,
            AND(Q239="USD", $Q$2="HKD"), M239*$Z$4,
            AND(Q239="USD", $Q$2="EUR"), M239*$Z$5,
            AND(Q239="GBP", $Q$2="GBP"), M239,
            AND(Q239="GBP", $Q$2="USD"), M239*$Z$6,
            AND(Q239="GBP", $Q$2="HKD"), M239*$Z$7,
            AND(Q239="GBP", $Q$2="HKD"), M239*$Z$8,
            AND(Q239="HKG", $Q$2="HKG"), M239,
            AND(Q239="HKD", $Q$2="USD"), M239*$Z$9,
            AND(Q239="HKD", $Q$2="GBP"), M239*$Z$10,
            AND(Q239="HKD", $Q$2="EUR"), M239*$Z$11,
            AND(Q239="EUR", $Q$2="EUR"), M239,
            AND(Q239="EUR", $Q$2="USD"), M239*$Z$12,
            AND(Q239="EUR", $Q$2="GBP"), M239*$Z$13,
            AND(Q239="EUR", $Q$2="HKD"), M239*$Z$14,
        ),
        0
    )
)</f>
        <v>100.89999999999971</v>
      </c>
      <c r="T239" s="1" t="str">
        <f t="shared" si="24"/>
        <v>3</v>
      </c>
      <c r="U239" s="9" t="str">
        <f t="shared" si="25"/>
        <v>01</v>
      </c>
      <c r="V239" s="1" t="str">
        <f t="shared" si="26"/>
        <v>2024</v>
      </c>
      <c r="W239" s="18" t="str">
        <f t="shared" si="27"/>
        <v>星期三</v>
      </c>
    </row>
    <row r="240" spans="1:23">
      <c r="A240" s="17" t="s">
        <v>32</v>
      </c>
      <c r="B240" s="1" t="s">
        <v>348</v>
      </c>
      <c r="C240" s="9">
        <v>45294</v>
      </c>
      <c r="D240" s="1" t="s">
        <v>122</v>
      </c>
      <c r="E240" s="1" t="s">
        <v>122</v>
      </c>
      <c r="F240" s="1" t="s">
        <v>346</v>
      </c>
      <c r="H240" s="1" t="s">
        <v>367</v>
      </c>
      <c r="I240" s="1">
        <v>49.25</v>
      </c>
      <c r="J240" s="27">
        <v>1</v>
      </c>
      <c r="M240" s="24">
        <f t="shared" si="21"/>
        <v>49.25</v>
      </c>
      <c r="N240" s="36">
        <f t="shared" si="22"/>
        <v>49.25</v>
      </c>
      <c r="O240" s="34">
        <f>IF(ISBLANK(A240),"",SUMIFS(I$3:I240,D$3:D240,D240,H$3:H240,"Buy")+SUMIFS(I$3:I240,D$3:D240,D240,H$3:H240,"Cash Deposit")+SUMIFS(I$3:I240,D$3:D240,D240,H$3:H240,"Crypto Deposit")+SUMIFS(I$3:I240,D$3:D240,D240,H$3:H240,"Airdrop/Rewards")-SUMIFS(I$3:I240,D$3:D240,D240,H$3:H240,"Sell"))</f>
        <v>-8.0000000000154614E-2</v>
      </c>
      <c r="P240" s="2" cm="1">
        <f t="array" ref="P240">IF(ISBLANK(A240),"",IFERROR(IF(OR(H240="Sell",F240="Stable Coin"),INDEX(_xlfn._xlws.FILTER(P$2:P239, D$2:D239=D240),COUNT(_xlfn._xlws.FILTER(P$2:P239, D$2:D239=D240))),(INDEX(_xlfn._xlws.FILTER(P$2:P239, D$2:D239=D240),COUNT(_xlfn._xlws.FILTER(P$2:P239, D$2:D239=D240)))*INDEX(_xlfn._xlws.FILTER(O$2:O239, D$2:D239=D240),COUNT(_xlfn._xlws.FILTER(O$2:O239, D$2:D239=D240)))-N240) / O240), J240))</f>
        <v>1</v>
      </c>
      <c r="Q240" s="1" t="str">
        <f t="shared" si="23"/>
        <v>USD</v>
      </c>
      <c r="R240" s="1" cm="1">
        <f t="array" ref="R240">IF(A240="", "",
    IFERROR(
        _xlfn.SWITCH(
            TRUE,
            AND(Q240="USD", $Q$2="USD"), K240,
            AND(Q240="USD", $Q$2="GBP"), K240*$Z$3,
            AND(Q240="USD", $Q$2="HKD"), K240*$Z$4,
            AND(Q240="USD", $Q$2="EUR"), K240*$Z$5,
            AND(Q240="GBP", $Q$2="GBP"), K240,
            AND(Q240="GBP", $Q$2="USD"), K240*$Z$6,
            AND(Q240="GBP", $Q$2="HKD"), K240*$Z$7,
            AND(Q240="HKG", $Q$2="HKG"), K240,
            AND(Q240="HKD", $Q$2="USD"), K240*$Z$9,
            AND(Q240="HKD", $Q$2="GBP"), K240*$Z$10,
            AND(Q240="HKD", $Q$2="EUR"), K240*$Z$11,
            AND(Q240="EUR", $Q$2="EUR"), K240,
            AND(Q240="EUR", $Q$2="USD"), K240*$Z$12,
            AND(Q240="EUR", $Q$2="GBP"), K240*$Z$13,
            AND(Q240="EUR", $Q$2="HKD"), K240*$Z$14,
        ),
        0
    )
)</f>
        <v>0</v>
      </c>
      <c r="S240" s="1" cm="1">
        <f t="array" ref="S240">IF(A240="", "",
    IFERROR(
        _xlfn.SWITCH(
            TRUE,
            AND(Q240="USD", $Q$2="USD"), M240,
            AND(Q240="USD", $Q$2="GBP"), M240*$Z$3,
            AND(Q240="USD", $Q$2="HKD"), M240*$Z$4,
            AND(Q240="USD", $Q$2="EUR"), M240*$Z$5,
            AND(Q240="GBP", $Q$2="GBP"), M240,
            AND(Q240="GBP", $Q$2="USD"), M240*$Z$6,
            AND(Q240="GBP", $Q$2="HKD"), M240*$Z$7,
            AND(Q240="GBP", $Q$2="HKD"), M240*$Z$8,
            AND(Q240="HKG", $Q$2="HKG"), M240,
            AND(Q240="HKD", $Q$2="USD"), M240*$Z$9,
            AND(Q240="HKD", $Q$2="GBP"), M240*$Z$10,
            AND(Q240="HKD", $Q$2="EUR"), M240*$Z$11,
            AND(Q240="EUR", $Q$2="EUR"), M240,
            AND(Q240="EUR", $Q$2="USD"), M240*$Z$12,
            AND(Q240="EUR", $Q$2="GBP"), M240*$Z$13,
            AND(Q240="EUR", $Q$2="HKD"), M240*$Z$14,
        ),
        0
    )
)</f>
        <v>49.25</v>
      </c>
      <c r="T240" s="1" t="str">
        <f t="shared" si="24"/>
        <v>3</v>
      </c>
      <c r="U240" s="9" t="str">
        <f t="shared" si="25"/>
        <v>01</v>
      </c>
      <c r="V240" s="1" t="str">
        <f t="shared" si="26"/>
        <v>2024</v>
      </c>
      <c r="W240" s="18" t="str">
        <f t="shared" si="27"/>
        <v>星期三</v>
      </c>
    </row>
    <row r="241" spans="1:23">
      <c r="A241" s="17" t="s">
        <v>32</v>
      </c>
      <c r="B241" s="1" t="s">
        <v>348</v>
      </c>
      <c r="C241" s="9">
        <v>45294</v>
      </c>
      <c r="D241" s="1" t="s">
        <v>55</v>
      </c>
      <c r="E241" s="1" t="s">
        <v>31</v>
      </c>
      <c r="F241" s="1" t="s">
        <v>349</v>
      </c>
      <c r="H241" s="1" t="s">
        <v>347</v>
      </c>
      <c r="I241" s="1">
        <v>84.66</v>
      </c>
      <c r="J241" s="27">
        <v>0.58173871958421897</v>
      </c>
      <c r="M241" s="24">
        <f t="shared" si="21"/>
        <v>49.249999999999979</v>
      </c>
      <c r="N241" s="36">
        <f t="shared" si="22"/>
        <v>-49.249999999999979</v>
      </c>
      <c r="O241" s="34">
        <f>IF(ISBLANK(A241),"",SUMIFS(I$3:I241,D$3:D241,D241,H$3:H241,"Buy")+SUMIFS(I$3:I241,D$3:D241,D241,H$3:H241,"Cash Deposit")+SUMIFS(I$3:I241,D$3:D241,D241,H$3:H241,"Crypto Deposit")+SUMIFS(I$3:I241,D$3:D241,D241,H$3:H241,"Airdrop/Rewards")-SUMIFS(I$3:I241,D$3:D241,D241,H$3:H241,"Sell"))</f>
        <v>3921.21</v>
      </c>
      <c r="P241" s="2" cm="1">
        <f t="array" ref="P241">IF(ISBLANK(A241),"",IFERROR(IF(OR(H241="Sell",F241="Stable Coin"),INDEX(_xlfn._xlws.FILTER(P$2:P240, D$2:D240=D241),COUNT(_xlfn._xlws.FILTER(P$2:P240, D$2:D240=D241))),(INDEX(_xlfn._xlws.FILTER(P$2:P240, D$2:D240=D241),COUNT(_xlfn._xlws.FILTER(P$2:P240, D$2:D240=D241)))*INDEX(_xlfn._xlws.FILTER(O$2:O240, D$2:D240=D241),COUNT(_xlfn._xlws.FILTER(O$2:O240, D$2:D240=D241)))-N241) / O241), J241))</f>
        <v>0.41390030117162779</v>
      </c>
      <c r="Q241" s="1" t="str">
        <f t="shared" si="23"/>
        <v>USD</v>
      </c>
      <c r="R241" s="1" cm="1">
        <f t="array" ref="R241">IF(A241="", "",
    IFERROR(
        _xlfn.SWITCH(
            TRUE,
            AND(Q241="USD", $Q$2="USD"), K241,
            AND(Q241="USD", $Q$2="GBP"), K241*$Z$3,
            AND(Q241="USD", $Q$2="HKD"), K241*$Z$4,
            AND(Q241="USD", $Q$2="EUR"), K241*$Z$5,
            AND(Q241="GBP", $Q$2="GBP"), K241,
            AND(Q241="GBP", $Q$2="USD"), K241*$Z$6,
            AND(Q241="GBP", $Q$2="HKD"), K241*$Z$7,
            AND(Q241="HKG", $Q$2="HKG"), K241,
            AND(Q241="HKD", $Q$2="USD"), K241*$Z$9,
            AND(Q241="HKD", $Q$2="GBP"), K241*$Z$10,
            AND(Q241="HKD", $Q$2="EUR"), K241*$Z$11,
            AND(Q241="EUR", $Q$2="EUR"), K241,
            AND(Q241="EUR", $Q$2="USD"), K241*$Z$12,
            AND(Q241="EUR", $Q$2="GBP"), K241*$Z$13,
            AND(Q241="EUR", $Q$2="HKD"), K241*$Z$14,
        ),
        0
    )
)</f>
        <v>0</v>
      </c>
      <c r="S241" s="1" cm="1">
        <f t="array" ref="S241">IF(A241="", "",
    IFERROR(
        _xlfn.SWITCH(
            TRUE,
            AND(Q241="USD", $Q$2="USD"), M241,
            AND(Q241="USD", $Q$2="GBP"), M241*$Z$3,
            AND(Q241="USD", $Q$2="HKD"), M241*$Z$4,
            AND(Q241="USD", $Q$2="EUR"), M241*$Z$5,
            AND(Q241="GBP", $Q$2="GBP"), M241,
            AND(Q241="GBP", $Q$2="USD"), M241*$Z$6,
            AND(Q241="GBP", $Q$2="HKD"), M241*$Z$7,
            AND(Q241="GBP", $Q$2="HKD"), M241*$Z$8,
            AND(Q241="HKG", $Q$2="HKG"), M241,
            AND(Q241="HKD", $Q$2="USD"), M241*$Z$9,
            AND(Q241="HKD", $Q$2="GBP"), M241*$Z$10,
            AND(Q241="HKD", $Q$2="EUR"), M241*$Z$11,
            AND(Q241="EUR", $Q$2="EUR"), M241,
            AND(Q241="EUR", $Q$2="USD"), M241*$Z$12,
            AND(Q241="EUR", $Q$2="GBP"), M241*$Z$13,
            AND(Q241="EUR", $Q$2="HKD"), M241*$Z$14,
        ),
        0
    )
)</f>
        <v>49.249999999999979</v>
      </c>
      <c r="T241" s="1" t="str">
        <f t="shared" si="24"/>
        <v>3</v>
      </c>
      <c r="U241" s="9" t="str">
        <f t="shared" si="25"/>
        <v>01</v>
      </c>
      <c r="V241" s="1" t="str">
        <f t="shared" si="26"/>
        <v>2024</v>
      </c>
      <c r="W241" s="18" t="str">
        <f t="shared" si="27"/>
        <v>星期三</v>
      </c>
    </row>
    <row r="242" spans="1:23">
      <c r="A242" s="17" t="s">
        <v>399</v>
      </c>
      <c r="B242" s="1" t="s">
        <v>348</v>
      </c>
      <c r="C242" s="9">
        <v>45294</v>
      </c>
      <c r="D242" s="1" t="e" vm="17">
        <v>#VALUE!</v>
      </c>
      <c r="E242" s="1" t="s">
        <v>32</v>
      </c>
      <c r="F242" s="1" t="s">
        <v>401</v>
      </c>
      <c r="H242" s="1" t="s">
        <v>347</v>
      </c>
      <c r="I242" s="1">
        <v>4</v>
      </c>
      <c r="J242" s="27">
        <v>149.9</v>
      </c>
      <c r="K242" s="1">
        <v>2</v>
      </c>
      <c r="M242" s="24">
        <f t="shared" si="21"/>
        <v>599.6</v>
      </c>
      <c r="N242" s="36">
        <f t="shared" si="22"/>
        <v>-599.6</v>
      </c>
      <c r="O242" s="34">
        <f>IF(ISBLANK(A242),"",SUMIFS(I$3:I242,D$3:D242,D242,H$3:H242,"Buy")+SUMIFS(I$3:I242,D$3:D242,D242,H$3:H242,"Cash Deposit")+SUMIFS(I$3:I242,D$3:D242,D242,H$3:H242,"Crypto Deposit")+SUMIFS(I$3:I242,D$3:D242,D242,H$3:H242,"Airdrop/Rewards")-SUMIFS(I$3:I242,D$3:D242,D242,H$3:H242,"Sell"))</f>
        <v>72</v>
      </c>
      <c r="P242" s="2" cm="1">
        <f t="array" ref="P242">IF(ISBLANK(A242),"",IFERROR(IF(OR(H242="Sell",F242="Stable Coin"),INDEX(_xlfn._xlws.FILTER(P$2:P241, D$2:D241=D242),COUNT(_xlfn._xlws.FILTER(P$2:P241, D$2:D241=D242))),(INDEX(_xlfn._xlws.FILTER(P$2:P241, D$2:D241=D242),COUNT(_xlfn._xlws.FILTER(P$2:P241, D$2:D241=D242)))*INDEX(_xlfn._xlws.FILTER(O$2:O241, D$2:D241=D242),COUNT(_xlfn._xlws.FILTER(O$2:O241, D$2:D241=D242)))-N242) / O242), J242))</f>
        <v>71.110364404169616</v>
      </c>
      <c r="Q242" s="1" t="str">
        <f t="shared" si="23"/>
        <v>USD</v>
      </c>
      <c r="R242" s="1" cm="1">
        <f t="array" ref="R242">IF(A242="", "",
    IFERROR(
        _xlfn.SWITCH(
            TRUE,
            AND(Q242="USD", $Q$2="USD"), K242,
            AND(Q242="USD", $Q$2="GBP"), K242*$Z$3,
            AND(Q242="USD", $Q$2="HKD"), K242*$Z$4,
            AND(Q242="USD", $Q$2="EUR"), K242*$Z$5,
            AND(Q242="GBP", $Q$2="GBP"), K242,
            AND(Q242="GBP", $Q$2="USD"), K242*$Z$6,
            AND(Q242="GBP", $Q$2="HKD"), K242*$Z$7,
            AND(Q242="HKG", $Q$2="HKG"), K242,
            AND(Q242="HKD", $Q$2="USD"), K242*$Z$9,
            AND(Q242="HKD", $Q$2="GBP"), K242*$Z$10,
            AND(Q242="HKD", $Q$2="EUR"), K242*$Z$11,
            AND(Q242="EUR", $Q$2="EUR"), K242,
            AND(Q242="EUR", $Q$2="USD"), K242*$Z$12,
            AND(Q242="EUR", $Q$2="GBP"), K242*$Z$13,
            AND(Q242="EUR", $Q$2="HKD"), K242*$Z$14,
        ),
        0
    )
)</f>
        <v>2</v>
      </c>
      <c r="S242" s="1" cm="1">
        <f t="array" ref="S242">IF(A242="", "",
    IFERROR(
        _xlfn.SWITCH(
            TRUE,
            AND(Q242="USD", $Q$2="USD"), M242,
            AND(Q242="USD", $Q$2="GBP"), M242*$Z$3,
            AND(Q242="USD", $Q$2="HKD"), M242*$Z$4,
            AND(Q242="USD", $Q$2="EUR"), M242*$Z$5,
            AND(Q242="GBP", $Q$2="GBP"), M242,
            AND(Q242="GBP", $Q$2="USD"), M242*$Z$6,
            AND(Q242="GBP", $Q$2="HKD"), M242*$Z$7,
            AND(Q242="GBP", $Q$2="HKD"), M242*$Z$8,
            AND(Q242="HKG", $Q$2="HKG"), M242,
            AND(Q242="HKD", $Q$2="USD"), M242*$Z$9,
            AND(Q242="HKD", $Q$2="GBP"), M242*$Z$10,
            AND(Q242="HKD", $Q$2="EUR"), M242*$Z$11,
            AND(Q242="EUR", $Q$2="EUR"), M242,
            AND(Q242="EUR", $Q$2="USD"), M242*$Z$12,
            AND(Q242="EUR", $Q$2="GBP"), M242*$Z$13,
            AND(Q242="EUR", $Q$2="HKD"), M242*$Z$14,
        ),
        0
    )
)</f>
        <v>599.6</v>
      </c>
      <c r="T242" s="1" t="str">
        <f t="shared" si="24"/>
        <v>3</v>
      </c>
      <c r="U242" s="9" t="str">
        <f t="shared" si="25"/>
        <v>01</v>
      </c>
      <c r="V242" s="1" t="str">
        <f t="shared" si="26"/>
        <v>2024</v>
      </c>
      <c r="W242" s="18" t="str">
        <f t="shared" si="27"/>
        <v>星期三</v>
      </c>
    </row>
    <row r="243" spans="1:23">
      <c r="A243" s="17" t="s">
        <v>6</v>
      </c>
      <c r="B243" s="1" t="s">
        <v>348</v>
      </c>
      <c r="C243" s="9">
        <v>45295</v>
      </c>
      <c r="D243" s="1" t="s">
        <v>57</v>
      </c>
      <c r="E243" s="1" t="s">
        <v>43</v>
      </c>
      <c r="F243" s="1" t="s">
        <v>349</v>
      </c>
      <c r="H243" s="1" t="s">
        <v>490</v>
      </c>
      <c r="I243" s="1">
        <v>1298.7155</v>
      </c>
      <c r="J243" s="27">
        <v>1.117</v>
      </c>
      <c r="K243" s="1">
        <v>1</v>
      </c>
      <c r="M243" s="24">
        <f t="shared" si="21"/>
        <v>1450.6652134999999</v>
      </c>
      <c r="N243" s="36">
        <f t="shared" si="22"/>
        <v>0</v>
      </c>
      <c r="O243" s="34">
        <f>IF(ISBLANK(A243),"",SUMIFS(I$3:I243,D$3:D243,D243,H$3:H243,"Buy")+SUMIFS(I$3:I243,D$3:D243,D243,H$3:H243,"Cash Deposit")+SUMIFS(I$3:I243,D$3:D243,D243,H$3:H243,"Crypto Deposit")+SUMIFS(I$3:I243,D$3:D243,D243,H$3:H243,"Airdrop/Rewards")-SUMIFS(I$3:I243,D$3:D243,D243,H$3:H243,"Sell"))</f>
        <v>1298.7155</v>
      </c>
      <c r="P243" s="2" cm="1">
        <f t="array" ref="P243">IF(ISBLANK(A243),"",IFERROR(IF(OR(H243="Sell",F243="Stable Coin"),INDEX(_xlfn._xlws.FILTER(P$2:P242, D$2:D242=D243),COUNT(_xlfn._xlws.FILTER(P$2:P242, D$2:D242=D243))),(INDEX(_xlfn._xlws.FILTER(P$2:P242, D$2:D242=D243),COUNT(_xlfn._xlws.FILTER(P$2:P242, D$2:D242=D243)))*INDEX(_xlfn._xlws.FILTER(O$2:O242, D$2:D242=D243),COUNT(_xlfn._xlws.FILTER(O$2:O242, D$2:D242=D243)))-N243) / O243), J243))</f>
        <v>1.117</v>
      </c>
      <c r="Q243" s="1" t="str">
        <f t="shared" si="23"/>
        <v>USD</v>
      </c>
      <c r="R243" s="1" cm="1">
        <f t="array" ref="R243">IF(A243="", "",
    IFERROR(
        _xlfn.SWITCH(
            TRUE,
            AND(Q243="USD", $Q$2="USD"), K243,
            AND(Q243="USD", $Q$2="GBP"), K243*$Z$3,
            AND(Q243="USD", $Q$2="HKD"), K243*$Z$4,
            AND(Q243="USD", $Q$2="EUR"), K243*$Z$5,
            AND(Q243="GBP", $Q$2="GBP"), K243,
            AND(Q243="GBP", $Q$2="USD"), K243*$Z$6,
            AND(Q243="GBP", $Q$2="HKD"), K243*$Z$7,
            AND(Q243="HKG", $Q$2="HKG"), K243,
            AND(Q243="HKD", $Q$2="USD"), K243*$Z$9,
            AND(Q243="HKD", $Q$2="GBP"), K243*$Z$10,
            AND(Q243="HKD", $Q$2="EUR"), K243*$Z$11,
            AND(Q243="EUR", $Q$2="EUR"), K243,
            AND(Q243="EUR", $Q$2="USD"), K243*$Z$12,
            AND(Q243="EUR", $Q$2="GBP"), K243*$Z$13,
            AND(Q243="EUR", $Q$2="HKD"), K243*$Z$14,
        ),
        0
    )
)</f>
        <v>1</v>
      </c>
      <c r="S243" s="1" cm="1">
        <f t="array" ref="S243">IF(A243="", "",
    IFERROR(
        _xlfn.SWITCH(
            TRUE,
            AND(Q243="USD", $Q$2="USD"), M243,
            AND(Q243="USD", $Q$2="GBP"), M243*$Z$3,
            AND(Q243="USD", $Q$2="HKD"), M243*$Z$4,
            AND(Q243="USD", $Q$2="EUR"), M243*$Z$5,
            AND(Q243="GBP", $Q$2="GBP"), M243,
            AND(Q243="GBP", $Q$2="USD"), M243*$Z$6,
            AND(Q243="GBP", $Q$2="HKD"), M243*$Z$7,
            AND(Q243="GBP", $Q$2="HKD"), M243*$Z$8,
            AND(Q243="HKG", $Q$2="HKG"), M243,
            AND(Q243="HKD", $Q$2="USD"), M243*$Z$9,
            AND(Q243="HKD", $Q$2="GBP"), M243*$Z$10,
            AND(Q243="HKD", $Q$2="EUR"), M243*$Z$11,
            AND(Q243="EUR", $Q$2="EUR"), M243,
            AND(Q243="EUR", $Q$2="USD"), M243*$Z$12,
            AND(Q243="EUR", $Q$2="GBP"), M243*$Z$13,
            AND(Q243="EUR", $Q$2="HKD"), M243*$Z$14,
        ),
        0
    )
)</f>
        <v>1450.6652134999999</v>
      </c>
      <c r="T243" s="1" t="str">
        <f t="shared" si="24"/>
        <v>4</v>
      </c>
      <c r="U243" s="9" t="str">
        <f t="shared" si="25"/>
        <v>01</v>
      </c>
      <c r="V243" s="1" t="str">
        <f t="shared" si="26"/>
        <v>2024</v>
      </c>
      <c r="W243" s="18" t="str">
        <f t="shared" si="27"/>
        <v>星期四</v>
      </c>
    </row>
    <row r="244" spans="1:23">
      <c r="A244" s="17" t="s">
        <v>45</v>
      </c>
      <c r="B244" s="1" t="s">
        <v>348</v>
      </c>
      <c r="C244" s="9">
        <v>45295</v>
      </c>
      <c r="D244" s="1" t="s">
        <v>57</v>
      </c>
      <c r="E244" s="1" t="s">
        <v>43</v>
      </c>
      <c r="F244" s="1" t="s">
        <v>349</v>
      </c>
      <c r="H244" s="1" t="s">
        <v>491</v>
      </c>
      <c r="I244" s="1">
        <v>1298.7155</v>
      </c>
      <c r="J244" s="27">
        <v>1.117</v>
      </c>
      <c r="M244" s="24">
        <f t="shared" si="21"/>
        <v>1450.6652134999999</v>
      </c>
      <c r="N244" s="36">
        <f t="shared" si="22"/>
        <v>0</v>
      </c>
      <c r="O244" s="34">
        <f>IF(ISBLANK(A244),"",SUMIFS(I$3:I244,D$3:D244,D244,H$3:H244,"Buy")+SUMIFS(I$3:I244,D$3:D244,D244,H$3:H244,"Cash Deposit")+SUMIFS(I$3:I244,D$3:D244,D244,H$3:H244,"Crypto Deposit")+SUMIFS(I$3:I244,D$3:D244,D244,H$3:H244,"Airdrop/Rewards")-SUMIFS(I$3:I244,D$3:D244,D244,H$3:H244,"Sell"))</f>
        <v>1298.7155</v>
      </c>
      <c r="P244" s="2" cm="1">
        <f t="array" ref="P244">IF(ISBLANK(A244),"",IFERROR(IF(OR(H244="Sell",F244="Stable Coin"),INDEX(_xlfn._xlws.FILTER(P$2:P243, D$2:D243=D244),COUNT(_xlfn._xlws.FILTER(P$2:P243, D$2:D243=D244))),(INDEX(_xlfn._xlws.FILTER(P$2:P243, D$2:D243=D244),COUNT(_xlfn._xlws.FILTER(P$2:P243, D$2:D243=D244)))*INDEX(_xlfn._xlws.FILTER(O$2:O243, D$2:D243=D244),COUNT(_xlfn._xlws.FILTER(O$2:O243, D$2:D243=D244)))-N244) / O244), J244))</f>
        <v>1.117</v>
      </c>
      <c r="Q244" s="1" t="str">
        <f t="shared" si="23"/>
        <v>USD</v>
      </c>
      <c r="R244" s="1" cm="1">
        <f t="array" ref="R244">IF(A244="", "",
    IFERROR(
        _xlfn.SWITCH(
            TRUE,
            AND(Q244="USD", $Q$2="USD"), K244,
            AND(Q244="USD", $Q$2="GBP"), K244*$Z$3,
            AND(Q244="USD", $Q$2="HKD"), K244*$Z$4,
            AND(Q244="USD", $Q$2="EUR"), K244*$Z$5,
            AND(Q244="GBP", $Q$2="GBP"), K244,
            AND(Q244="GBP", $Q$2="USD"), K244*$Z$6,
            AND(Q244="GBP", $Q$2="HKD"), K244*$Z$7,
            AND(Q244="HKG", $Q$2="HKG"), K244,
            AND(Q244="HKD", $Q$2="USD"), K244*$Z$9,
            AND(Q244="HKD", $Q$2="GBP"), K244*$Z$10,
            AND(Q244="HKD", $Q$2="EUR"), K244*$Z$11,
            AND(Q244="EUR", $Q$2="EUR"), K244,
            AND(Q244="EUR", $Q$2="USD"), K244*$Z$12,
            AND(Q244="EUR", $Q$2="GBP"), K244*$Z$13,
            AND(Q244="EUR", $Q$2="HKD"), K244*$Z$14,
        ),
        0
    )
)</f>
        <v>0</v>
      </c>
      <c r="S244" s="1" cm="1">
        <f t="array" ref="S244">IF(A244="", "",
    IFERROR(
        _xlfn.SWITCH(
            TRUE,
            AND(Q244="USD", $Q$2="USD"), M244,
            AND(Q244="USD", $Q$2="GBP"), M244*$Z$3,
            AND(Q244="USD", $Q$2="HKD"), M244*$Z$4,
            AND(Q244="USD", $Q$2="EUR"), M244*$Z$5,
            AND(Q244="GBP", $Q$2="GBP"), M244,
            AND(Q244="GBP", $Q$2="USD"), M244*$Z$6,
            AND(Q244="GBP", $Q$2="HKD"), M244*$Z$7,
            AND(Q244="GBP", $Q$2="HKD"), M244*$Z$8,
            AND(Q244="HKG", $Q$2="HKG"), M244,
            AND(Q244="HKD", $Q$2="USD"), M244*$Z$9,
            AND(Q244="HKD", $Q$2="GBP"), M244*$Z$10,
            AND(Q244="HKD", $Q$2="EUR"), M244*$Z$11,
            AND(Q244="EUR", $Q$2="EUR"), M244,
            AND(Q244="EUR", $Q$2="USD"), M244*$Z$12,
            AND(Q244="EUR", $Q$2="GBP"), M244*$Z$13,
            AND(Q244="EUR", $Q$2="HKD"), M244*$Z$14,
        ),
        0
    )
)</f>
        <v>1450.6652134999999</v>
      </c>
      <c r="T244" s="1" t="str">
        <f t="shared" si="24"/>
        <v>4</v>
      </c>
      <c r="U244" s="9" t="str">
        <f t="shared" si="25"/>
        <v>01</v>
      </c>
      <c r="V244" s="1" t="str">
        <f t="shared" si="26"/>
        <v>2024</v>
      </c>
      <c r="W244" s="18" t="str">
        <f t="shared" si="27"/>
        <v>星期四</v>
      </c>
    </row>
    <row r="245" spans="1:23">
      <c r="A245" s="17" t="s">
        <v>6</v>
      </c>
      <c r="B245" s="1" t="s">
        <v>348</v>
      </c>
      <c r="C245" s="9">
        <v>45295</v>
      </c>
      <c r="D245" s="1" t="s">
        <v>369</v>
      </c>
      <c r="E245" s="1" t="s">
        <v>421</v>
      </c>
      <c r="F245" s="1" t="s">
        <v>349</v>
      </c>
      <c r="H245" s="1" t="s">
        <v>359</v>
      </c>
      <c r="I245" s="1">
        <v>39</v>
      </c>
      <c r="J245" s="27">
        <v>1.38</v>
      </c>
      <c r="M245" s="24">
        <f t="shared" si="21"/>
        <v>53.819999999999993</v>
      </c>
      <c r="N245" s="36">
        <f t="shared" si="22"/>
        <v>0</v>
      </c>
      <c r="O245" s="34">
        <f>IF(ISBLANK(A245),"",SUMIFS(I$3:I245,D$3:D245,D245,H$3:H245,"Buy")+SUMIFS(I$3:I245,D$3:D245,D245,H$3:H245,"Cash Deposit")+SUMIFS(I$3:I245,D$3:D245,D245,H$3:H245,"Crypto Deposit")+SUMIFS(I$3:I245,D$3:D245,D245,H$3:H245,"Airdrop/Rewards")-SUMIFS(I$3:I245,D$3:D245,D245,H$3:H245,"Sell"))</f>
        <v>39</v>
      </c>
      <c r="P245" s="2" cm="1">
        <f t="array" ref="P245">IF(ISBLANK(A245),"",IFERROR(IF(OR(H245="Sell",F245="Stable Coin"),INDEX(_xlfn._xlws.FILTER(P$2:P244, D$2:D244=D245),COUNT(_xlfn._xlws.FILTER(P$2:P244, D$2:D244=D245))),(INDEX(_xlfn._xlws.FILTER(P$2:P244, D$2:D244=D245),COUNT(_xlfn._xlws.FILTER(P$2:P244, D$2:D244=D245)))*INDEX(_xlfn._xlws.FILTER(O$2:O244, D$2:D244=D245),COUNT(_xlfn._xlws.FILTER(O$2:O244, D$2:D244=D245)))-N245) / O245), J245))</f>
        <v>1.38</v>
      </c>
      <c r="Q245" s="1" t="str">
        <f t="shared" si="23"/>
        <v>USD</v>
      </c>
      <c r="R245" s="1" cm="1">
        <f t="array" ref="R245">IF(A245="", "",
    IFERROR(
        _xlfn.SWITCH(
            TRUE,
            AND(Q245="USD", $Q$2="USD"), K245,
            AND(Q245="USD", $Q$2="GBP"), K245*$Z$3,
            AND(Q245="USD", $Q$2="HKD"), K245*$Z$4,
            AND(Q245="USD", $Q$2="EUR"), K245*$Z$5,
            AND(Q245="GBP", $Q$2="GBP"), K245,
            AND(Q245="GBP", $Q$2="USD"), K245*$Z$6,
            AND(Q245="GBP", $Q$2="HKD"), K245*$Z$7,
            AND(Q245="HKG", $Q$2="HKG"), K245,
            AND(Q245="HKD", $Q$2="USD"), K245*$Z$9,
            AND(Q245="HKD", $Q$2="GBP"), K245*$Z$10,
            AND(Q245="HKD", $Q$2="EUR"), K245*$Z$11,
            AND(Q245="EUR", $Q$2="EUR"), K245,
            AND(Q245="EUR", $Q$2="USD"), K245*$Z$12,
            AND(Q245="EUR", $Q$2="GBP"), K245*$Z$13,
            AND(Q245="EUR", $Q$2="HKD"), K245*$Z$14,
        ),
        0
    )
)</f>
        <v>0</v>
      </c>
      <c r="S245" s="1" cm="1">
        <f t="array" ref="S245">IF(A245="", "",
    IFERROR(
        _xlfn.SWITCH(
            TRUE,
            AND(Q245="USD", $Q$2="USD"), M245,
            AND(Q245="USD", $Q$2="GBP"), M245*$Z$3,
            AND(Q245="USD", $Q$2="HKD"), M245*$Z$4,
            AND(Q245="USD", $Q$2="EUR"), M245*$Z$5,
            AND(Q245="GBP", $Q$2="GBP"), M245,
            AND(Q245="GBP", $Q$2="USD"), M245*$Z$6,
            AND(Q245="GBP", $Q$2="HKD"), M245*$Z$7,
            AND(Q245="GBP", $Q$2="HKD"), M245*$Z$8,
            AND(Q245="HKG", $Q$2="HKG"), M245,
            AND(Q245="HKD", $Q$2="USD"), M245*$Z$9,
            AND(Q245="HKD", $Q$2="GBP"), M245*$Z$10,
            AND(Q245="HKD", $Q$2="EUR"), M245*$Z$11,
            AND(Q245="EUR", $Q$2="EUR"), M245,
            AND(Q245="EUR", $Q$2="USD"), M245*$Z$12,
            AND(Q245="EUR", $Q$2="GBP"), M245*$Z$13,
            AND(Q245="EUR", $Q$2="HKD"), M245*$Z$14,
        ),
        0
    )
)</f>
        <v>53.819999999999993</v>
      </c>
      <c r="T245" s="1" t="str">
        <f t="shared" si="24"/>
        <v>4</v>
      </c>
      <c r="U245" s="9" t="str">
        <f t="shared" si="25"/>
        <v>01</v>
      </c>
      <c r="V245" s="1" t="str">
        <f t="shared" si="26"/>
        <v>2024</v>
      </c>
      <c r="W245" s="18" t="str">
        <f t="shared" si="27"/>
        <v>星期四</v>
      </c>
    </row>
    <row r="246" spans="1:23">
      <c r="A246" s="17" t="s">
        <v>6</v>
      </c>
      <c r="B246" s="1" t="s">
        <v>348</v>
      </c>
      <c r="C246" s="9">
        <v>45295</v>
      </c>
      <c r="D246" s="1" t="s">
        <v>369</v>
      </c>
      <c r="E246" s="1" t="s">
        <v>421</v>
      </c>
      <c r="F246" s="1" t="s">
        <v>349</v>
      </c>
      <c r="H246" s="1" t="s">
        <v>367</v>
      </c>
      <c r="I246" s="1">
        <v>39</v>
      </c>
      <c r="J246" s="27">
        <v>1.38</v>
      </c>
      <c r="M246" s="24">
        <f t="shared" si="21"/>
        <v>53.819999999999993</v>
      </c>
      <c r="N246" s="36">
        <f t="shared" si="22"/>
        <v>53.819999999999993</v>
      </c>
      <c r="O246" s="34">
        <f>IF(ISBLANK(A246),"",SUMIFS(I$3:I246,D$3:D246,D246,H$3:H246,"Buy")+SUMIFS(I$3:I246,D$3:D246,D246,H$3:H246,"Cash Deposit")+SUMIFS(I$3:I246,D$3:D246,D246,H$3:H246,"Crypto Deposit")+SUMIFS(I$3:I246,D$3:D246,D246,H$3:H246,"Airdrop/Rewards")-SUMIFS(I$3:I246,D$3:D246,D246,H$3:H246,"Sell"))</f>
        <v>0</v>
      </c>
      <c r="P246" s="2" cm="1">
        <f t="array" ref="P246">IF(ISBLANK(A246),"",IFERROR(IF(OR(H246="Sell",F246="Stable Coin"),INDEX(_xlfn._xlws.FILTER(P$2:P245, D$2:D245=D246),COUNT(_xlfn._xlws.FILTER(P$2:P245, D$2:D245=D246))),(INDEX(_xlfn._xlws.FILTER(P$2:P245, D$2:D245=D246),COUNT(_xlfn._xlws.FILTER(P$2:P245, D$2:D245=D246)))*INDEX(_xlfn._xlws.FILTER(O$2:O245, D$2:D245=D246),COUNT(_xlfn._xlws.FILTER(O$2:O245, D$2:D245=D246)))-N246) / O246), J246))</f>
        <v>1.38</v>
      </c>
      <c r="Q246" s="1" t="str">
        <f t="shared" si="23"/>
        <v>USD</v>
      </c>
      <c r="R246" s="1" cm="1">
        <f t="array" ref="R246">IF(A246="", "",
    IFERROR(
        _xlfn.SWITCH(
            TRUE,
            AND(Q246="USD", $Q$2="USD"), K246,
            AND(Q246="USD", $Q$2="GBP"), K246*$Z$3,
            AND(Q246="USD", $Q$2="HKD"), K246*$Z$4,
            AND(Q246="USD", $Q$2="EUR"), K246*$Z$5,
            AND(Q246="GBP", $Q$2="GBP"), K246,
            AND(Q246="GBP", $Q$2="USD"), K246*$Z$6,
            AND(Q246="GBP", $Q$2="HKD"), K246*$Z$7,
            AND(Q246="HKG", $Q$2="HKG"), K246,
            AND(Q246="HKD", $Q$2="USD"), K246*$Z$9,
            AND(Q246="HKD", $Q$2="GBP"), K246*$Z$10,
            AND(Q246="HKD", $Q$2="EUR"), K246*$Z$11,
            AND(Q246="EUR", $Q$2="EUR"), K246,
            AND(Q246="EUR", $Q$2="USD"), K246*$Z$12,
            AND(Q246="EUR", $Q$2="GBP"), K246*$Z$13,
            AND(Q246="EUR", $Q$2="HKD"), K246*$Z$14,
        ),
        0
    )
)</f>
        <v>0</v>
      </c>
      <c r="S246" s="1" cm="1">
        <f t="array" ref="S246">IF(A246="", "",
    IFERROR(
        _xlfn.SWITCH(
            TRUE,
            AND(Q246="USD", $Q$2="USD"), M246,
            AND(Q246="USD", $Q$2="GBP"), M246*$Z$3,
            AND(Q246="USD", $Q$2="HKD"), M246*$Z$4,
            AND(Q246="USD", $Q$2="EUR"), M246*$Z$5,
            AND(Q246="GBP", $Q$2="GBP"), M246,
            AND(Q246="GBP", $Q$2="USD"), M246*$Z$6,
            AND(Q246="GBP", $Q$2="HKD"), M246*$Z$7,
            AND(Q246="GBP", $Q$2="HKD"), M246*$Z$8,
            AND(Q246="HKG", $Q$2="HKG"), M246,
            AND(Q246="HKD", $Q$2="USD"), M246*$Z$9,
            AND(Q246="HKD", $Q$2="GBP"), M246*$Z$10,
            AND(Q246="HKD", $Q$2="EUR"), M246*$Z$11,
            AND(Q246="EUR", $Q$2="EUR"), M246,
            AND(Q246="EUR", $Q$2="USD"), M246*$Z$12,
            AND(Q246="EUR", $Q$2="GBP"), M246*$Z$13,
            AND(Q246="EUR", $Q$2="HKD"), M246*$Z$14,
        ),
        0
    )
)</f>
        <v>53.819999999999993</v>
      </c>
      <c r="T246" s="1" t="str">
        <f t="shared" si="24"/>
        <v>4</v>
      </c>
      <c r="U246" s="9" t="str">
        <f t="shared" si="25"/>
        <v>01</v>
      </c>
      <c r="V246" s="1" t="str">
        <f t="shared" si="26"/>
        <v>2024</v>
      </c>
      <c r="W246" s="18" t="str">
        <f t="shared" si="27"/>
        <v>星期四</v>
      </c>
    </row>
    <row r="247" spans="1:23">
      <c r="A247" s="17" t="s">
        <v>6</v>
      </c>
      <c r="B247" s="1" t="s">
        <v>348</v>
      </c>
      <c r="C247" s="9">
        <v>45300</v>
      </c>
      <c r="D247" s="1" t="s">
        <v>376</v>
      </c>
      <c r="E247" s="1" t="s">
        <v>270</v>
      </c>
      <c r="F247" s="1" t="s">
        <v>349</v>
      </c>
      <c r="H247" s="1" t="s">
        <v>359</v>
      </c>
      <c r="I247" s="1">
        <v>40.700000000000003</v>
      </c>
      <c r="J247" s="27">
        <v>0.7</v>
      </c>
      <c r="M247" s="24">
        <f t="shared" si="21"/>
        <v>28.49</v>
      </c>
      <c r="N247" s="36">
        <f t="shared" si="22"/>
        <v>0</v>
      </c>
      <c r="O247" s="34">
        <f>IF(ISBLANK(A247),"",SUMIFS(I$3:I247,D$3:D247,D247,H$3:H247,"Buy")+SUMIFS(I$3:I247,D$3:D247,D247,H$3:H247,"Cash Deposit")+SUMIFS(I$3:I247,D$3:D247,D247,H$3:H247,"Crypto Deposit")+SUMIFS(I$3:I247,D$3:D247,D247,H$3:H247,"Airdrop/Rewards")-SUMIFS(I$3:I247,D$3:D247,D247,H$3:H247,"Sell"))</f>
        <v>40.700000000000003</v>
      </c>
      <c r="P247" s="2" cm="1">
        <f t="array" ref="P247">IF(ISBLANK(A247),"",IFERROR(IF(OR(H247="Sell",F247="Stable Coin"),INDEX(_xlfn._xlws.FILTER(P$2:P246, D$2:D246=D247),COUNT(_xlfn._xlws.FILTER(P$2:P246, D$2:D246=D247))),(INDEX(_xlfn._xlws.FILTER(P$2:P246, D$2:D246=D247),COUNT(_xlfn._xlws.FILTER(P$2:P246, D$2:D246=D247)))*INDEX(_xlfn._xlws.FILTER(O$2:O246, D$2:D246=D247),COUNT(_xlfn._xlws.FILTER(O$2:O246, D$2:D246=D247)))-N247) / O247), J247))</f>
        <v>0.7</v>
      </c>
      <c r="Q247" s="1" t="str">
        <f t="shared" si="23"/>
        <v>USD</v>
      </c>
      <c r="R247" s="1" cm="1">
        <f t="array" ref="R247">IF(A247="", "",
    IFERROR(
        _xlfn.SWITCH(
            TRUE,
            AND(Q247="USD", $Q$2="USD"), K247,
            AND(Q247="USD", $Q$2="GBP"), K247*$Z$3,
            AND(Q247="USD", $Q$2="HKD"), K247*$Z$4,
            AND(Q247="USD", $Q$2="EUR"), K247*$Z$5,
            AND(Q247="GBP", $Q$2="GBP"), K247,
            AND(Q247="GBP", $Q$2="USD"), K247*$Z$6,
            AND(Q247="GBP", $Q$2="HKD"), K247*$Z$7,
            AND(Q247="HKG", $Q$2="HKG"), K247,
            AND(Q247="HKD", $Q$2="USD"), K247*$Z$9,
            AND(Q247="HKD", $Q$2="GBP"), K247*$Z$10,
            AND(Q247="HKD", $Q$2="EUR"), K247*$Z$11,
            AND(Q247="EUR", $Q$2="EUR"), K247,
            AND(Q247="EUR", $Q$2="USD"), K247*$Z$12,
            AND(Q247="EUR", $Q$2="GBP"), K247*$Z$13,
            AND(Q247="EUR", $Q$2="HKD"), K247*$Z$14,
        ),
        0
    )
)</f>
        <v>0</v>
      </c>
      <c r="S247" s="1" cm="1">
        <f t="array" ref="S247">IF(A247="", "",
    IFERROR(
        _xlfn.SWITCH(
            TRUE,
            AND(Q247="USD", $Q$2="USD"), M247,
            AND(Q247="USD", $Q$2="GBP"), M247*$Z$3,
            AND(Q247="USD", $Q$2="HKD"), M247*$Z$4,
            AND(Q247="USD", $Q$2="EUR"), M247*$Z$5,
            AND(Q247="GBP", $Q$2="GBP"), M247,
            AND(Q247="GBP", $Q$2="USD"), M247*$Z$6,
            AND(Q247="GBP", $Q$2="HKD"), M247*$Z$7,
            AND(Q247="GBP", $Q$2="HKD"), M247*$Z$8,
            AND(Q247="HKG", $Q$2="HKG"), M247,
            AND(Q247="HKD", $Q$2="USD"), M247*$Z$9,
            AND(Q247="HKD", $Q$2="GBP"), M247*$Z$10,
            AND(Q247="HKD", $Q$2="EUR"), M247*$Z$11,
            AND(Q247="EUR", $Q$2="EUR"), M247,
            AND(Q247="EUR", $Q$2="USD"), M247*$Z$12,
            AND(Q247="EUR", $Q$2="GBP"), M247*$Z$13,
            AND(Q247="EUR", $Q$2="HKD"), M247*$Z$14,
        ),
        0
    )
)</f>
        <v>28.49</v>
      </c>
      <c r="T247" s="1" t="str">
        <f t="shared" si="24"/>
        <v>9</v>
      </c>
      <c r="U247" s="9" t="str">
        <f t="shared" si="25"/>
        <v>01</v>
      </c>
      <c r="V247" s="1" t="str">
        <f t="shared" si="26"/>
        <v>2024</v>
      </c>
      <c r="W247" s="18" t="str">
        <f t="shared" si="27"/>
        <v>星期二</v>
      </c>
    </row>
    <row r="248" spans="1:23">
      <c r="A248" s="17" t="s">
        <v>6</v>
      </c>
      <c r="B248" s="1" t="s">
        <v>348</v>
      </c>
      <c r="C248" s="9">
        <v>45300</v>
      </c>
      <c r="D248" s="1" t="s">
        <v>376</v>
      </c>
      <c r="E248" s="1" t="s">
        <v>270</v>
      </c>
      <c r="F248" s="1" t="s">
        <v>349</v>
      </c>
      <c r="H248" s="1" t="s">
        <v>367</v>
      </c>
      <c r="I248" s="1">
        <v>40.700000000000003</v>
      </c>
      <c r="J248" s="27">
        <v>0.69930000000000003</v>
      </c>
      <c r="M248" s="24">
        <f t="shared" si="21"/>
        <v>28.461510000000004</v>
      </c>
      <c r="N248" s="36">
        <f t="shared" si="22"/>
        <v>28.461510000000004</v>
      </c>
      <c r="O248" s="34">
        <f>IF(ISBLANK(A248),"",SUMIFS(I$3:I248,D$3:D248,D248,H$3:H248,"Buy")+SUMIFS(I$3:I248,D$3:D248,D248,H$3:H248,"Cash Deposit")+SUMIFS(I$3:I248,D$3:D248,D248,H$3:H248,"Crypto Deposit")+SUMIFS(I$3:I248,D$3:D248,D248,H$3:H248,"Airdrop/Rewards")-SUMIFS(I$3:I248,D$3:D248,D248,H$3:H248,"Sell"))</f>
        <v>0</v>
      </c>
      <c r="P248" s="2" cm="1">
        <f t="array" ref="P248">IF(ISBLANK(A248),"",IFERROR(IF(OR(H248="Sell",F248="Stable Coin"),INDEX(_xlfn._xlws.FILTER(P$2:P247, D$2:D247=D248),COUNT(_xlfn._xlws.FILTER(P$2:P247, D$2:D247=D248))),(INDEX(_xlfn._xlws.FILTER(P$2:P247, D$2:D247=D248),COUNT(_xlfn._xlws.FILTER(P$2:P247, D$2:D247=D248)))*INDEX(_xlfn._xlws.FILTER(O$2:O247, D$2:D247=D248),COUNT(_xlfn._xlws.FILTER(O$2:O247, D$2:D247=D248)))-N248) / O248), J248))</f>
        <v>0.7</v>
      </c>
      <c r="Q248" s="1" t="str">
        <f t="shared" si="23"/>
        <v>USD</v>
      </c>
      <c r="R248" s="1" cm="1">
        <f t="array" ref="R248">IF(A248="", "",
    IFERROR(
        _xlfn.SWITCH(
            TRUE,
            AND(Q248="USD", $Q$2="USD"), K248,
            AND(Q248="USD", $Q$2="GBP"), K248*$Z$3,
            AND(Q248="USD", $Q$2="HKD"), K248*$Z$4,
            AND(Q248="USD", $Q$2="EUR"), K248*$Z$5,
            AND(Q248="GBP", $Q$2="GBP"), K248,
            AND(Q248="GBP", $Q$2="USD"), K248*$Z$6,
            AND(Q248="GBP", $Q$2="HKD"), K248*$Z$7,
            AND(Q248="HKG", $Q$2="HKG"), K248,
            AND(Q248="HKD", $Q$2="USD"), K248*$Z$9,
            AND(Q248="HKD", $Q$2="GBP"), K248*$Z$10,
            AND(Q248="HKD", $Q$2="EUR"), K248*$Z$11,
            AND(Q248="EUR", $Q$2="EUR"), K248,
            AND(Q248="EUR", $Q$2="USD"), K248*$Z$12,
            AND(Q248="EUR", $Q$2="GBP"), K248*$Z$13,
            AND(Q248="EUR", $Q$2="HKD"), K248*$Z$14,
        ),
        0
    )
)</f>
        <v>0</v>
      </c>
      <c r="S248" s="1" cm="1">
        <f t="array" ref="S248">IF(A248="", "",
    IFERROR(
        _xlfn.SWITCH(
            TRUE,
            AND(Q248="USD", $Q$2="USD"), M248,
            AND(Q248="USD", $Q$2="GBP"), M248*$Z$3,
            AND(Q248="USD", $Q$2="HKD"), M248*$Z$4,
            AND(Q248="USD", $Q$2="EUR"), M248*$Z$5,
            AND(Q248="GBP", $Q$2="GBP"), M248,
            AND(Q248="GBP", $Q$2="USD"), M248*$Z$6,
            AND(Q248="GBP", $Q$2="HKD"), M248*$Z$7,
            AND(Q248="GBP", $Q$2="HKD"), M248*$Z$8,
            AND(Q248="HKG", $Q$2="HKG"), M248,
            AND(Q248="HKD", $Q$2="USD"), M248*$Z$9,
            AND(Q248="HKD", $Q$2="GBP"), M248*$Z$10,
            AND(Q248="HKD", $Q$2="EUR"), M248*$Z$11,
            AND(Q248="EUR", $Q$2="EUR"), M248,
            AND(Q248="EUR", $Q$2="USD"), M248*$Z$12,
            AND(Q248="EUR", $Q$2="GBP"), M248*$Z$13,
            AND(Q248="EUR", $Q$2="HKD"), M248*$Z$14,
        ),
        0
    )
)</f>
        <v>28.461510000000004</v>
      </c>
      <c r="T248" s="1" t="str">
        <f t="shared" si="24"/>
        <v>9</v>
      </c>
      <c r="U248" s="9" t="str">
        <f t="shared" si="25"/>
        <v>01</v>
      </c>
      <c r="V248" s="1" t="str">
        <f t="shared" si="26"/>
        <v>2024</v>
      </c>
      <c r="W248" s="18" t="str">
        <f t="shared" si="27"/>
        <v>星期二</v>
      </c>
    </row>
    <row r="249" spans="1:23">
      <c r="A249" s="17" t="s">
        <v>399</v>
      </c>
      <c r="B249" s="1" t="s">
        <v>348</v>
      </c>
      <c r="C249" s="9">
        <v>45300</v>
      </c>
      <c r="D249" s="1" t="e" vm="24">
        <v>#VALUE!</v>
      </c>
      <c r="E249" s="1" t="s">
        <v>407</v>
      </c>
      <c r="F249" s="1" t="s">
        <v>401</v>
      </c>
      <c r="H249" s="1" t="s">
        <v>347</v>
      </c>
      <c r="I249" s="1">
        <v>20</v>
      </c>
      <c r="J249" s="27">
        <v>13.33</v>
      </c>
      <c r="K249" s="1">
        <v>2.0499999999999998</v>
      </c>
      <c r="M249" s="24">
        <f t="shared" si="21"/>
        <v>266.60000000000002</v>
      </c>
      <c r="N249" s="36">
        <f t="shared" si="22"/>
        <v>-266.60000000000002</v>
      </c>
      <c r="O249" s="34">
        <f>IF(ISBLANK(A249),"",SUMIFS(I$3:I249,D$3:D249,D249,H$3:H249,"Buy")+SUMIFS(I$3:I249,D$3:D249,D249,H$3:H249,"Cash Deposit")+SUMIFS(I$3:I249,D$3:D249,D249,H$3:H249,"Crypto Deposit")+SUMIFS(I$3:I249,D$3:D249,D249,H$3:H249,"Airdrop/Rewards")-SUMIFS(I$3:I249,D$3:D249,D249,H$3:H249,"Sell"))</f>
        <v>20</v>
      </c>
      <c r="P249" s="2" cm="1">
        <f t="array" ref="P249">IF(ISBLANK(A249),"",IFERROR(IF(OR(H249="Sell",F249="Stable Coin"),INDEX(_xlfn._xlws.FILTER(P$2:P248, D$2:D248=D249),COUNT(_xlfn._xlws.FILTER(P$2:P248, D$2:D248=D249))),(INDEX(_xlfn._xlws.FILTER(P$2:P248, D$2:D248=D249),COUNT(_xlfn._xlws.FILTER(P$2:P248, D$2:D248=D249)))*INDEX(_xlfn._xlws.FILTER(O$2:O248, D$2:D248=D249),COUNT(_xlfn._xlws.FILTER(O$2:O248, D$2:D248=D249)))-N249) / O249), J249))</f>
        <v>13.33</v>
      </c>
      <c r="Q249" s="1" t="str">
        <f t="shared" si="23"/>
        <v>USD</v>
      </c>
      <c r="R249" s="1" cm="1">
        <f t="array" ref="R249">IF(A249="", "",
    IFERROR(
        _xlfn.SWITCH(
            TRUE,
            AND(Q249="USD", $Q$2="USD"), K249,
            AND(Q249="USD", $Q$2="GBP"), K249*$Z$3,
            AND(Q249="USD", $Q$2="HKD"), K249*$Z$4,
            AND(Q249="USD", $Q$2="EUR"), K249*$Z$5,
            AND(Q249="GBP", $Q$2="GBP"), K249,
            AND(Q249="GBP", $Q$2="USD"), K249*$Z$6,
            AND(Q249="GBP", $Q$2="HKD"), K249*$Z$7,
            AND(Q249="HKG", $Q$2="HKG"), K249,
            AND(Q249="HKD", $Q$2="USD"), K249*$Z$9,
            AND(Q249="HKD", $Q$2="GBP"), K249*$Z$10,
            AND(Q249="HKD", $Q$2="EUR"), K249*$Z$11,
            AND(Q249="EUR", $Q$2="EUR"), K249,
            AND(Q249="EUR", $Q$2="USD"), K249*$Z$12,
            AND(Q249="EUR", $Q$2="GBP"), K249*$Z$13,
            AND(Q249="EUR", $Q$2="HKD"), K249*$Z$14,
        ),
        0
    )
)</f>
        <v>2.0499999999999998</v>
      </c>
      <c r="S249" s="1" cm="1">
        <f t="array" ref="S249">IF(A249="", "",
    IFERROR(
        _xlfn.SWITCH(
            TRUE,
            AND(Q249="USD", $Q$2="USD"), M249,
            AND(Q249="USD", $Q$2="GBP"), M249*$Z$3,
            AND(Q249="USD", $Q$2="HKD"), M249*$Z$4,
            AND(Q249="USD", $Q$2="EUR"), M249*$Z$5,
            AND(Q249="GBP", $Q$2="GBP"), M249,
            AND(Q249="GBP", $Q$2="USD"), M249*$Z$6,
            AND(Q249="GBP", $Q$2="HKD"), M249*$Z$7,
            AND(Q249="GBP", $Q$2="HKD"), M249*$Z$8,
            AND(Q249="HKG", $Q$2="HKG"), M249,
            AND(Q249="HKD", $Q$2="USD"), M249*$Z$9,
            AND(Q249="HKD", $Q$2="GBP"), M249*$Z$10,
            AND(Q249="HKD", $Q$2="EUR"), M249*$Z$11,
            AND(Q249="EUR", $Q$2="EUR"), M249,
            AND(Q249="EUR", $Q$2="USD"), M249*$Z$12,
            AND(Q249="EUR", $Q$2="GBP"), M249*$Z$13,
            AND(Q249="EUR", $Q$2="HKD"), M249*$Z$14,
        ),
        0
    )
)</f>
        <v>266.60000000000002</v>
      </c>
      <c r="T249" s="1" t="str">
        <f t="shared" si="24"/>
        <v>9</v>
      </c>
      <c r="U249" s="9" t="str">
        <f t="shared" si="25"/>
        <v>01</v>
      </c>
      <c r="V249" s="1" t="str">
        <f t="shared" si="26"/>
        <v>2024</v>
      </c>
      <c r="W249" s="18" t="str">
        <f t="shared" si="27"/>
        <v>星期二</v>
      </c>
    </row>
    <row r="250" spans="1:23">
      <c r="A250" s="17" t="s">
        <v>399</v>
      </c>
      <c r="B250" s="1" t="s">
        <v>348</v>
      </c>
      <c r="C250" s="9">
        <v>45300</v>
      </c>
      <c r="D250" s="1" t="e" vm="17">
        <v>#VALUE!</v>
      </c>
      <c r="E250" s="1" t="s">
        <v>32</v>
      </c>
      <c r="F250" s="1" t="s">
        <v>401</v>
      </c>
      <c r="H250" s="1" t="s">
        <v>347</v>
      </c>
      <c r="I250" s="1">
        <v>4</v>
      </c>
      <c r="J250" s="27">
        <v>152.5</v>
      </c>
      <c r="K250" s="1">
        <v>2</v>
      </c>
      <c r="M250" s="24">
        <f t="shared" si="21"/>
        <v>610</v>
      </c>
      <c r="N250" s="36">
        <f t="shared" si="22"/>
        <v>-610</v>
      </c>
      <c r="O250" s="34">
        <f>IF(ISBLANK(A250),"",SUMIFS(I$3:I250,D$3:D250,D250,H$3:H250,"Buy")+SUMIFS(I$3:I250,D$3:D250,D250,H$3:H250,"Cash Deposit")+SUMIFS(I$3:I250,D$3:D250,D250,H$3:H250,"Crypto Deposit")+SUMIFS(I$3:I250,D$3:D250,D250,H$3:H250,"Airdrop/Rewards")-SUMIFS(I$3:I250,D$3:D250,D250,H$3:H250,"Sell"))</f>
        <v>76</v>
      </c>
      <c r="P250" s="2" cm="1">
        <f t="array" ref="P250">IF(ISBLANK(A250),"",IFERROR(IF(OR(H250="Sell",F250="Stable Coin"),INDEX(_xlfn._xlws.FILTER(P$2:P249, D$2:D249=D250),COUNT(_xlfn._xlws.FILTER(P$2:P249, D$2:D249=D250))),(INDEX(_xlfn._xlws.FILTER(P$2:P249, D$2:D249=D250),COUNT(_xlfn._xlws.FILTER(P$2:P249, D$2:D249=D250)))*INDEX(_xlfn._xlws.FILTER(O$2:O249, D$2:D249=D250),COUNT(_xlfn._xlws.FILTER(O$2:O249, D$2:D249=D250)))-N250) / O250), J250))</f>
        <v>75.394029435529106</v>
      </c>
      <c r="Q250" s="1" t="str">
        <f t="shared" si="23"/>
        <v>USD</v>
      </c>
      <c r="R250" s="1" cm="1">
        <f t="array" ref="R250">IF(A250="", "",
    IFERROR(
        _xlfn.SWITCH(
            TRUE,
            AND(Q250="USD", $Q$2="USD"), K250,
            AND(Q250="USD", $Q$2="GBP"), K250*$Z$3,
            AND(Q250="USD", $Q$2="HKD"), K250*$Z$4,
            AND(Q250="USD", $Q$2="EUR"), K250*$Z$5,
            AND(Q250="GBP", $Q$2="GBP"), K250,
            AND(Q250="GBP", $Q$2="USD"), K250*$Z$6,
            AND(Q250="GBP", $Q$2="HKD"), K250*$Z$7,
            AND(Q250="HKG", $Q$2="HKG"), K250,
            AND(Q250="HKD", $Q$2="USD"), K250*$Z$9,
            AND(Q250="HKD", $Q$2="GBP"), K250*$Z$10,
            AND(Q250="HKD", $Q$2="EUR"), K250*$Z$11,
            AND(Q250="EUR", $Q$2="EUR"), K250,
            AND(Q250="EUR", $Q$2="USD"), K250*$Z$12,
            AND(Q250="EUR", $Q$2="GBP"), K250*$Z$13,
            AND(Q250="EUR", $Q$2="HKD"), K250*$Z$14,
        ),
        0
    )
)</f>
        <v>2</v>
      </c>
      <c r="S250" s="1" cm="1">
        <f t="array" ref="S250">IF(A250="", "",
    IFERROR(
        _xlfn.SWITCH(
            TRUE,
            AND(Q250="USD", $Q$2="USD"), M250,
            AND(Q250="USD", $Q$2="GBP"), M250*$Z$3,
            AND(Q250="USD", $Q$2="HKD"), M250*$Z$4,
            AND(Q250="USD", $Q$2="EUR"), M250*$Z$5,
            AND(Q250="GBP", $Q$2="GBP"), M250,
            AND(Q250="GBP", $Q$2="USD"), M250*$Z$6,
            AND(Q250="GBP", $Q$2="HKD"), M250*$Z$7,
            AND(Q250="GBP", $Q$2="HKD"), M250*$Z$8,
            AND(Q250="HKG", $Q$2="HKG"), M250,
            AND(Q250="HKD", $Q$2="USD"), M250*$Z$9,
            AND(Q250="HKD", $Q$2="GBP"), M250*$Z$10,
            AND(Q250="HKD", $Q$2="EUR"), M250*$Z$11,
            AND(Q250="EUR", $Q$2="EUR"), M250,
            AND(Q250="EUR", $Q$2="USD"), M250*$Z$12,
            AND(Q250="EUR", $Q$2="GBP"), M250*$Z$13,
            AND(Q250="EUR", $Q$2="HKD"), M250*$Z$14,
        ),
        0
    )
)</f>
        <v>610</v>
      </c>
      <c r="T250" s="1" t="str">
        <f t="shared" si="24"/>
        <v>9</v>
      </c>
      <c r="U250" s="9" t="str">
        <f t="shared" si="25"/>
        <v>01</v>
      </c>
      <c r="V250" s="1" t="str">
        <f t="shared" si="26"/>
        <v>2024</v>
      </c>
      <c r="W250" s="18" t="str">
        <f t="shared" si="27"/>
        <v>星期二</v>
      </c>
    </row>
    <row r="251" spans="1:23">
      <c r="A251" s="17" t="s">
        <v>59</v>
      </c>
      <c r="B251" s="1" t="s">
        <v>348</v>
      </c>
      <c r="C251" s="9">
        <v>45301</v>
      </c>
      <c r="D251" s="1" t="s">
        <v>88</v>
      </c>
      <c r="E251" s="1" t="s">
        <v>363</v>
      </c>
      <c r="F251" s="1" t="s">
        <v>349</v>
      </c>
      <c r="H251" s="1" t="s">
        <v>371</v>
      </c>
      <c r="I251" s="1">
        <v>746.79</v>
      </c>
      <c r="J251" s="27">
        <v>2.1558899999999999</v>
      </c>
      <c r="M251" s="24">
        <f t="shared" si="21"/>
        <v>1609.9970930999998</v>
      </c>
      <c r="N251" s="36">
        <f t="shared" si="22"/>
        <v>-1609.9970930999998</v>
      </c>
      <c r="O251" s="34">
        <f>IF(ISBLANK(A251),"",SUMIFS(I$3:I251,D$3:D251,D251,H$3:H251,"Buy")+SUMIFS(I$3:I251,D$3:D251,D251,H$3:H251,"Cash Deposit")+SUMIFS(I$3:I251,D$3:D251,D251,H$3:H251,"Crypto Deposit")+SUMIFS(I$3:I251,D$3:D251,D251,H$3:H251,"Airdrop/Rewards")-SUMIFS(I$3:I251,D$3:D251,D251,H$3:H251,"Sell"))</f>
        <v>746.79</v>
      </c>
      <c r="P251" s="2" cm="1">
        <f t="array" ref="P251">IF(ISBLANK(A251),"",IFERROR(IF(OR(H251="Sell",F251="Stable Coin"),INDEX(_xlfn._xlws.FILTER(P$2:P250, D$2:D250=D251),COUNT(_xlfn._xlws.FILTER(P$2:P250, D$2:D250=D251))),(INDEX(_xlfn._xlws.FILTER(P$2:P250, D$2:D250=D251),COUNT(_xlfn._xlws.FILTER(P$2:P250, D$2:D250=D251)))*INDEX(_xlfn._xlws.FILTER(O$2:O250, D$2:D250=D251),COUNT(_xlfn._xlws.FILTER(O$2:O250, D$2:D250=D251)))-N251) / O251), J251))</f>
        <v>2.1558899999999999</v>
      </c>
      <c r="Q251" s="1" t="str">
        <f t="shared" si="23"/>
        <v>USD</v>
      </c>
      <c r="R251" s="1" cm="1">
        <f t="array" ref="R251">IF(A251="", "",
    IFERROR(
        _xlfn.SWITCH(
            TRUE,
            AND(Q251="USD", $Q$2="USD"), K251,
            AND(Q251="USD", $Q$2="GBP"), K251*$Z$3,
            AND(Q251="USD", $Q$2="HKD"), K251*$Z$4,
            AND(Q251="USD", $Q$2="EUR"), K251*$Z$5,
            AND(Q251="GBP", $Q$2="GBP"), K251,
            AND(Q251="GBP", $Q$2="USD"), K251*$Z$6,
            AND(Q251="GBP", $Q$2="HKD"), K251*$Z$7,
            AND(Q251="HKG", $Q$2="HKG"), K251,
            AND(Q251="HKD", $Q$2="USD"), K251*$Z$9,
            AND(Q251="HKD", $Q$2="GBP"), K251*$Z$10,
            AND(Q251="HKD", $Q$2="EUR"), K251*$Z$11,
            AND(Q251="EUR", $Q$2="EUR"), K251,
            AND(Q251="EUR", $Q$2="USD"), K251*$Z$12,
            AND(Q251="EUR", $Q$2="GBP"), K251*$Z$13,
            AND(Q251="EUR", $Q$2="HKD"), K251*$Z$14,
        ),
        0
    )
)</f>
        <v>0</v>
      </c>
      <c r="S251" s="1" cm="1">
        <f t="array" ref="S251">IF(A251="", "",
    IFERROR(
        _xlfn.SWITCH(
            TRUE,
            AND(Q251="USD", $Q$2="USD"), M251,
            AND(Q251="USD", $Q$2="GBP"), M251*$Z$3,
            AND(Q251="USD", $Q$2="HKD"), M251*$Z$4,
            AND(Q251="USD", $Q$2="EUR"), M251*$Z$5,
            AND(Q251="GBP", $Q$2="GBP"), M251,
            AND(Q251="GBP", $Q$2="USD"), M251*$Z$6,
            AND(Q251="GBP", $Q$2="HKD"), M251*$Z$7,
            AND(Q251="GBP", $Q$2="HKD"), M251*$Z$8,
            AND(Q251="HKG", $Q$2="HKG"), M251,
            AND(Q251="HKD", $Q$2="USD"), M251*$Z$9,
            AND(Q251="HKD", $Q$2="GBP"), M251*$Z$10,
            AND(Q251="HKD", $Q$2="EUR"), M251*$Z$11,
            AND(Q251="EUR", $Q$2="EUR"), M251,
            AND(Q251="EUR", $Q$2="USD"), M251*$Z$12,
            AND(Q251="EUR", $Q$2="GBP"), M251*$Z$13,
            AND(Q251="EUR", $Q$2="HKD"), M251*$Z$14,
        ),
        0
    )
)</f>
        <v>1609.9970930999998</v>
      </c>
      <c r="T251" s="1" t="str">
        <f t="shared" si="24"/>
        <v>10</v>
      </c>
      <c r="U251" s="9" t="str">
        <f t="shared" si="25"/>
        <v>01</v>
      </c>
      <c r="V251" s="1" t="str">
        <f t="shared" si="26"/>
        <v>2024</v>
      </c>
      <c r="W251" s="18" t="str">
        <f t="shared" si="27"/>
        <v>星期三</v>
      </c>
    </row>
    <row r="252" spans="1:23">
      <c r="A252" s="17" t="s">
        <v>59</v>
      </c>
      <c r="B252" s="1" t="s">
        <v>348</v>
      </c>
      <c r="C252" s="9">
        <v>45301</v>
      </c>
      <c r="D252" s="1" t="s">
        <v>88</v>
      </c>
      <c r="E252" s="1" t="s">
        <v>363</v>
      </c>
      <c r="F252" s="1" t="s">
        <v>349</v>
      </c>
      <c r="H252" s="1" t="s">
        <v>360</v>
      </c>
      <c r="I252" s="1">
        <v>746.79</v>
      </c>
      <c r="J252" s="27">
        <v>2.1558899999999999</v>
      </c>
      <c r="M252" s="24">
        <f t="shared" si="21"/>
        <v>1609.9970930999998</v>
      </c>
      <c r="N252" s="36">
        <f t="shared" si="22"/>
        <v>0</v>
      </c>
      <c r="O252" s="34">
        <f>IF(ISBLANK(A252),"",SUMIFS(I$3:I252,D$3:D252,D252,H$3:H252,"Buy")+SUMIFS(I$3:I252,D$3:D252,D252,H$3:H252,"Cash Deposit")+SUMIFS(I$3:I252,D$3:D252,D252,H$3:H252,"Crypto Deposit")+SUMIFS(I$3:I252,D$3:D252,D252,H$3:H252,"Airdrop/Rewards")-SUMIFS(I$3:I252,D$3:D252,D252,H$3:H252,"Sell"))</f>
        <v>746.79</v>
      </c>
      <c r="P252" s="2" cm="1">
        <f t="array" ref="P252">IF(ISBLANK(A252),"",IFERROR(IF(OR(H252="Sell",F252="Stable Coin"),INDEX(_xlfn._xlws.FILTER(P$2:P251, D$2:D251=D252),COUNT(_xlfn._xlws.FILTER(P$2:P251, D$2:D251=D252))),(INDEX(_xlfn._xlws.FILTER(P$2:P251, D$2:D251=D252),COUNT(_xlfn._xlws.FILTER(P$2:P251, D$2:D251=D252)))*INDEX(_xlfn._xlws.FILTER(O$2:O251, D$2:D251=D252),COUNT(_xlfn._xlws.FILTER(O$2:O251, D$2:D251=D252)))-N252) / O252), J252))</f>
        <v>2.1558899999999999</v>
      </c>
      <c r="Q252" s="1" t="str">
        <f t="shared" si="23"/>
        <v>USD</v>
      </c>
      <c r="R252" s="1" cm="1">
        <f t="array" ref="R252">IF(A252="", "",
    IFERROR(
        _xlfn.SWITCH(
            TRUE,
            AND(Q252="USD", $Q$2="USD"), K252,
            AND(Q252="USD", $Q$2="GBP"), K252*$Z$3,
            AND(Q252="USD", $Q$2="HKD"), K252*$Z$4,
            AND(Q252="USD", $Q$2="EUR"), K252*$Z$5,
            AND(Q252="GBP", $Q$2="GBP"), K252,
            AND(Q252="GBP", $Q$2="USD"), K252*$Z$6,
            AND(Q252="GBP", $Q$2="HKD"), K252*$Z$7,
            AND(Q252="HKG", $Q$2="HKG"), K252,
            AND(Q252="HKD", $Q$2="USD"), K252*$Z$9,
            AND(Q252="HKD", $Q$2="GBP"), K252*$Z$10,
            AND(Q252="HKD", $Q$2="EUR"), K252*$Z$11,
            AND(Q252="EUR", $Q$2="EUR"), K252,
            AND(Q252="EUR", $Q$2="USD"), K252*$Z$12,
            AND(Q252="EUR", $Q$2="GBP"), K252*$Z$13,
            AND(Q252="EUR", $Q$2="HKD"), K252*$Z$14,
        ),
        0
    )
)</f>
        <v>0</v>
      </c>
      <c r="S252" s="1" cm="1">
        <f t="array" ref="S252">IF(A252="", "",
    IFERROR(
        _xlfn.SWITCH(
            TRUE,
            AND(Q252="USD", $Q$2="USD"), M252,
            AND(Q252="USD", $Q$2="GBP"), M252*$Z$3,
            AND(Q252="USD", $Q$2="HKD"), M252*$Z$4,
            AND(Q252="USD", $Q$2="EUR"), M252*$Z$5,
            AND(Q252="GBP", $Q$2="GBP"), M252,
            AND(Q252="GBP", $Q$2="USD"), M252*$Z$6,
            AND(Q252="GBP", $Q$2="HKD"), M252*$Z$7,
            AND(Q252="GBP", $Q$2="HKD"), M252*$Z$8,
            AND(Q252="HKG", $Q$2="HKG"), M252,
            AND(Q252="HKD", $Q$2="USD"), M252*$Z$9,
            AND(Q252="HKD", $Q$2="GBP"), M252*$Z$10,
            AND(Q252="HKD", $Q$2="EUR"), M252*$Z$11,
            AND(Q252="EUR", $Q$2="EUR"), M252,
            AND(Q252="EUR", $Q$2="USD"), M252*$Z$12,
            AND(Q252="EUR", $Q$2="GBP"), M252*$Z$13,
            AND(Q252="EUR", $Q$2="HKD"), M252*$Z$14,
        ),
        0
    )
)</f>
        <v>1609.9970930999998</v>
      </c>
      <c r="T252" s="1" t="str">
        <f t="shared" si="24"/>
        <v>10</v>
      </c>
      <c r="U252" s="9" t="str">
        <f t="shared" si="25"/>
        <v>01</v>
      </c>
      <c r="V252" s="1" t="str">
        <f t="shared" si="26"/>
        <v>2024</v>
      </c>
      <c r="W252" s="18" t="str">
        <f t="shared" si="27"/>
        <v>星期三</v>
      </c>
    </row>
    <row r="253" spans="1:23">
      <c r="A253" s="17" t="s">
        <v>59</v>
      </c>
      <c r="B253" s="1" t="s">
        <v>348</v>
      </c>
      <c r="C253" s="9">
        <v>45301</v>
      </c>
      <c r="D253" s="1" t="s">
        <v>69</v>
      </c>
      <c r="E253" s="1" t="s">
        <v>68</v>
      </c>
      <c r="F253" s="1" t="s">
        <v>349</v>
      </c>
      <c r="H253" s="1" t="s">
        <v>360</v>
      </c>
      <c r="I253" s="1">
        <v>1002.97</v>
      </c>
      <c r="J253" s="27">
        <v>0.2</v>
      </c>
      <c r="M253" s="24">
        <f t="shared" si="21"/>
        <v>200.59400000000002</v>
      </c>
      <c r="N253" s="36">
        <f t="shared" si="22"/>
        <v>0</v>
      </c>
      <c r="O253" s="34">
        <f>IF(ISBLANK(A253),"",SUMIFS(I$3:I253,D$3:D253,D253,H$3:H253,"Buy")+SUMIFS(I$3:I253,D$3:D253,D253,H$3:H253,"Cash Deposit")+SUMIFS(I$3:I253,D$3:D253,D253,H$3:H253,"Crypto Deposit")+SUMIFS(I$3:I253,D$3:D253,D253,H$3:H253,"Airdrop/Rewards")-SUMIFS(I$3:I253,D$3:D253,D253,H$3:H253,"Sell"))</f>
        <v>1002.97</v>
      </c>
      <c r="P253" s="2" cm="1">
        <f t="array" ref="P253">IF(ISBLANK(A253),"",IFERROR(IF(OR(H253="Sell",F253="Stable Coin"),INDEX(_xlfn._xlws.FILTER(P$2:P252, D$2:D252=D253),COUNT(_xlfn._xlws.FILTER(P$2:P252, D$2:D252=D253))),(INDEX(_xlfn._xlws.FILTER(P$2:P252, D$2:D252=D253),COUNT(_xlfn._xlws.FILTER(P$2:P252, D$2:D252=D253)))*INDEX(_xlfn._xlws.FILTER(O$2:O252, D$2:D252=D253),COUNT(_xlfn._xlws.FILTER(O$2:O252, D$2:D252=D253)))-N253) / O253), J253))</f>
        <v>0.2</v>
      </c>
      <c r="Q253" s="1" t="str">
        <f t="shared" si="23"/>
        <v>USD</v>
      </c>
      <c r="R253" s="1" cm="1">
        <f t="array" ref="R253">IF(A253="", "",
    IFERROR(
        _xlfn.SWITCH(
            TRUE,
            AND(Q253="USD", $Q$2="USD"), K253,
            AND(Q253="USD", $Q$2="GBP"), K253*$Z$3,
            AND(Q253="USD", $Q$2="HKD"), K253*$Z$4,
            AND(Q253="USD", $Q$2="EUR"), K253*$Z$5,
            AND(Q253="GBP", $Q$2="GBP"), K253,
            AND(Q253="GBP", $Q$2="USD"), K253*$Z$6,
            AND(Q253="GBP", $Q$2="HKD"), K253*$Z$7,
            AND(Q253="HKG", $Q$2="HKG"), K253,
            AND(Q253="HKD", $Q$2="USD"), K253*$Z$9,
            AND(Q253="HKD", $Q$2="GBP"), K253*$Z$10,
            AND(Q253="HKD", $Q$2="EUR"), K253*$Z$11,
            AND(Q253="EUR", $Q$2="EUR"), K253,
            AND(Q253="EUR", $Q$2="USD"), K253*$Z$12,
            AND(Q253="EUR", $Q$2="GBP"), K253*$Z$13,
            AND(Q253="EUR", $Q$2="HKD"), K253*$Z$14,
        ),
        0
    )
)</f>
        <v>0</v>
      </c>
      <c r="S253" s="1" cm="1">
        <f t="array" ref="S253">IF(A253="", "",
    IFERROR(
        _xlfn.SWITCH(
            TRUE,
            AND(Q253="USD", $Q$2="USD"), M253,
            AND(Q253="USD", $Q$2="GBP"), M253*$Z$3,
            AND(Q253="USD", $Q$2="HKD"), M253*$Z$4,
            AND(Q253="USD", $Q$2="EUR"), M253*$Z$5,
            AND(Q253="GBP", $Q$2="GBP"), M253,
            AND(Q253="GBP", $Q$2="USD"), M253*$Z$6,
            AND(Q253="GBP", $Q$2="HKD"), M253*$Z$7,
            AND(Q253="GBP", $Q$2="HKD"), M253*$Z$8,
            AND(Q253="HKG", $Q$2="HKG"), M253,
            AND(Q253="HKD", $Q$2="USD"), M253*$Z$9,
            AND(Q253="HKD", $Q$2="GBP"), M253*$Z$10,
            AND(Q253="HKD", $Q$2="EUR"), M253*$Z$11,
            AND(Q253="EUR", $Q$2="EUR"), M253,
            AND(Q253="EUR", $Q$2="USD"), M253*$Z$12,
            AND(Q253="EUR", $Q$2="GBP"), M253*$Z$13,
            AND(Q253="EUR", $Q$2="HKD"), M253*$Z$14,
        ),
        0
    )
)</f>
        <v>200.59400000000002</v>
      </c>
      <c r="T253" s="1" t="str">
        <f t="shared" si="24"/>
        <v>10</v>
      </c>
      <c r="U253" s="9" t="str">
        <f t="shared" si="25"/>
        <v>01</v>
      </c>
      <c r="V253" s="1" t="str">
        <f t="shared" si="26"/>
        <v>2024</v>
      </c>
      <c r="W253" s="18" t="str">
        <f t="shared" si="27"/>
        <v>星期三</v>
      </c>
    </row>
    <row r="254" spans="1:23">
      <c r="A254" s="17" t="s">
        <v>59</v>
      </c>
      <c r="B254" s="1" t="s">
        <v>348</v>
      </c>
      <c r="C254" s="9">
        <v>45301</v>
      </c>
      <c r="D254" s="1" t="s">
        <v>365</v>
      </c>
      <c r="E254" s="1" t="s">
        <v>366</v>
      </c>
      <c r="F254" s="1" t="s">
        <v>349</v>
      </c>
      <c r="H254" s="1" t="s">
        <v>360</v>
      </c>
      <c r="I254" s="1">
        <v>1516.68</v>
      </c>
      <c r="J254" s="27">
        <v>0.2</v>
      </c>
      <c r="M254" s="24">
        <f t="shared" si="21"/>
        <v>303.33600000000001</v>
      </c>
      <c r="N254" s="36">
        <f t="shared" si="22"/>
        <v>0</v>
      </c>
      <c r="O254" s="34">
        <f>IF(ISBLANK(A254),"",SUMIFS(I$3:I254,D$3:D254,D254,H$3:H254,"Buy")+SUMIFS(I$3:I254,D$3:D254,D254,H$3:H254,"Cash Deposit")+SUMIFS(I$3:I254,D$3:D254,D254,H$3:H254,"Crypto Deposit")+SUMIFS(I$3:I254,D$3:D254,D254,H$3:H254,"Airdrop/Rewards")-SUMIFS(I$3:I254,D$3:D254,D254,H$3:H254,"Sell"))</f>
        <v>1516.68</v>
      </c>
      <c r="P254" s="2" cm="1">
        <f t="array" ref="P254">IF(ISBLANK(A254),"",IFERROR(IF(OR(H254="Sell",F254="Stable Coin"),INDEX(_xlfn._xlws.FILTER(P$2:P253, D$2:D253=D254),COUNT(_xlfn._xlws.FILTER(P$2:P253, D$2:D253=D254))),(INDEX(_xlfn._xlws.FILTER(P$2:P253, D$2:D253=D254),COUNT(_xlfn._xlws.FILTER(P$2:P253, D$2:D253=D254)))*INDEX(_xlfn._xlws.FILTER(O$2:O253, D$2:D253=D254),COUNT(_xlfn._xlws.FILTER(O$2:O253, D$2:D253=D254)))-N254) / O254), J254))</f>
        <v>0.2</v>
      </c>
      <c r="Q254" s="1" t="str">
        <f t="shared" si="23"/>
        <v>USD</v>
      </c>
      <c r="R254" s="1" cm="1">
        <f t="array" ref="R254">IF(A254="", "",
    IFERROR(
        _xlfn.SWITCH(
            TRUE,
            AND(Q254="USD", $Q$2="USD"), K254,
            AND(Q254="USD", $Q$2="GBP"), K254*$Z$3,
            AND(Q254="USD", $Q$2="HKD"), K254*$Z$4,
            AND(Q254="USD", $Q$2="EUR"), K254*$Z$5,
            AND(Q254="GBP", $Q$2="GBP"), K254,
            AND(Q254="GBP", $Q$2="USD"), K254*$Z$6,
            AND(Q254="GBP", $Q$2="HKD"), K254*$Z$7,
            AND(Q254="HKG", $Q$2="HKG"), K254,
            AND(Q254="HKD", $Q$2="USD"), K254*$Z$9,
            AND(Q254="HKD", $Q$2="GBP"), K254*$Z$10,
            AND(Q254="HKD", $Q$2="EUR"), K254*$Z$11,
            AND(Q254="EUR", $Q$2="EUR"), K254,
            AND(Q254="EUR", $Q$2="USD"), K254*$Z$12,
            AND(Q254="EUR", $Q$2="GBP"), K254*$Z$13,
            AND(Q254="EUR", $Q$2="HKD"), K254*$Z$14,
        ),
        0
    )
)</f>
        <v>0</v>
      </c>
      <c r="S254" s="1" cm="1">
        <f t="array" ref="S254">IF(A254="", "",
    IFERROR(
        _xlfn.SWITCH(
            TRUE,
            AND(Q254="USD", $Q$2="USD"), M254,
            AND(Q254="USD", $Q$2="GBP"), M254*$Z$3,
            AND(Q254="USD", $Q$2="HKD"), M254*$Z$4,
            AND(Q254="USD", $Q$2="EUR"), M254*$Z$5,
            AND(Q254="GBP", $Q$2="GBP"), M254,
            AND(Q254="GBP", $Q$2="USD"), M254*$Z$6,
            AND(Q254="GBP", $Q$2="HKD"), M254*$Z$7,
            AND(Q254="GBP", $Q$2="HKD"), M254*$Z$8,
            AND(Q254="HKG", $Q$2="HKG"), M254,
            AND(Q254="HKD", $Q$2="USD"), M254*$Z$9,
            AND(Q254="HKD", $Q$2="GBP"), M254*$Z$10,
            AND(Q254="HKD", $Q$2="EUR"), M254*$Z$11,
            AND(Q254="EUR", $Q$2="EUR"), M254,
            AND(Q254="EUR", $Q$2="USD"), M254*$Z$12,
            AND(Q254="EUR", $Q$2="GBP"), M254*$Z$13,
            AND(Q254="EUR", $Q$2="HKD"), M254*$Z$14,
        ),
        0
    )
)</f>
        <v>303.33600000000001</v>
      </c>
      <c r="T254" s="1" t="str">
        <f t="shared" si="24"/>
        <v>10</v>
      </c>
      <c r="U254" s="9" t="str">
        <f t="shared" si="25"/>
        <v>01</v>
      </c>
      <c r="V254" s="1" t="str">
        <f t="shared" si="26"/>
        <v>2024</v>
      </c>
      <c r="W254" s="18" t="str">
        <f t="shared" si="27"/>
        <v>星期三</v>
      </c>
    </row>
    <row r="255" spans="1:23">
      <c r="A255" s="17" t="s">
        <v>6</v>
      </c>
      <c r="B255" s="1" t="s">
        <v>348</v>
      </c>
      <c r="C255" s="9">
        <v>45301</v>
      </c>
      <c r="D255" s="1" t="s">
        <v>55</v>
      </c>
      <c r="E255" s="1" t="s">
        <v>31</v>
      </c>
      <c r="F255" s="1" t="s">
        <v>349</v>
      </c>
      <c r="H255" s="1" t="s">
        <v>490</v>
      </c>
      <c r="I255" s="1">
        <v>2999</v>
      </c>
      <c r="J255" s="27">
        <v>0.43109999999999998</v>
      </c>
      <c r="K255" s="1">
        <v>1</v>
      </c>
      <c r="M255" s="24">
        <f t="shared" si="21"/>
        <v>1292.8688999999999</v>
      </c>
      <c r="N255" s="36">
        <f t="shared" si="22"/>
        <v>0</v>
      </c>
      <c r="O255" s="34">
        <f>IF(ISBLANK(A255),"",SUMIFS(I$3:I255,D$3:D255,D255,H$3:H255,"Buy")+SUMIFS(I$3:I255,D$3:D255,D255,H$3:H255,"Cash Deposit")+SUMIFS(I$3:I255,D$3:D255,D255,H$3:H255,"Crypto Deposit")+SUMIFS(I$3:I255,D$3:D255,D255,H$3:H255,"Airdrop/Rewards")-SUMIFS(I$3:I255,D$3:D255,D255,H$3:H255,"Sell"))</f>
        <v>3921.21</v>
      </c>
      <c r="P255" s="2" cm="1">
        <f t="array" ref="P255">IF(ISBLANK(A255),"",IFERROR(IF(OR(H255="Sell",F255="Stable Coin"),INDEX(_xlfn._xlws.FILTER(P$2:P254, D$2:D254=D255),COUNT(_xlfn._xlws.FILTER(P$2:P254, D$2:D254=D255))),(INDEX(_xlfn._xlws.FILTER(P$2:P254, D$2:D254=D255),COUNT(_xlfn._xlws.FILTER(P$2:P254, D$2:D254=D255)))*INDEX(_xlfn._xlws.FILTER(O$2:O254, D$2:D254=D255),COUNT(_xlfn._xlws.FILTER(O$2:O254, D$2:D254=D255)))-N255) / O255), J255))</f>
        <v>0.41390030117162779</v>
      </c>
      <c r="Q255" s="1" t="str">
        <f t="shared" si="23"/>
        <v>USD</v>
      </c>
      <c r="R255" s="1" cm="1">
        <f t="array" ref="R255">IF(A255="", "",
    IFERROR(
        _xlfn.SWITCH(
            TRUE,
            AND(Q255="USD", $Q$2="USD"), K255,
            AND(Q255="USD", $Q$2="GBP"), K255*$Z$3,
            AND(Q255="USD", $Q$2="HKD"), K255*$Z$4,
            AND(Q255="USD", $Q$2="EUR"), K255*$Z$5,
            AND(Q255="GBP", $Q$2="GBP"), K255,
            AND(Q255="GBP", $Q$2="USD"), K255*$Z$6,
            AND(Q255="GBP", $Q$2="HKD"), K255*$Z$7,
            AND(Q255="HKG", $Q$2="HKG"), K255,
            AND(Q255="HKD", $Q$2="USD"), K255*$Z$9,
            AND(Q255="HKD", $Q$2="GBP"), K255*$Z$10,
            AND(Q255="HKD", $Q$2="EUR"), K255*$Z$11,
            AND(Q255="EUR", $Q$2="EUR"), K255,
            AND(Q255="EUR", $Q$2="USD"), K255*$Z$12,
            AND(Q255="EUR", $Q$2="GBP"), K255*$Z$13,
            AND(Q255="EUR", $Q$2="HKD"), K255*$Z$14,
        ),
        0
    )
)</f>
        <v>1</v>
      </c>
      <c r="S255" s="1" cm="1">
        <f t="array" ref="S255">IF(A255="", "",
    IFERROR(
        _xlfn.SWITCH(
            TRUE,
            AND(Q255="USD", $Q$2="USD"), M255,
            AND(Q255="USD", $Q$2="GBP"), M255*$Z$3,
            AND(Q255="USD", $Q$2="HKD"), M255*$Z$4,
            AND(Q255="USD", $Q$2="EUR"), M255*$Z$5,
            AND(Q255="GBP", $Q$2="GBP"), M255,
            AND(Q255="GBP", $Q$2="USD"), M255*$Z$6,
            AND(Q255="GBP", $Q$2="HKD"), M255*$Z$7,
            AND(Q255="GBP", $Q$2="HKD"), M255*$Z$8,
            AND(Q255="HKG", $Q$2="HKG"), M255,
            AND(Q255="HKD", $Q$2="USD"), M255*$Z$9,
            AND(Q255="HKD", $Q$2="GBP"), M255*$Z$10,
            AND(Q255="HKD", $Q$2="EUR"), M255*$Z$11,
            AND(Q255="EUR", $Q$2="EUR"), M255,
            AND(Q255="EUR", $Q$2="USD"), M255*$Z$12,
            AND(Q255="EUR", $Q$2="GBP"), M255*$Z$13,
            AND(Q255="EUR", $Q$2="HKD"), M255*$Z$14,
        ),
        0
    )
)</f>
        <v>1292.8688999999999</v>
      </c>
      <c r="T255" s="1" t="str">
        <f t="shared" si="24"/>
        <v>10</v>
      </c>
      <c r="U255" s="9" t="str">
        <f t="shared" si="25"/>
        <v>01</v>
      </c>
      <c r="V255" s="1" t="str">
        <f t="shared" si="26"/>
        <v>2024</v>
      </c>
      <c r="W255" s="18" t="str">
        <f t="shared" si="27"/>
        <v>星期三</v>
      </c>
    </row>
    <row r="256" spans="1:23">
      <c r="A256" s="17" t="s">
        <v>34</v>
      </c>
      <c r="B256" s="1" t="s">
        <v>348</v>
      </c>
      <c r="C256" s="9">
        <v>45301</v>
      </c>
      <c r="D256" s="1" t="s">
        <v>55</v>
      </c>
      <c r="E256" s="1" t="s">
        <v>31</v>
      </c>
      <c r="F256" s="1" t="s">
        <v>349</v>
      </c>
      <c r="H256" s="1" t="s">
        <v>491</v>
      </c>
      <c r="I256" s="1">
        <v>2999</v>
      </c>
      <c r="J256" s="27">
        <v>0.43109999999999998</v>
      </c>
      <c r="M256" s="24">
        <f t="shared" si="21"/>
        <v>1292.8688999999999</v>
      </c>
      <c r="N256" s="36">
        <f t="shared" si="22"/>
        <v>0</v>
      </c>
      <c r="O256" s="34">
        <f>IF(ISBLANK(A256),"",SUMIFS(I$3:I256,D$3:D256,D256,H$3:H256,"Buy")+SUMIFS(I$3:I256,D$3:D256,D256,H$3:H256,"Cash Deposit")+SUMIFS(I$3:I256,D$3:D256,D256,H$3:H256,"Crypto Deposit")+SUMIFS(I$3:I256,D$3:D256,D256,H$3:H256,"Airdrop/Rewards")-SUMIFS(I$3:I256,D$3:D256,D256,H$3:H256,"Sell"))</f>
        <v>3921.21</v>
      </c>
      <c r="P256" s="2" cm="1">
        <f t="array" ref="P256">IF(ISBLANK(A256),"",IFERROR(IF(OR(H256="Sell",F256="Stable Coin"),INDEX(_xlfn._xlws.FILTER(P$2:P255, D$2:D255=D256),COUNT(_xlfn._xlws.FILTER(P$2:P255, D$2:D255=D256))),(INDEX(_xlfn._xlws.FILTER(P$2:P255, D$2:D255=D256),COUNT(_xlfn._xlws.FILTER(P$2:P255, D$2:D255=D256)))*INDEX(_xlfn._xlws.FILTER(O$2:O255, D$2:D255=D256),COUNT(_xlfn._xlws.FILTER(O$2:O255, D$2:D255=D256)))-N256) / O256), J256))</f>
        <v>0.41390030117162779</v>
      </c>
      <c r="Q256" s="1" t="str">
        <f t="shared" si="23"/>
        <v>USD</v>
      </c>
      <c r="R256" s="1" cm="1">
        <f t="array" ref="R256">IF(A256="", "",
    IFERROR(
        _xlfn.SWITCH(
            TRUE,
            AND(Q256="USD", $Q$2="USD"), K256,
            AND(Q256="USD", $Q$2="GBP"), K256*$Z$3,
            AND(Q256="USD", $Q$2="HKD"), K256*$Z$4,
            AND(Q256="USD", $Q$2="EUR"), K256*$Z$5,
            AND(Q256="GBP", $Q$2="GBP"), K256,
            AND(Q256="GBP", $Q$2="USD"), K256*$Z$6,
            AND(Q256="GBP", $Q$2="HKD"), K256*$Z$7,
            AND(Q256="HKG", $Q$2="HKG"), K256,
            AND(Q256="HKD", $Q$2="USD"), K256*$Z$9,
            AND(Q256="HKD", $Q$2="GBP"), K256*$Z$10,
            AND(Q256="HKD", $Q$2="EUR"), K256*$Z$11,
            AND(Q256="EUR", $Q$2="EUR"), K256,
            AND(Q256="EUR", $Q$2="USD"), K256*$Z$12,
            AND(Q256="EUR", $Q$2="GBP"), K256*$Z$13,
            AND(Q256="EUR", $Q$2="HKD"), K256*$Z$14,
        ),
        0
    )
)</f>
        <v>0</v>
      </c>
      <c r="S256" s="1" cm="1">
        <f t="array" ref="S256">IF(A256="", "",
    IFERROR(
        _xlfn.SWITCH(
            TRUE,
            AND(Q256="USD", $Q$2="USD"), M256,
            AND(Q256="USD", $Q$2="GBP"), M256*$Z$3,
            AND(Q256="USD", $Q$2="HKD"), M256*$Z$4,
            AND(Q256="USD", $Q$2="EUR"), M256*$Z$5,
            AND(Q256="GBP", $Q$2="GBP"), M256,
            AND(Q256="GBP", $Q$2="USD"), M256*$Z$6,
            AND(Q256="GBP", $Q$2="HKD"), M256*$Z$7,
            AND(Q256="GBP", $Q$2="HKD"), M256*$Z$8,
            AND(Q256="HKG", $Q$2="HKG"), M256,
            AND(Q256="HKD", $Q$2="USD"), M256*$Z$9,
            AND(Q256="HKD", $Q$2="GBP"), M256*$Z$10,
            AND(Q256="HKD", $Q$2="EUR"), M256*$Z$11,
            AND(Q256="EUR", $Q$2="EUR"), M256,
            AND(Q256="EUR", $Q$2="USD"), M256*$Z$12,
            AND(Q256="EUR", $Q$2="GBP"), M256*$Z$13,
            AND(Q256="EUR", $Q$2="HKD"), M256*$Z$14,
        ),
        0
    )
)</f>
        <v>1292.8688999999999</v>
      </c>
      <c r="T256" s="1" t="str">
        <f t="shared" si="24"/>
        <v>10</v>
      </c>
      <c r="U256" s="9" t="str">
        <f t="shared" si="25"/>
        <v>01</v>
      </c>
      <c r="V256" s="1" t="str">
        <f t="shared" si="26"/>
        <v>2024</v>
      </c>
      <c r="W256" s="18" t="str">
        <f t="shared" si="27"/>
        <v>星期三</v>
      </c>
    </row>
    <row r="257" spans="1:23">
      <c r="A257" s="17" t="s">
        <v>45</v>
      </c>
      <c r="B257" s="1" t="s">
        <v>348</v>
      </c>
      <c r="C257" s="9">
        <v>45301</v>
      </c>
      <c r="D257" s="1" t="s">
        <v>57</v>
      </c>
      <c r="E257" s="1" t="s">
        <v>43</v>
      </c>
      <c r="F257" s="1" t="s">
        <v>349</v>
      </c>
      <c r="H257" s="1" t="s">
        <v>360</v>
      </c>
      <c r="I257" s="1">
        <v>300</v>
      </c>
      <c r="J257" s="27">
        <v>1.8</v>
      </c>
      <c r="M257" s="24">
        <f t="shared" si="21"/>
        <v>540</v>
      </c>
      <c r="N257" s="36">
        <f t="shared" si="22"/>
        <v>0</v>
      </c>
      <c r="O257" s="34">
        <f>IF(ISBLANK(A257),"",SUMIFS(I$3:I257,D$3:D257,D257,H$3:H257,"Buy")+SUMIFS(I$3:I257,D$3:D257,D257,H$3:H257,"Cash Deposit")+SUMIFS(I$3:I257,D$3:D257,D257,H$3:H257,"Crypto Deposit")+SUMIFS(I$3:I257,D$3:D257,D257,H$3:H257,"Airdrop/Rewards")-SUMIFS(I$3:I257,D$3:D257,D257,H$3:H257,"Sell"))</f>
        <v>1298.7155</v>
      </c>
      <c r="P257" s="2" cm="1">
        <f t="array" ref="P257">IF(ISBLANK(A257),"",IFERROR(IF(OR(H257="Sell",F257="Stable Coin"),INDEX(_xlfn._xlws.FILTER(P$2:P256, D$2:D256=D257),COUNT(_xlfn._xlws.FILTER(P$2:P256, D$2:D256=D257))),(INDEX(_xlfn._xlws.FILTER(P$2:P256, D$2:D256=D257),COUNT(_xlfn._xlws.FILTER(P$2:P256, D$2:D256=D257)))*INDEX(_xlfn._xlws.FILTER(O$2:O256, D$2:D256=D257),COUNT(_xlfn._xlws.FILTER(O$2:O256, D$2:D256=D257)))-N257) / O257), J257))</f>
        <v>1.117</v>
      </c>
      <c r="Q257" s="1" t="str">
        <f t="shared" si="23"/>
        <v>USD</v>
      </c>
      <c r="R257" s="1" cm="1">
        <f t="array" ref="R257">IF(A257="", "",
    IFERROR(
        _xlfn.SWITCH(
            TRUE,
            AND(Q257="USD", $Q$2="USD"), K257,
            AND(Q257="USD", $Q$2="GBP"), K257*$Z$3,
            AND(Q257="USD", $Q$2="HKD"), K257*$Z$4,
            AND(Q257="USD", $Q$2="EUR"), K257*$Z$5,
            AND(Q257="GBP", $Q$2="GBP"), K257,
            AND(Q257="GBP", $Q$2="USD"), K257*$Z$6,
            AND(Q257="GBP", $Q$2="HKD"), K257*$Z$7,
            AND(Q257="HKG", $Q$2="HKG"), K257,
            AND(Q257="HKD", $Q$2="USD"), K257*$Z$9,
            AND(Q257="HKD", $Q$2="GBP"), K257*$Z$10,
            AND(Q257="HKD", $Q$2="EUR"), K257*$Z$11,
            AND(Q257="EUR", $Q$2="EUR"), K257,
            AND(Q257="EUR", $Q$2="USD"), K257*$Z$12,
            AND(Q257="EUR", $Q$2="GBP"), K257*$Z$13,
            AND(Q257="EUR", $Q$2="HKD"), K257*$Z$14,
        ),
        0
    )
)</f>
        <v>0</v>
      </c>
      <c r="S257" s="1" cm="1">
        <f t="array" ref="S257">IF(A257="", "",
    IFERROR(
        _xlfn.SWITCH(
            TRUE,
            AND(Q257="USD", $Q$2="USD"), M257,
            AND(Q257="USD", $Q$2="GBP"), M257*$Z$3,
            AND(Q257="USD", $Q$2="HKD"), M257*$Z$4,
            AND(Q257="USD", $Q$2="EUR"), M257*$Z$5,
            AND(Q257="GBP", $Q$2="GBP"), M257,
            AND(Q257="GBP", $Q$2="USD"), M257*$Z$6,
            AND(Q257="GBP", $Q$2="HKD"), M257*$Z$7,
            AND(Q257="GBP", $Q$2="HKD"), M257*$Z$8,
            AND(Q257="HKG", $Q$2="HKG"), M257,
            AND(Q257="HKD", $Q$2="USD"), M257*$Z$9,
            AND(Q257="HKD", $Q$2="GBP"), M257*$Z$10,
            AND(Q257="HKD", $Q$2="EUR"), M257*$Z$11,
            AND(Q257="EUR", $Q$2="EUR"), M257,
            AND(Q257="EUR", $Q$2="USD"), M257*$Z$12,
            AND(Q257="EUR", $Q$2="GBP"), M257*$Z$13,
            AND(Q257="EUR", $Q$2="HKD"), M257*$Z$14,
        ),
        0
    )
)</f>
        <v>540</v>
      </c>
      <c r="T257" s="1" t="str">
        <f t="shared" si="24"/>
        <v>10</v>
      </c>
      <c r="U257" s="9" t="str">
        <f t="shared" si="25"/>
        <v>01</v>
      </c>
      <c r="V257" s="1" t="str">
        <f t="shared" si="26"/>
        <v>2024</v>
      </c>
      <c r="W257" s="18" t="str">
        <f t="shared" si="27"/>
        <v>星期三</v>
      </c>
    </row>
    <row r="258" spans="1:23">
      <c r="A258" s="17" t="s">
        <v>45</v>
      </c>
      <c r="B258" s="1" t="s">
        <v>348</v>
      </c>
      <c r="C258" s="9">
        <v>45301</v>
      </c>
      <c r="D258" s="1" t="s">
        <v>57</v>
      </c>
      <c r="E258" s="1" t="s">
        <v>43</v>
      </c>
      <c r="F258" s="1" t="s">
        <v>349</v>
      </c>
      <c r="H258" s="1" t="s">
        <v>367</v>
      </c>
      <c r="I258" s="1">
        <v>250</v>
      </c>
      <c r="J258" s="27">
        <v>1.8640000000000001</v>
      </c>
      <c r="M258" s="24">
        <f t="shared" si="21"/>
        <v>466</v>
      </c>
      <c r="N258" s="36">
        <f t="shared" si="22"/>
        <v>466</v>
      </c>
      <c r="O258" s="34">
        <f>IF(ISBLANK(A258),"",SUMIFS(I$3:I258,D$3:D258,D258,H$3:H258,"Buy")+SUMIFS(I$3:I258,D$3:D258,D258,H$3:H258,"Cash Deposit")+SUMIFS(I$3:I258,D$3:D258,D258,H$3:H258,"Crypto Deposit")+SUMIFS(I$3:I258,D$3:D258,D258,H$3:H258,"Airdrop/Rewards")-SUMIFS(I$3:I258,D$3:D258,D258,H$3:H258,"Sell"))</f>
        <v>1048.7155</v>
      </c>
      <c r="P258" s="2" cm="1">
        <f t="array" ref="P258">IF(ISBLANK(A258),"",IFERROR(IF(OR(H258="Sell",F258="Stable Coin"),INDEX(_xlfn._xlws.FILTER(P$2:P257, D$2:D257=D258),COUNT(_xlfn._xlws.FILTER(P$2:P257, D$2:D257=D258))),(INDEX(_xlfn._xlws.FILTER(P$2:P257, D$2:D257=D258),COUNT(_xlfn._xlws.FILTER(P$2:P257, D$2:D257=D258)))*INDEX(_xlfn._xlws.FILTER(O$2:O257, D$2:D257=D258),COUNT(_xlfn._xlws.FILTER(O$2:O257, D$2:D257=D258)))-N258) / O258), J258))</f>
        <v>1.117</v>
      </c>
      <c r="Q258" s="1" t="str">
        <f t="shared" si="23"/>
        <v>USD</v>
      </c>
      <c r="R258" s="1" cm="1">
        <f t="array" ref="R258">IF(A258="", "",
    IFERROR(
        _xlfn.SWITCH(
            TRUE,
            AND(Q258="USD", $Q$2="USD"), K258,
            AND(Q258="USD", $Q$2="GBP"), K258*$Z$3,
            AND(Q258="USD", $Q$2="HKD"), K258*$Z$4,
            AND(Q258="USD", $Q$2="EUR"), K258*$Z$5,
            AND(Q258="GBP", $Q$2="GBP"), K258,
            AND(Q258="GBP", $Q$2="USD"), K258*$Z$6,
            AND(Q258="GBP", $Q$2="HKD"), K258*$Z$7,
            AND(Q258="HKG", $Q$2="HKG"), K258,
            AND(Q258="HKD", $Q$2="USD"), K258*$Z$9,
            AND(Q258="HKD", $Q$2="GBP"), K258*$Z$10,
            AND(Q258="HKD", $Q$2="EUR"), K258*$Z$11,
            AND(Q258="EUR", $Q$2="EUR"), K258,
            AND(Q258="EUR", $Q$2="USD"), K258*$Z$12,
            AND(Q258="EUR", $Q$2="GBP"), K258*$Z$13,
            AND(Q258="EUR", $Q$2="HKD"), K258*$Z$14,
        ),
        0
    )
)</f>
        <v>0</v>
      </c>
      <c r="S258" s="1" cm="1">
        <f t="array" ref="S258">IF(A258="", "",
    IFERROR(
        _xlfn.SWITCH(
            TRUE,
            AND(Q258="USD", $Q$2="USD"), M258,
            AND(Q258="USD", $Q$2="GBP"), M258*$Z$3,
            AND(Q258="USD", $Q$2="HKD"), M258*$Z$4,
            AND(Q258="USD", $Q$2="EUR"), M258*$Z$5,
            AND(Q258="GBP", $Q$2="GBP"), M258,
            AND(Q258="GBP", $Q$2="USD"), M258*$Z$6,
            AND(Q258="GBP", $Q$2="HKD"), M258*$Z$7,
            AND(Q258="GBP", $Q$2="HKD"), M258*$Z$8,
            AND(Q258="HKG", $Q$2="HKG"), M258,
            AND(Q258="HKD", $Q$2="USD"), M258*$Z$9,
            AND(Q258="HKD", $Q$2="GBP"), M258*$Z$10,
            AND(Q258="HKD", $Q$2="EUR"), M258*$Z$11,
            AND(Q258="EUR", $Q$2="EUR"), M258,
            AND(Q258="EUR", $Q$2="USD"), M258*$Z$12,
            AND(Q258="EUR", $Q$2="GBP"), M258*$Z$13,
            AND(Q258="EUR", $Q$2="HKD"), M258*$Z$14,
        ),
        0
    )
)</f>
        <v>466</v>
      </c>
      <c r="T258" s="1" t="str">
        <f t="shared" si="24"/>
        <v>10</v>
      </c>
      <c r="U258" s="9" t="str">
        <f t="shared" si="25"/>
        <v>01</v>
      </c>
      <c r="V258" s="1" t="str">
        <f t="shared" si="26"/>
        <v>2024</v>
      </c>
      <c r="W258" s="18" t="str">
        <f t="shared" si="27"/>
        <v>星期三</v>
      </c>
    </row>
    <row r="259" spans="1:23">
      <c r="A259" s="17" t="s">
        <v>45</v>
      </c>
      <c r="B259" s="1" t="s">
        <v>348</v>
      </c>
      <c r="C259" s="9">
        <v>45301</v>
      </c>
      <c r="D259" s="1" t="s">
        <v>375</v>
      </c>
      <c r="E259" s="1" t="s">
        <v>375</v>
      </c>
      <c r="F259" s="1" t="s">
        <v>346</v>
      </c>
      <c r="H259" s="1" t="s">
        <v>347</v>
      </c>
      <c r="I259" s="1">
        <v>466</v>
      </c>
      <c r="J259" s="27">
        <v>1</v>
      </c>
      <c r="M259" s="24">
        <f t="shared" si="21"/>
        <v>466</v>
      </c>
      <c r="N259" s="36">
        <f t="shared" si="22"/>
        <v>-466</v>
      </c>
      <c r="O259" s="34">
        <f>IF(ISBLANK(A259),"",SUMIFS(I$3:I259,D$3:D259,D259,H$3:H259,"Buy")+SUMIFS(I$3:I259,D$3:D259,D259,H$3:H259,"Cash Deposit")+SUMIFS(I$3:I259,D$3:D259,D259,H$3:H259,"Crypto Deposit")+SUMIFS(I$3:I259,D$3:D259,D259,H$3:H259,"Airdrop/Rewards")-SUMIFS(I$3:I259,D$3:D259,D259,H$3:H259,"Sell"))</f>
        <v>466</v>
      </c>
      <c r="P259" s="2" cm="1">
        <f t="array" ref="P259">IF(ISBLANK(A259),"",IFERROR(IF(OR(H259="Sell",F259="Stable Coin"),INDEX(_xlfn._xlws.FILTER(P$2:P258, D$2:D258=D259),COUNT(_xlfn._xlws.FILTER(P$2:P258, D$2:D258=D259))),(INDEX(_xlfn._xlws.FILTER(P$2:P258, D$2:D258=D259),COUNT(_xlfn._xlws.FILTER(P$2:P258, D$2:D258=D259)))*INDEX(_xlfn._xlws.FILTER(O$2:O258, D$2:D258=D259),COUNT(_xlfn._xlws.FILTER(O$2:O258, D$2:D258=D259)))-N259) / O259), J259))</f>
        <v>1</v>
      </c>
      <c r="Q259" s="1" t="str">
        <f t="shared" si="23"/>
        <v>USD</v>
      </c>
      <c r="R259" s="1" cm="1">
        <f t="array" ref="R259">IF(A259="", "",
    IFERROR(
        _xlfn.SWITCH(
            TRUE,
            AND(Q259="USD", $Q$2="USD"), K259,
            AND(Q259="USD", $Q$2="GBP"), K259*$Z$3,
            AND(Q259="USD", $Q$2="HKD"), K259*$Z$4,
            AND(Q259="USD", $Q$2="EUR"), K259*$Z$5,
            AND(Q259="GBP", $Q$2="GBP"), K259,
            AND(Q259="GBP", $Q$2="USD"), K259*$Z$6,
            AND(Q259="GBP", $Q$2="HKD"), K259*$Z$7,
            AND(Q259="HKG", $Q$2="HKG"), K259,
            AND(Q259="HKD", $Q$2="USD"), K259*$Z$9,
            AND(Q259="HKD", $Q$2="GBP"), K259*$Z$10,
            AND(Q259="HKD", $Q$2="EUR"), K259*$Z$11,
            AND(Q259="EUR", $Q$2="EUR"), K259,
            AND(Q259="EUR", $Q$2="USD"), K259*$Z$12,
            AND(Q259="EUR", $Q$2="GBP"), K259*$Z$13,
            AND(Q259="EUR", $Q$2="HKD"), K259*$Z$14,
        ),
        0
    )
)</f>
        <v>0</v>
      </c>
      <c r="S259" s="1" cm="1">
        <f t="array" ref="S259">IF(A259="", "",
    IFERROR(
        _xlfn.SWITCH(
            TRUE,
            AND(Q259="USD", $Q$2="USD"), M259,
            AND(Q259="USD", $Q$2="GBP"), M259*$Z$3,
            AND(Q259="USD", $Q$2="HKD"), M259*$Z$4,
            AND(Q259="USD", $Q$2="EUR"), M259*$Z$5,
            AND(Q259="GBP", $Q$2="GBP"), M259,
            AND(Q259="GBP", $Q$2="USD"), M259*$Z$6,
            AND(Q259="GBP", $Q$2="HKD"), M259*$Z$7,
            AND(Q259="GBP", $Q$2="HKD"), M259*$Z$8,
            AND(Q259="HKG", $Q$2="HKG"), M259,
            AND(Q259="HKD", $Q$2="USD"), M259*$Z$9,
            AND(Q259="HKD", $Q$2="GBP"), M259*$Z$10,
            AND(Q259="HKD", $Q$2="EUR"), M259*$Z$11,
            AND(Q259="EUR", $Q$2="EUR"), M259,
            AND(Q259="EUR", $Q$2="USD"), M259*$Z$12,
            AND(Q259="EUR", $Q$2="GBP"), M259*$Z$13,
            AND(Q259="EUR", $Q$2="HKD"), M259*$Z$14,
        ),
        0
    )
)</f>
        <v>466</v>
      </c>
      <c r="T259" s="1" t="str">
        <f t="shared" si="24"/>
        <v>10</v>
      </c>
      <c r="U259" s="9" t="str">
        <f t="shared" si="25"/>
        <v>01</v>
      </c>
      <c r="V259" s="1" t="str">
        <f t="shared" si="26"/>
        <v>2024</v>
      </c>
      <c r="W259" s="18" t="str">
        <f t="shared" si="27"/>
        <v>星期三</v>
      </c>
    </row>
    <row r="260" spans="1:23">
      <c r="A260" s="17" t="s">
        <v>45</v>
      </c>
      <c r="B260" s="1" t="s">
        <v>348</v>
      </c>
      <c r="C260" s="9">
        <v>45301</v>
      </c>
      <c r="D260" s="1" t="s">
        <v>57</v>
      </c>
      <c r="E260" s="1" t="s">
        <v>43</v>
      </c>
      <c r="F260" s="1" t="s">
        <v>349</v>
      </c>
      <c r="H260" s="1" t="s">
        <v>367</v>
      </c>
      <c r="I260" s="1">
        <v>185</v>
      </c>
      <c r="J260" s="27">
        <v>1.6</v>
      </c>
      <c r="M260" s="24">
        <f t="shared" ref="M260:M325" si="28">IF(ISBLANK(A260),"",IF(OR(H260="Sell", H260="Cash Withdrawal"), (I260*J260)-K260, I260*J260))</f>
        <v>296</v>
      </c>
      <c r="N260" s="36">
        <f t="shared" ref="N260:N323" si="29">IF(ISBLANK(A260),"",IF(OR(H260="Buy",H260="Cash Deposit",H260="Crypto Deposit"),-I260*J260,IF(H260="Sell",I260*J260,0)))</f>
        <v>296</v>
      </c>
      <c r="O260" s="34">
        <f>IF(ISBLANK(A260),"",SUMIFS(I$3:I260,D$3:D260,D260,H$3:H260,"Buy")+SUMIFS(I$3:I260,D$3:D260,D260,H$3:H260,"Cash Deposit")+SUMIFS(I$3:I260,D$3:D260,D260,H$3:H260,"Crypto Deposit")+SUMIFS(I$3:I260,D$3:D260,D260,H$3:H260,"Airdrop/Rewards")-SUMIFS(I$3:I260,D$3:D260,D260,H$3:H260,"Sell"))</f>
        <v>863.71550000000002</v>
      </c>
      <c r="P260" s="2" cm="1">
        <f t="array" ref="P260">IF(ISBLANK(A260),"",IFERROR(IF(OR(H260="Sell",F260="Stable Coin"),INDEX(_xlfn._xlws.FILTER(P$2:P259, D$2:D259=D260),COUNT(_xlfn._xlws.FILTER(P$2:P259, D$2:D259=D260))),(INDEX(_xlfn._xlws.FILTER(P$2:P259, D$2:D259=D260),COUNT(_xlfn._xlws.FILTER(P$2:P259, D$2:D259=D260)))*INDEX(_xlfn._xlws.FILTER(O$2:O259, D$2:D259=D260),COUNT(_xlfn._xlws.FILTER(O$2:O259, D$2:D259=D260)))-N260) / O260), J260))</f>
        <v>1.117</v>
      </c>
      <c r="Q260" s="1" t="str">
        <f t="shared" ref="Q260:Q353" si="30">B260</f>
        <v>USD</v>
      </c>
      <c r="R260" s="1" cm="1">
        <f t="array" ref="R260">IF(A260="", "",
    IFERROR(
        _xlfn.SWITCH(
            TRUE,
            AND(Q260="USD", $Q$2="USD"), K260,
            AND(Q260="USD", $Q$2="GBP"), K260*$Z$3,
            AND(Q260="USD", $Q$2="HKD"), K260*$Z$4,
            AND(Q260="USD", $Q$2="EUR"), K260*$Z$5,
            AND(Q260="GBP", $Q$2="GBP"), K260,
            AND(Q260="GBP", $Q$2="USD"), K260*$Z$6,
            AND(Q260="GBP", $Q$2="HKD"), K260*$Z$7,
            AND(Q260="HKG", $Q$2="HKG"), K260,
            AND(Q260="HKD", $Q$2="USD"), K260*$Z$9,
            AND(Q260="HKD", $Q$2="GBP"), K260*$Z$10,
            AND(Q260="HKD", $Q$2="EUR"), K260*$Z$11,
            AND(Q260="EUR", $Q$2="EUR"), K260,
            AND(Q260="EUR", $Q$2="USD"), K260*$Z$12,
            AND(Q260="EUR", $Q$2="GBP"), K260*$Z$13,
            AND(Q260="EUR", $Q$2="HKD"), K260*$Z$14,
        ),
        0
    )
)</f>
        <v>0</v>
      </c>
      <c r="S260" s="1" cm="1">
        <f t="array" ref="S260">IF(A260="", "",
    IFERROR(
        _xlfn.SWITCH(
            TRUE,
            AND(Q260="USD", $Q$2="USD"), M260,
            AND(Q260="USD", $Q$2="GBP"), M260*$Z$3,
            AND(Q260="USD", $Q$2="HKD"), M260*$Z$4,
            AND(Q260="USD", $Q$2="EUR"), M260*$Z$5,
            AND(Q260="GBP", $Q$2="GBP"), M260,
            AND(Q260="GBP", $Q$2="USD"), M260*$Z$6,
            AND(Q260="GBP", $Q$2="HKD"), M260*$Z$7,
            AND(Q260="GBP", $Q$2="HKD"), M260*$Z$8,
            AND(Q260="HKG", $Q$2="HKG"), M260,
            AND(Q260="HKD", $Q$2="USD"), M260*$Z$9,
            AND(Q260="HKD", $Q$2="GBP"), M260*$Z$10,
            AND(Q260="HKD", $Q$2="EUR"), M260*$Z$11,
            AND(Q260="EUR", $Q$2="EUR"), M260,
            AND(Q260="EUR", $Q$2="USD"), M260*$Z$12,
            AND(Q260="EUR", $Q$2="GBP"), M260*$Z$13,
            AND(Q260="EUR", $Q$2="HKD"), M260*$Z$14,
        ),
        0
    )
)</f>
        <v>296</v>
      </c>
      <c r="T260" s="1" t="str">
        <f t="shared" ref="T260:T325" si="31">IF(ISBLANK(A260),"",TEXT(C260,"D"))</f>
        <v>10</v>
      </c>
      <c r="U260" s="9" t="str">
        <f t="shared" ref="U260:U325" si="32">IF(ISBLANK(A260),"",TEXT(C260,"MM"))</f>
        <v>01</v>
      </c>
      <c r="V260" s="1" t="str">
        <f t="shared" ref="V260:V325" si="33">IF(ISBLANK(A260),"",TEXT(C260,"YYYY"))</f>
        <v>2024</v>
      </c>
      <c r="W260" s="18" t="str">
        <f t="shared" ref="W260:W325" si="34">IF(ISBLANK(A260),"",TEXT(WEEKDAY(C260,1),"dddd"))</f>
        <v>星期三</v>
      </c>
    </row>
    <row r="261" spans="1:23">
      <c r="A261" s="17" t="s">
        <v>45</v>
      </c>
      <c r="B261" s="1" t="s">
        <v>348</v>
      </c>
      <c r="C261" s="9">
        <v>45301</v>
      </c>
      <c r="D261" s="1" t="s">
        <v>310</v>
      </c>
      <c r="E261" s="1" t="s">
        <v>281</v>
      </c>
      <c r="F261" s="1" t="s">
        <v>349</v>
      </c>
      <c r="H261" s="1" t="s">
        <v>347</v>
      </c>
      <c r="I261" s="1">
        <v>846</v>
      </c>
      <c r="J261" s="27">
        <f>296/846</f>
        <v>0.34988179669030733</v>
      </c>
      <c r="M261" s="24">
        <f t="shared" si="28"/>
        <v>296</v>
      </c>
      <c r="N261" s="36">
        <f t="shared" si="29"/>
        <v>-296</v>
      </c>
      <c r="O261" s="34">
        <f>IF(ISBLANK(A261),"",SUMIFS(I$3:I261,D$3:D261,D261,H$3:H261,"Buy")+SUMIFS(I$3:I261,D$3:D261,D261,H$3:H261,"Cash Deposit")+SUMIFS(I$3:I261,D$3:D261,D261,H$3:H261,"Crypto Deposit")+SUMIFS(I$3:I261,D$3:D261,D261,H$3:H261,"Airdrop/Rewards")-SUMIFS(I$3:I261,D$3:D261,D261,H$3:H261,"Sell"))</f>
        <v>846</v>
      </c>
      <c r="P261" s="2" cm="1">
        <f t="array" ref="P261">IF(ISBLANK(A261),"",IFERROR(IF(OR(H261="Sell",F261="Stable Coin"),INDEX(_xlfn._xlws.FILTER(P$2:P260, D$2:D260=D261),COUNT(_xlfn._xlws.FILTER(P$2:P260, D$2:D260=D261))),(INDEX(_xlfn._xlws.FILTER(P$2:P260, D$2:D260=D261),COUNT(_xlfn._xlws.FILTER(P$2:P260, D$2:D260=D261)))*INDEX(_xlfn._xlws.FILTER(O$2:O260, D$2:D260=D261),COUNT(_xlfn._xlws.FILTER(O$2:O260, D$2:D260=D261)))-N261) / O261), J261))</f>
        <v>0.34988179669030733</v>
      </c>
      <c r="Q261" s="1" t="str">
        <f t="shared" si="30"/>
        <v>USD</v>
      </c>
      <c r="R261" s="1" cm="1">
        <f t="array" ref="R261">IF(A261="", "",
    IFERROR(
        _xlfn.SWITCH(
            TRUE,
            AND(Q261="USD", $Q$2="USD"), K261,
            AND(Q261="USD", $Q$2="GBP"), K261*$Z$3,
            AND(Q261="USD", $Q$2="HKD"), K261*$Z$4,
            AND(Q261="USD", $Q$2="EUR"), K261*$Z$5,
            AND(Q261="GBP", $Q$2="GBP"), K261,
            AND(Q261="GBP", $Q$2="USD"), K261*$Z$6,
            AND(Q261="GBP", $Q$2="HKD"), K261*$Z$7,
            AND(Q261="HKG", $Q$2="HKG"), K261,
            AND(Q261="HKD", $Q$2="USD"), K261*$Z$9,
            AND(Q261="HKD", $Q$2="GBP"), K261*$Z$10,
            AND(Q261="HKD", $Q$2="EUR"), K261*$Z$11,
            AND(Q261="EUR", $Q$2="EUR"), K261,
            AND(Q261="EUR", $Q$2="USD"), K261*$Z$12,
            AND(Q261="EUR", $Q$2="GBP"), K261*$Z$13,
            AND(Q261="EUR", $Q$2="HKD"), K261*$Z$14,
        ),
        0
    )
)</f>
        <v>0</v>
      </c>
      <c r="S261" s="1" cm="1">
        <f t="array" ref="S261">IF(A261="", "",
    IFERROR(
        _xlfn.SWITCH(
            TRUE,
            AND(Q261="USD", $Q$2="USD"), M261,
            AND(Q261="USD", $Q$2="GBP"), M261*$Z$3,
            AND(Q261="USD", $Q$2="HKD"), M261*$Z$4,
            AND(Q261="USD", $Q$2="EUR"), M261*$Z$5,
            AND(Q261="GBP", $Q$2="GBP"), M261,
            AND(Q261="GBP", $Q$2="USD"), M261*$Z$6,
            AND(Q261="GBP", $Q$2="HKD"), M261*$Z$7,
            AND(Q261="GBP", $Q$2="HKD"), M261*$Z$8,
            AND(Q261="HKG", $Q$2="HKG"), M261,
            AND(Q261="HKD", $Q$2="USD"), M261*$Z$9,
            AND(Q261="HKD", $Q$2="GBP"), M261*$Z$10,
            AND(Q261="HKD", $Q$2="EUR"), M261*$Z$11,
            AND(Q261="EUR", $Q$2="EUR"), M261,
            AND(Q261="EUR", $Q$2="USD"), M261*$Z$12,
            AND(Q261="EUR", $Q$2="GBP"), M261*$Z$13,
            AND(Q261="EUR", $Q$2="HKD"), M261*$Z$14,
        ),
        0
    )
)</f>
        <v>296</v>
      </c>
      <c r="T261" s="1" t="str">
        <f t="shared" si="31"/>
        <v>10</v>
      </c>
      <c r="U261" s="9" t="str">
        <f t="shared" si="32"/>
        <v>01</v>
      </c>
      <c r="V261" s="1" t="str">
        <f t="shared" si="33"/>
        <v>2024</v>
      </c>
      <c r="W261" s="18" t="str">
        <f t="shared" si="34"/>
        <v>星期三</v>
      </c>
    </row>
    <row r="262" spans="1:23">
      <c r="A262" s="17" t="s">
        <v>399</v>
      </c>
      <c r="B262" s="1" t="s">
        <v>348</v>
      </c>
      <c r="C262" s="9">
        <v>45301</v>
      </c>
      <c r="D262" s="1" t="e" vm="15">
        <v>#VALUE!</v>
      </c>
      <c r="E262" s="1" t="s">
        <v>410</v>
      </c>
      <c r="F262" s="1" t="s">
        <v>411</v>
      </c>
      <c r="H262" s="1" t="s">
        <v>414</v>
      </c>
      <c r="I262" s="1">
        <v>1</v>
      </c>
      <c r="J262" s="27">
        <v>11.61</v>
      </c>
      <c r="K262" s="1">
        <v>3.48</v>
      </c>
      <c r="M262" s="24">
        <f t="shared" si="28"/>
        <v>11.61</v>
      </c>
      <c r="N262" s="36">
        <f t="shared" si="29"/>
        <v>0</v>
      </c>
      <c r="O262" s="34">
        <f>IF(ISBLANK(A262),"",SUMIFS(I$3:I262,D$3:D262,D262,H$3:H262,"Buy")+SUMIFS(I$3:I262,D$3:D262,D262,H$3:H262,"Cash Deposit")+SUMIFS(I$3:I262,D$3:D262,D262,H$3:H262,"Crypto Deposit")+SUMIFS(I$3:I262,D$3:D262,D262,H$3:H262,"Airdrop/Rewards")-SUMIFS(I$3:I262,D$3:D262,D262,H$3:H262,"Sell"))</f>
        <v>70</v>
      </c>
      <c r="P262" s="2" cm="1">
        <f t="array" ref="P262">IF(ISBLANK(A262),"",IFERROR(IF(OR(H262="Sell",F262="Stable Coin"),INDEX(_xlfn._xlws.FILTER(P$2:P261, D$2:D261=D262),COUNT(_xlfn._xlws.FILTER(P$2:P261, D$2:D261=D262))),(INDEX(_xlfn._xlws.FILTER(P$2:P261, D$2:D261=D262),COUNT(_xlfn._xlws.FILTER(P$2:P261, D$2:D261=D262)))*INDEX(_xlfn._xlws.FILTER(O$2:O261, D$2:D261=D262),COUNT(_xlfn._xlws.FILTER(O$2:O261, D$2:D261=D262)))-N262) / O262), J262))</f>
        <v>16.775714285714287</v>
      </c>
      <c r="Q262" s="1" t="str">
        <f t="shared" si="30"/>
        <v>USD</v>
      </c>
      <c r="R262" s="1" cm="1">
        <f t="array" ref="R262">IF(A262="", "",
    IFERROR(
        _xlfn.SWITCH(
            TRUE,
            AND(Q262="USD", $Q$2="USD"), K262,
            AND(Q262="USD", $Q$2="GBP"), K262*$Z$3,
            AND(Q262="USD", $Q$2="HKD"), K262*$Z$4,
            AND(Q262="USD", $Q$2="EUR"), K262*$Z$5,
            AND(Q262="GBP", $Q$2="GBP"), K262,
            AND(Q262="GBP", $Q$2="USD"), K262*$Z$6,
            AND(Q262="GBP", $Q$2="HKD"), K262*$Z$7,
            AND(Q262="HKG", $Q$2="HKG"), K262,
            AND(Q262="HKD", $Q$2="USD"), K262*$Z$9,
            AND(Q262="HKD", $Q$2="GBP"), K262*$Z$10,
            AND(Q262="HKD", $Q$2="EUR"), K262*$Z$11,
            AND(Q262="EUR", $Q$2="EUR"), K262,
            AND(Q262="EUR", $Q$2="USD"), K262*$Z$12,
            AND(Q262="EUR", $Q$2="GBP"), K262*$Z$13,
            AND(Q262="EUR", $Q$2="HKD"), K262*$Z$14,
        ),
        0
    )
)</f>
        <v>3.48</v>
      </c>
      <c r="S262" s="1" cm="1">
        <f t="array" ref="S262">IF(A262="", "",
    IFERROR(
        _xlfn.SWITCH(
            TRUE,
            AND(Q262="USD", $Q$2="USD"), M262,
            AND(Q262="USD", $Q$2="GBP"), M262*$Z$3,
            AND(Q262="USD", $Q$2="HKD"), M262*$Z$4,
            AND(Q262="USD", $Q$2="EUR"), M262*$Z$5,
            AND(Q262="GBP", $Q$2="GBP"), M262,
            AND(Q262="GBP", $Q$2="USD"), M262*$Z$6,
            AND(Q262="GBP", $Q$2="HKD"), M262*$Z$7,
            AND(Q262="GBP", $Q$2="HKD"), M262*$Z$8,
            AND(Q262="HKG", $Q$2="HKG"), M262,
            AND(Q262="HKD", $Q$2="USD"), M262*$Z$9,
            AND(Q262="HKD", $Q$2="GBP"), M262*$Z$10,
            AND(Q262="HKD", $Q$2="EUR"), M262*$Z$11,
            AND(Q262="EUR", $Q$2="EUR"), M262,
            AND(Q262="EUR", $Q$2="USD"), M262*$Z$12,
            AND(Q262="EUR", $Q$2="GBP"), M262*$Z$13,
            AND(Q262="EUR", $Q$2="HKD"), M262*$Z$14,
        ),
        0
    )
)</f>
        <v>11.61</v>
      </c>
      <c r="T262" s="1" t="str">
        <f t="shared" si="31"/>
        <v>10</v>
      </c>
      <c r="U262" s="9" t="str">
        <f t="shared" si="32"/>
        <v>01</v>
      </c>
      <c r="V262" s="1" t="str">
        <f t="shared" si="33"/>
        <v>2024</v>
      </c>
      <c r="W262" s="18" t="str">
        <f t="shared" si="34"/>
        <v>星期三</v>
      </c>
    </row>
    <row r="263" spans="1:23">
      <c r="A263" s="17" t="s">
        <v>399</v>
      </c>
      <c r="B263" s="1" t="s">
        <v>348</v>
      </c>
      <c r="C263" s="9">
        <v>45301</v>
      </c>
      <c r="D263" s="1" t="e" vm="25">
        <v>#VALUE!</v>
      </c>
      <c r="E263" s="1" t="s">
        <v>404</v>
      </c>
      <c r="F263" s="1" t="s">
        <v>401</v>
      </c>
      <c r="H263" s="1" t="s">
        <v>347</v>
      </c>
      <c r="I263" s="1">
        <v>30</v>
      </c>
      <c r="J263" s="27">
        <v>9.8000000000000007</v>
      </c>
      <c r="K263" s="1">
        <v>2.08</v>
      </c>
      <c r="M263" s="24">
        <f t="shared" si="28"/>
        <v>294</v>
      </c>
      <c r="N263" s="36">
        <f t="shared" si="29"/>
        <v>-294</v>
      </c>
      <c r="O263" s="34">
        <f>IF(ISBLANK(A263),"",SUMIFS(I$3:I263,D$3:D263,D263,H$3:H263,"Buy")+SUMIFS(I$3:I263,D$3:D263,D263,H$3:H263,"Cash Deposit")+SUMIFS(I$3:I263,D$3:D263,D263,H$3:H263,"Crypto Deposit")+SUMIFS(I$3:I263,D$3:D263,D263,H$3:H263,"Airdrop/Rewards")-SUMIFS(I$3:I263,D$3:D263,D263,H$3:H263,"Sell"))</f>
        <v>30</v>
      </c>
      <c r="P263" s="2" cm="1">
        <f t="array" ref="P263">IF(ISBLANK(A263),"",IFERROR(IF(OR(H263="Sell",F263="Stable Coin"),INDEX(_xlfn._xlws.FILTER(P$2:P262, D$2:D262=D263),COUNT(_xlfn._xlws.FILTER(P$2:P262, D$2:D262=D263))),(INDEX(_xlfn._xlws.FILTER(P$2:P262, D$2:D262=D263),COUNT(_xlfn._xlws.FILTER(P$2:P262, D$2:D262=D263)))*INDEX(_xlfn._xlws.FILTER(O$2:O262, D$2:D262=D263),COUNT(_xlfn._xlws.FILTER(O$2:O262, D$2:D262=D263)))-N263) / O263), J263))</f>
        <v>9.8000000000000007</v>
      </c>
      <c r="Q263" s="1" t="str">
        <f t="shared" si="30"/>
        <v>USD</v>
      </c>
      <c r="R263" s="1" cm="1">
        <f t="array" ref="R263">IF(A263="", "",
    IFERROR(
        _xlfn.SWITCH(
            TRUE,
            AND(Q263="USD", $Q$2="USD"), K263,
            AND(Q263="USD", $Q$2="GBP"), K263*$Z$3,
            AND(Q263="USD", $Q$2="HKD"), K263*$Z$4,
            AND(Q263="USD", $Q$2="EUR"), K263*$Z$5,
            AND(Q263="GBP", $Q$2="GBP"), K263,
            AND(Q263="GBP", $Q$2="USD"), K263*$Z$6,
            AND(Q263="GBP", $Q$2="HKD"), K263*$Z$7,
            AND(Q263="HKG", $Q$2="HKG"), K263,
            AND(Q263="HKD", $Q$2="USD"), K263*$Z$9,
            AND(Q263="HKD", $Q$2="GBP"), K263*$Z$10,
            AND(Q263="HKD", $Q$2="EUR"), K263*$Z$11,
            AND(Q263="EUR", $Q$2="EUR"), K263,
            AND(Q263="EUR", $Q$2="USD"), K263*$Z$12,
            AND(Q263="EUR", $Q$2="GBP"), K263*$Z$13,
            AND(Q263="EUR", $Q$2="HKD"), K263*$Z$14,
        ),
        0
    )
)</f>
        <v>2.08</v>
      </c>
      <c r="S263" s="1" cm="1">
        <f t="array" ref="S263">IF(A263="", "",
    IFERROR(
        _xlfn.SWITCH(
            TRUE,
            AND(Q263="USD", $Q$2="USD"), M263,
            AND(Q263="USD", $Q$2="GBP"), M263*$Z$3,
            AND(Q263="USD", $Q$2="HKD"), M263*$Z$4,
            AND(Q263="USD", $Q$2="EUR"), M263*$Z$5,
            AND(Q263="GBP", $Q$2="GBP"), M263,
            AND(Q263="GBP", $Q$2="USD"), M263*$Z$6,
            AND(Q263="GBP", $Q$2="HKD"), M263*$Z$7,
            AND(Q263="GBP", $Q$2="HKD"), M263*$Z$8,
            AND(Q263="HKG", $Q$2="HKG"), M263,
            AND(Q263="HKD", $Q$2="USD"), M263*$Z$9,
            AND(Q263="HKD", $Q$2="GBP"), M263*$Z$10,
            AND(Q263="HKD", $Q$2="EUR"), M263*$Z$11,
            AND(Q263="EUR", $Q$2="EUR"), M263,
            AND(Q263="EUR", $Q$2="USD"), M263*$Z$12,
            AND(Q263="EUR", $Q$2="GBP"), M263*$Z$13,
            AND(Q263="EUR", $Q$2="HKD"), M263*$Z$14,
        ),
        0
    )
)</f>
        <v>294</v>
      </c>
      <c r="T263" s="1" t="str">
        <f t="shared" si="31"/>
        <v>10</v>
      </c>
      <c r="U263" s="9" t="str">
        <f t="shared" si="32"/>
        <v>01</v>
      </c>
      <c r="V263" s="1" t="str">
        <f t="shared" si="33"/>
        <v>2024</v>
      </c>
      <c r="W263" s="18" t="str">
        <f t="shared" si="34"/>
        <v>星期三</v>
      </c>
    </row>
    <row r="264" spans="1:23">
      <c r="A264" s="17" t="s">
        <v>399</v>
      </c>
      <c r="B264" s="1" t="s">
        <v>348</v>
      </c>
      <c r="C264" s="9">
        <v>45301</v>
      </c>
      <c r="D264" s="1" t="e" vm="17">
        <v>#VALUE!</v>
      </c>
      <c r="E264" s="1" t="s">
        <v>32</v>
      </c>
      <c r="F264" s="1" t="s">
        <v>401</v>
      </c>
      <c r="H264" s="1" t="s">
        <v>347</v>
      </c>
      <c r="I264" s="1">
        <v>4</v>
      </c>
      <c r="J264" s="27">
        <v>144</v>
      </c>
      <c r="K264" s="1">
        <v>2</v>
      </c>
      <c r="M264" s="24">
        <f t="shared" si="28"/>
        <v>576</v>
      </c>
      <c r="N264" s="36">
        <f t="shared" si="29"/>
        <v>-576</v>
      </c>
      <c r="O264" s="34">
        <f>IF(ISBLANK(A264),"",SUMIFS(I$3:I264,D$3:D264,D264,H$3:H264,"Buy")+SUMIFS(I$3:I264,D$3:D264,D264,H$3:H264,"Cash Deposit")+SUMIFS(I$3:I264,D$3:D264,D264,H$3:H264,"Crypto Deposit")+SUMIFS(I$3:I264,D$3:D264,D264,H$3:H264,"Airdrop/Rewards")-SUMIFS(I$3:I264,D$3:D264,D264,H$3:H264,"Sell"))</f>
        <v>80</v>
      </c>
      <c r="P264" s="2" cm="1">
        <f t="array" ref="P264">IF(ISBLANK(A264),"",IFERROR(IF(OR(H264="Sell",F264="Stable Coin"),INDEX(_xlfn._xlws.FILTER(P$2:P263, D$2:D263=D264),COUNT(_xlfn._xlws.FILTER(P$2:P263, D$2:D263=D264))),(INDEX(_xlfn._xlws.FILTER(P$2:P263, D$2:D263=D264),COUNT(_xlfn._xlws.FILTER(P$2:P263, D$2:D263=D264)))*INDEX(_xlfn._xlws.FILTER(O$2:O263, D$2:D263=D264),COUNT(_xlfn._xlws.FILTER(O$2:O263, D$2:D263=D264)))-N264) / O264), J264))</f>
        <v>78.824327963752651</v>
      </c>
      <c r="Q264" s="1" t="str">
        <f t="shared" si="30"/>
        <v>USD</v>
      </c>
      <c r="R264" s="1" cm="1">
        <f t="array" ref="R264">IF(A264="", "",
    IFERROR(
        _xlfn.SWITCH(
            TRUE,
            AND(Q264="USD", $Q$2="USD"), K264,
            AND(Q264="USD", $Q$2="GBP"), K264*$Z$3,
            AND(Q264="USD", $Q$2="HKD"), K264*$Z$4,
            AND(Q264="USD", $Q$2="EUR"), K264*$Z$5,
            AND(Q264="GBP", $Q$2="GBP"), K264,
            AND(Q264="GBP", $Q$2="USD"), K264*$Z$6,
            AND(Q264="GBP", $Q$2="HKD"), K264*$Z$7,
            AND(Q264="HKG", $Q$2="HKG"), K264,
            AND(Q264="HKD", $Q$2="USD"), K264*$Z$9,
            AND(Q264="HKD", $Q$2="GBP"), K264*$Z$10,
            AND(Q264="HKD", $Q$2="EUR"), K264*$Z$11,
            AND(Q264="EUR", $Q$2="EUR"), K264,
            AND(Q264="EUR", $Q$2="USD"), K264*$Z$12,
            AND(Q264="EUR", $Q$2="GBP"), K264*$Z$13,
            AND(Q264="EUR", $Q$2="HKD"), K264*$Z$14,
        ),
        0
    )
)</f>
        <v>2</v>
      </c>
      <c r="S264" s="1" cm="1">
        <f t="array" ref="S264">IF(A264="", "",
    IFERROR(
        _xlfn.SWITCH(
            TRUE,
            AND(Q264="USD", $Q$2="USD"), M264,
            AND(Q264="USD", $Q$2="GBP"), M264*$Z$3,
            AND(Q264="USD", $Q$2="HKD"), M264*$Z$4,
            AND(Q264="USD", $Q$2="EUR"), M264*$Z$5,
            AND(Q264="GBP", $Q$2="GBP"), M264,
            AND(Q264="GBP", $Q$2="USD"), M264*$Z$6,
            AND(Q264="GBP", $Q$2="HKD"), M264*$Z$7,
            AND(Q264="GBP", $Q$2="HKD"), M264*$Z$8,
            AND(Q264="HKG", $Q$2="HKG"), M264,
            AND(Q264="HKD", $Q$2="USD"), M264*$Z$9,
            AND(Q264="HKD", $Q$2="GBP"), M264*$Z$10,
            AND(Q264="HKD", $Q$2="EUR"), M264*$Z$11,
            AND(Q264="EUR", $Q$2="EUR"), M264,
            AND(Q264="EUR", $Q$2="USD"), M264*$Z$12,
            AND(Q264="EUR", $Q$2="GBP"), M264*$Z$13,
            AND(Q264="EUR", $Q$2="HKD"), M264*$Z$14,
        ),
        0
    )
)</f>
        <v>576</v>
      </c>
      <c r="T264" s="1" t="str">
        <f t="shared" si="31"/>
        <v>10</v>
      </c>
      <c r="U264" s="9" t="str">
        <f t="shared" si="32"/>
        <v>01</v>
      </c>
      <c r="V264" s="1" t="str">
        <f t="shared" si="33"/>
        <v>2024</v>
      </c>
      <c r="W264" s="18" t="str">
        <f t="shared" si="34"/>
        <v>星期三</v>
      </c>
    </row>
    <row r="265" spans="1:23">
      <c r="A265" s="17" t="s">
        <v>399</v>
      </c>
      <c r="B265" s="1" t="s">
        <v>348</v>
      </c>
      <c r="C265" s="9">
        <v>45302</v>
      </c>
      <c r="D265" s="1" t="e" vm="18">
        <v>#VALUE!</v>
      </c>
      <c r="E265" s="1" t="s">
        <v>400</v>
      </c>
      <c r="F265" s="1" t="s">
        <v>401</v>
      </c>
      <c r="H265" s="1" t="s">
        <v>347</v>
      </c>
      <c r="I265" s="1">
        <v>5</v>
      </c>
      <c r="J265" s="27">
        <v>68.7</v>
      </c>
      <c r="K265" s="1">
        <v>2.0099999999999998</v>
      </c>
      <c r="M265" s="24">
        <f t="shared" si="28"/>
        <v>343.5</v>
      </c>
      <c r="N265" s="36">
        <f t="shared" si="29"/>
        <v>-343.5</v>
      </c>
      <c r="O265" s="34">
        <f>IF(ISBLANK(A265),"",SUMIFS(I$3:I265,D$3:D265,D265,H$3:H265,"Buy")+SUMIFS(I$3:I265,D$3:D265,D265,H$3:H265,"Cash Deposit")+SUMIFS(I$3:I265,D$3:D265,D265,H$3:H265,"Crypto Deposit")+SUMIFS(I$3:I265,D$3:D265,D265,H$3:H265,"Airdrop/Rewards")-SUMIFS(I$3:I265,D$3:D265,D265,H$3:H265,"Sell"))</f>
        <v>20</v>
      </c>
      <c r="P265" s="2" cm="1">
        <f t="array" ref="P265">IF(ISBLANK(A265),"",IFERROR(IF(OR(H265="Sell",F265="Stable Coin"),INDEX(_xlfn._xlws.FILTER(P$2:P264, D$2:D264=D265),COUNT(_xlfn._xlws.FILTER(P$2:P264, D$2:D264=D265))),(INDEX(_xlfn._xlws.FILTER(P$2:P264, D$2:D264=D265),COUNT(_xlfn._xlws.FILTER(P$2:P264, D$2:D264=D265)))*INDEX(_xlfn._xlws.FILTER(O$2:O264, D$2:D264=D265),COUNT(_xlfn._xlws.FILTER(O$2:O264, D$2:D264=D265)))-N265) / O265), J265))</f>
        <v>68.128</v>
      </c>
      <c r="Q265" s="1" t="str">
        <f t="shared" si="30"/>
        <v>USD</v>
      </c>
      <c r="R265" s="1" cm="1">
        <f t="array" ref="R265">IF(A265="", "",
    IFERROR(
        _xlfn.SWITCH(
            TRUE,
            AND(Q265="USD", $Q$2="USD"), K265,
            AND(Q265="USD", $Q$2="GBP"), K265*$Z$3,
            AND(Q265="USD", $Q$2="HKD"), K265*$Z$4,
            AND(Q265="USD", $Q$2="EUR"), K265*$Z$5,
            AND(Q265="GBP", $Q$2="GBP"), K265,
            AND(Q265="GBP", $Q$2="USD"), K265*$Z$6,
            AND(Q265="GBP", $Q$2="HKD"), K265*$Z$7,
            AND(Q265="HKG", $Q$2="HKG"), K265,
            AND(Q265="HKD", $Q$2="USD"), K265*$Z$9,
            AND(Q265="HKD", $Q$2="GBP"), K265*$Z$10,
            AND(Q265="HKD", $Q$2="EUR"), K265*$Z$11,
            AND(Q265="EUR", $Q$2="EUR"), K265,
            AND(Q265="EUR", $Q$2="USD"), K265*$Z$12,
            AND(Q265="EUR", $Q$2="GBP"), K265*$Z$13,
            AND(Q265="EUR", $Q$2="HKD"), K265*$Z$14,
        ),
        0
    )
)</f>
        <v>2.0099999999999998</v>
      </c>
      <c r="S265" s="1" cm="1">
        <f t="array" ref="S265">IF(A265="", "",
    IFERROR(
        _xlfn.SWITCH(
            TRUE,
            AND(Q265="USD", $Q$2="USD"), M265,
            AND(Q265="USD", $Q$2="GBP"), M265*$Z$3,
            AND(Q265="USD", $Q$2="HKD"), M265*$Z$4,
            AND(Q265="USD", $Q$2="EUR"), M265*$Z$5,
            AND(Q265="GBP", $Q$2="GBP"), M265,
            AND(Q265="GBP", $Q$2="USD"), M265*$Z$6,
            AND(Q265="GBP", $Q$2="HKD"), M265*$Z$7,
            AND(Q265="GBP", $Q$2="HKD"), M265*$Z$8,
            AND(Q265="HKG", $Q$2="HKG"), M265,
            AND(Q265="HKD", $Q$2="USD"), M265*$Z$9,
            AND(Q265="HKD", $Q$2="GBP"), M265*$Z$10,
            AND(Q265="HKD", $Q$2="EUR"), M265*$Z$11,
            AND(Q265="EUR", $Q$2="EUR"), M265,
            AND(Q265="EUR", $Q$2="USD"), M265*$Z$12,
            AND(Q265="EUR", $Q$2="GBP"), M265*$Z$13,
            AND(Q265="EUR", $Q$2="HKD"), M265*$Z$14,
        ),
        0
    )
)</f>
        <v>343.5</v>
      </c>
      <c r="T265" s="1" t="str">
        <f t="shared" si="31"/>
        <v>11</v>
      </c>
      <c r="U265" s="9" t="str">
        <f t="shared" si="32"/>
        <v>01</v>
      </c>
      <c r="V265" s="1" t="str">
        <f t="shared" si="33"/>
        <v>2024</v>
      </c>
      <c r="W265" s="18" t="str">
        <f t="shared" si="34"/>
        <v>星期四</v>
      </c>
    </row>
    <row r="266" spans="1:23">
      <c r="A266" s="17" t="s">
        <v>399</v>
      </c>
      <c r="B266" s="1" t="s">
        <v>348</v>
      </c>
      <c r="C266" s="9">
        <v>45303</v>
      </c>
      <c r="D266" s="1" t="e" vm="20">
        <v>#VALUE!</v>
      </c>
      <c r="E266" s="1" t="s">
        <v>402</v>
      </c>
      <c r="F266" s="1" t="s">
        <v>401</v>
      </c>
      <c r="H266" s="1" t="s">
        <v>347</v>
      </c>
      <c r="I266" s="1">
        <v>20</v>
      </c>
      <c r="J266" s="27">
        <v>19.329999999999998</v>
      </c>
      <c r="K266" s="1">
        <v>2.0499999999999998</v>
      </c>
      <c r="M266" s="24">
        <f t="shared" si="28"/>
        <v>386.59999999999997</v>
      </c>
      <c r="N266" s="36">
        <f t="shared" si="29"/>
        <v>-386.59999999999997</v>
      </c>
      <c r="O266" s="34">
        <f>IF(ISBLANK(A266),"",SUMIFS(I$3:I266,D$3:D266,D266,H$3:H266,"Buy")+SUMIFS(I$3:I266,D$3:D266,D266,H$3:H266,"Cash Deposit")+SUMIFS(I$3:I266,D$3:D266,D266,H$3:H266,"Crypto Deposit")+SUMIFS(I$3:I266,D$3:D266,D266,H$3:H266,"Airdrop/Rewards")-SUMIFS(I$3:I266,D$3:D266,D266,H$3:H266,"Sell"))</f>
        <v>195</v>
      </c>
      <c r="P266" s="2" cm="1">
        <f t="array" ref="P266">IF(ISBLANK(A266),"",IFERROR(IF(OR(H266="Sell",F266="Stable Coin"),INDEX(_xlfn._xlws.FILTER(P$2:P265, D$2:D265=D266),COUNT(_xlfn._xlws.FILTER(P$2:P265, D$2:D265=D266))),(INDEX(_xlfn._xlws.FILTER(P$2:P265, D$2:D265=D266),COUNT(_xlfn._xlws.FILTER(P$2:P265, D$2:D265=D266)))*INDEX(_xlfn._xlws.FILTER(O$2:O265, D$2:D265=D266),COUNT(_xlfn._xlws.FILTER(O$2:O265, D$2:D265=D266)))-N266) / O266), J266))</f>
        <v>10.193537777777779</v>
      </c>
      <c r="Q266" s="1" t="str">
        <f t="shared" si="30"/>
        <v>USD</v>
      </c>
      <c r="R266" s="1" cm="1">
        <f t="array" ref="R266">IF(A266="", "",
    IFERROR(
        _xlfn.SWITCH(
            TRUE,
            AND(Q266="USD", $Q$2="USD"), K266,
            AND(Q266="USD", $Q$2="GBP"), K266*$Z$3,
            AND(Q266="USD", $Q$2="HKD"), K266*$Z$4,
            AND(Q266="USD", $Q$2="EUR"), K266*$Z$5,
            AND(Q266="GBP", $Q$2="GBP"), K266,
            AND(Q266="GBP", $Q$2="USD"), K266*$Z$6,
            AND(Q266="GBP", $Q$2="HKD"), K266*$Z$7,
            AND(Q266="HKG", $Q$2="HKG"), K266,
            AND(Q266="HKD", $Q$2="USD"), K266*$Z$9,
            AND(Q266="HKD", $Q$2="GBP"), K266*$Z$10,
            AND(Q266="HKD", $Q$2="EUR"), K266*$Z$11,
            AND(Q266="EUR", $Q$2="EUR"), K266,
            AND(Q266="EUR", $Q$2="USD"), K266*$Z$12,
            AND(Q266="EUR", $Q$2="GBP"), K266*$Z$13,
            AND(Q266="EUR", $Q$2="HKD"), K266*$Z$14,
        ),
        0
    )
)</f>
        <v>2.0499999999999998</v>
      </c>
      <c r="S266" s="1" cm="1">
        <f t="array" ref="S266">IF(A266="", "",
    IFERROR(
        _xlfn.SWITCH(
            TRUE,
            AND(Q266="USD", $Q$2="USD"), M266,
            AND(Q266="USD", $Q$2="GBP"), M266*$Z$3,
            AND(Q266="USD", $Q$2="HKD"), M266*$Z$4,
            AND(Q266="USD", $Q$2="EUR"), M266*$Z$5,
            AND(Q266="GBP", $Q$2="GBP"), M266,
            AND(Q266="GBP", $Q$2="USD"), M266*$Z$6,
            AND(Q266="GBP", $Q$2="HKD"), M266*$Z$7,
            AND(Q266="GBP", $Q$2="HKD"), M266*$Z$8,
            AND(Q266="HKG", $Q$2="HKG"), M266,
            AND(Q266="HKD", $Q$2="USD"), M266*$Z$9,
            AND(Q266="HKD", $Q$2="GBP"), M266*$Z$10,
            AND(Q266="HKD", $Q$2="EUR"), M266*$Z$11,
            AND(Q266="EUR", $Q$2="EUR"), M266,
            AND(Q266="EUR", $Q$2="USD"), M266*$Z$12,
            AND(Q266="EUR", $Q$2="GBP"), M266*$Z$13,
            AND(Q266="EUR", $Q$2="HKD"), M266*$Z$14,
        ),
        0
    )
)</f>
        <v>386.59999999999997</v>
      </c>
      <c r="T266" s="1" t="str">
        <f t="shared" si="31"/>
        <v>12</v>
      </c>
      <c r="U266" s="9" t="str">
        <f t="shared" si="32"/>
        <v>01</v>
      </c>
      <c r="V266" s="1" t="str">
        <f t="shared" si="33"/>
        <v>2024</v>
      </c>
      <c r="W266" s="18" t="str">
        <f t="shared" si="34"/>
        <v>星期五</v>
      </c>
    </row>
    <row r="267" spans="1:23">
      <c r="A267" s="17" t="s">
        <v>399</v>
      </c>
      <c r="B267" s="1" t="s">
        <v>348</v>
      </c>
      <c r="C267" s="9">
        <v>45303</v>
      </c>
      <c r="D267" s="1" t="e" vm="26">
        <v>#VALUE!</v>
      </c>
      <c r="E267" s="1" t="s">
        <v>405</v>
      </c>
      <c r="F267" s="1" t="s">
        <v>401</v>
      </c>
      <c r="H267" s="1" t="s">
        <v>347</v>
      </c>
      <c r="I267" s="1">
        <v>30</v>
      </c>
      <c r="J267" s="27">
        <v>12.68</v>
      </c>
      <c r="K267" s="1">
        <v>2.08</v>
      </c>
      <c r="M267" s="24">
        <f t="shared" si="28"/>
        <v>380.4</v>
      </c>
      <c r="N267" s="36">
        <f t="shared" si="29"/>
        <v>-380.4</v>
      </c>
      <c r="O267" s="34">
        <f>IF(ISBLANK(A267),"",SUMIFS(I$3:I267,D$3:D267,D267,H$3:H267,"Buy")+SUMIFS(I$3:I267,D$3:D267,D267,H$3:H267,"Cash Deposit")+SUMIFS(I$3:I267,D$3:D267,D267,H$3:H267,"Crypto Deposit")+SUMIFS(I$3:I267,D$3:D267,D267,H$3:H267,"Airdrop/Rewards")-SUMIFS(I$3:I267,D$3:D267,D267,H$3:H267,"Sell"))</f>
        <v>30</v>
      </c>
      <c r="P267" s="2" cm="1">
        <f t="array" ref="P267">IF(ISBLANK(A267),"",IFERROR(IF(OR(H267="Sell",F267="Stable Coin"),INDEX(_xlfn._xlws.FILTER(P$2:P266, D$2:D266=D267),COUNT(_xlfn._xlws.FILTER(P$2:P266, D$2:D266=D267))),(INDEX(_xlfn._xlws.FILTER(P$2:P266, D$2:D266=D267),COUNT(_xlfn._xlws.FILTER(P$2:P266, D$2:D266=D267)))*INDEX(_xlfn._xlws.FILTER(O$2:O266, D$2:D266=D267),COUNT(_xlfn._xlws.FILTER(O$2:O266, D$2:D266=D267)))-N267) / O267), J267))</f>
        <v>12.68</v>
      </c>
      <c r="Q267" s="1" t="str">
        <f t="shared" si="30"/>
        <v>USD</v>
      </c>
      <c r="R267" s="1" cm="1">
        <f t="array" ref="R267">IF(A267="", "",
    IFERROR(
        _xlfn.SWITCH(
            TRUE,
            AND(Q267="USD", $Q$2="USD"), K267,
            AND(Q267="USD", $Q$2="GBP"), K267*$Z$3,
            AND(Q267="USD", $Q$2="HKD"), K267*$Z$4,
            AND(Q267="USD", $Q$2="EUR"), K267*$Z$5,
            AND(Q267="GBP", $Q$2="GBP"), K267,
            AND(Q267="GBP", $Q$2="USD"), K267*$Z$6,
            AND(Q267="GBP", $Q$2="HKD"), K267*$Z$7,
            AND(Q267="HKG", $Q$2="HKG"), K267,
            AND(Q267="HKD", $Q$2="USD"), K267*$Z$9,
            AND(Q267="HKD", $Q$2="GBP"), K267*$Z$10,
            AND(Q267="HKD", $Q$2="EUR"), K267*$Z$11,
            AND(Q267="EUR", $Q$2="EUR"), K267,
            AND(Q267="EUR", $Q$2="USD"), K267*$Z$12,
            AND(Q267="EUR", $Q$2="GBP"), K267*$Z$13,
            AND(Q267="EUR", $Q$2="HKD"), K267*$Z$14,
        ),
        0
    )
)</f>
        <v>2.08</v>
      </c>
      <c r="S267" s="1" cm="1">
        <f t="array" ref="S267">IF(A267="", "",
    IFERROR(
        _xlfn.SWITCH(
            TRUE,
            AND(Q267="USD", $Q$2="USD"), M267,
            AND(Q267="USD", $Q$2="GBP"), M267*$Z$3,
            AND(Q267="USD", $Q$2="HKD"), M267*$Z$4,
            AND(Q267="USD", $Q$2="EUR"), M267*$Z$5,
            AND(Q267="GBP", $Q$2="GBP"), M267,
            AND(Q267="GBP", $Q$2="USD"), M267*$Z$6,
            AND(Q267="GBP", $Q$2="HKD"), M267*$Z$7,
            AND(Q267="GBP", $Q$2="HKD"), M267*$Z$8,
            AND(Q267="HKG", $Q$2="HKG"), M267,
            AND(Q267="HKD", $Q$2="USD"), M267*$Z$9,
            AND(Q267="HKD", $Q$2="GBP"), M267*$Z$10,
            AND(Q267="HKD", $Q$2="EUR"), M267*$Z$11,
            AND(Q267="EUR", $Q$2="EUR"), M267,
            AND(Q267="EUR", $Q$2="USD"), M267*$Z$12,
            AND(Q267="EUR", $Q$2="GBP"), M267*$Z$13,
            AND(Q267="EUR", $Q$2="HKD"), M267*$Z$14,
        ),
        0
    )
)</f>
        <v>380.4</v>
      </c>
      <c r="T267" s="1" t="str">
        <f t="shared" si="31"/>
        <v>12</v>
      </c>
      <c r="U267" s="9" t="str">
        <f t="shared" si="32"/>
        <v>01</v>
      </c>
      <c r="V267" s="1" t="str">
        <f t="shared" si="33"/>
        <v>2024</v>
      </c>
      <c r="W267" s="18" t="str">
        <f t="shared" si="34"/>
        <v>星期五</v>
      </c>
    </row>
    <row r="268" spans="1:23">
      <c r="A268" s="17" t="s">
        <v>399</v>
      </c>
      <c r="B268" s="1" t="s">
        <v>348</v>
      </c>
      <c r="C268" s="9">
        <v>45307</v>
      </c>
      <c r="D268" s="1" t="e" vm="17">
        <v>#VALUE!</v>
      </c>
      <c r="E268" s="1" t="s">
        <v>32</v>
      </c>
      <c r="F268" s="1" t="s">
        <v>401</v>
      </c>
      <c r="H268" s="1" t="s">
        <v>347</v>
      </c>
      <c r="I268" s="1">
        <v>4</v>
      </c>
      <c r="J268" s="27">
        <v>128.80000000000001</v>
      </c>
      <c r="K268" s="1">
        <v>2</v>
      </c>
      <c r="M268" s="24">
        <f t="shared" si="28"/>
        <v>515.20000000000005</v>
      </c>
      <c r="N268" s="36">
        <f t="shared" si="29"/>
        <v>-515.20000000000005</v>
      </c>
      <c r="O268" s="34">
        <f>IF(ISBLANK(A268),"",SUMIFS(I$3:I268,D$3:D268,D268,H$3:H268,"Buy")+SUMIFS(I$3:I268,D$3:D268,D268,H$3:H268,"Cash Deposit")+SUMIFS(I$3:I268,D$3:D268,D268,H$3:H268,"Crypto Deposit")+SUMIFS(I$3:I268,D$3:D268,D268,H$3:H268,"Airdrop/Rewards")-SUMIFS(I$3:I268,D$3:D268,D268,H$3:H268,"Sell"))</f>
        <v>84</v>
      </c>
      <c r="P268" s="2" cm="1">
        <f t="array" ref="P268">IF(ISBLANK(A268),"",IFERROR(IF(OR(H268="Sell",F268="Stable Coin"),INDEX(_xlfn._xlws.FILTER(P$2:P267, D$2:D267=D268),COUNT(_xlfn._xlws.FILTER(P$2:P267, D$2:D267=D268))),(INDEX(_xlfn._xlws.FILTER(P$2:P267, D$2:D267=D268),COUNT(_xlfn._xlws.FILTER(P$2:P267, D$2:D267=D268)))*INDEX(_xlfn._xlws.FILTER(O$2:O267, D$2:D267=D268),COUNT(_xlfn._xlws.FILTER(O$2:O267, D$2:D267=D268)))-N268) / O268), J268))</f>
        <v>81.204121870240613</v>
      </c>
      <c r="Q268" s="1" t="str">
        <f t="shared" si="30"/>
        <v>USD</v>
      </c>
      <c r="R268" s="1" cm="1">
        <f t="array" ref="R268">IF(A268="", "",
    IFERROR(
        _xlfn.SWITCH(
            TRUE,
            AND(Q268="USD", $Q$2="USD"), K268,
            AND(Q268="USD", $Q$2="GBP"), K268*$Z$3,
            AND(Q268="USD", $Q$2="HKD"), K268*$Z$4,
            AND(Q268="USD", $Q$2="EUR"), K268*$Z$5,
            AND(Q268="GBP", $Q$2="GBP"), K268,
            AND(Q268="GBP", $Q$2="USD"), K268*$Z$6,
            AND(Q268="GBP", $Q$2="HKD"), K268*$Z$7,
            AND(Q268="HKG", $Q$2="HKG"), K268,
            AND(Q268="HKD", $Q$2="USD"), K268*$Z$9,
            AND(Q268="HKD", $Q$2="GBP"), K268*$Z$10,
            AND(Q268="HKD", $Q$2="EUR"), K268*$Z$11,
            AND(Q268="EUR", $Q$2="EUR"), K268,
            AND(Q268="EUR", $Q$2="USD"), K268*$Z$12,
            AND(Q268="EUR", $Q$2="GBP"), K268*$Z$13,
            AND(Q268="EUR", $Q$2="HKD"), K268*$Z$14,
        ),
        0
    )
)</f>
        <v>2</v>
      </c>
      <c r="S268" s="1" cm="1">
        <f t="array" ref="S268">IF(A268="", "",
    IFERROR(
        _xlfn.SWITCH(
            TRUE,
            AND(Q268="USD", $Q$2="USD"), M268,
            AND(Q268="USD", $Q$2="GBP"), M268*$Z$3,
            AND(Q268="USD", $Q$2="HKD"), M268*$Z$4,
            AND(Q268="USD", $Q$2="EUR"), M268*$Z$5,
            AND(Q268="GBP", $Q$2="GBP"), M268,
            AND(Q268="GBP", $Q$2="USD"), M268*$Z$6,
            AND(Q268="GBP", $Q$2="HKD"), M268*$Z$7,
            AND(Q268="GBP", $Q$2="HKD"), M268*$Z$8,
            AND(Q268="HKG", $Q$2="HKG"), M268,
            AND(Q268="HKD", $Q$2="USD"), M268*$Z$9,
            AND(Q268="HKD", $Q$2="GBP"), M268*$Z$10,
            AND(Q268="HKD", $Q$2="EUR"), M268*$Z$11,
            AND(Q268="EUR", $Q$2="EUR"), M268,
            AND(Q268="EUR", $Q$2="USD"), M268*$Z$12,
            AND(Q268="EUR", $Q$2="GBP"), M268*$Z$13,
            AND(Q268="EUR", $Q$2="HKD"), M268*$Z$14,
        ),
        0
    )
)</f>
        <v>515.20000000000005</v>
      </c>
      <c r="T268" s="1" t="str">
        <f t="shared" si="31"/>
        <v>16</v>
      </c>
      <c r="U268" s="9" t="str">
        <f t="shared" si="32"/>
        <v>01</v>
      </c>
      <c r="V268" s="1" t="str">
        <f t="shared" si="33"/>
        <v>2024</v>
      </c>
      <c r="W268" s="18" t="str">
        <f t="shared" si="34"/>
        <v>星期二</v>
      </c>
    </row>
    <row r="269" spans="1:23">
      <c r="A269" s="17" t="s">
        <v>399</v>
      </c>
      <c r="B269" s="1" t="s">
        <v>348</v>
      </c>
      <c r="C269" s="9">
        <v>45307</v>
      </c>
      <c r="D269" s="1" t="e" vm="20">
        <v>#VALUE!</v>
      </c>
      <c r="E269" s="1" t="s">
        <v>402</v>
      </c>
      <c r="F269" s="1" t="s">
        <v>401</v>
      </c>
      <c r="H269" s="1" t="s">
        <v>347</v>
      </c>
      <c r="I269" s="1">
        <v>20</v>
      </c>
      <c r="J269" s="27">
        <v>18.329999999999998</v>
      </c>
      <c r="K269" s="1">
        <v>2.0499999999999998</v>
      </c>
      <c r="M269" s="24">
        <f t="shared" si="28"/>
        <v>366.59999999999997</v>
      </c>
      <c r="N269" s="36">
        <f t="shared" si="29"/>
        <v>-366.59999999999997</v>
      </c>
      <c r="O269" s="34">
        <f>IF(ISBLANK(A269),"",SUMIFS(I$3:I269,D$3:D269,D269,H$3:H269,"Buy")+SUMIFS(I$3:I269,D$3:D269,D269,H$3:H269,"Cash Deposit")+SUMIFS(I$3:I269,D$3:D269,D269,H$3:H269,"Crypto Deposit")+SUMIFS(I$3:I269,D$3:D269,D269,H$3:H269,"Airdrop/Rewards")-SUMIFS(I$3:I269,D$3:D269,D269,H$3:H269,"Sell"))</f>
        <v>215</v>
      </c>
      <c r="P269" s="2" cm="1">
        <f t="array" ref="P269">IF(ISBLANK(A269),"",IFERROR(IF(OR(H269="Sell",F269="Stable Coin"),INDEX(_xlfn._xlws.FILTER(P$2:P268, D$2:D268=D269),COUNT(_xlfn._xlws.FILTER(P$2:P268, D$2:D268=D269))),(INDEX(_xlfn._xlws.FILTER(P$2:P268, D$2:D268=D269),COUNT(_xlfn._xlws.FILTER(P$2:P268, D$2:D268=D269)))*INDEX(_xlfn._xlws.FILTER(O$2:O268, D$2:D268=D269),COUNT(_xlfn._xlws.FILTER(O$2:O268, D$2:D268=D269)))-N269) / O269), J269))</f>
        <v>10.950417984496127</v>
      </c>
      <c r="Q269" s="1" t="str">
        <f t="shared" si="30"/>
        <v>USD</v>
      </c>
      <c r="R269" s="1" cm="1">
        <f t="array" ref="R269">IF(A269="", "",
    IFERROR(
        _xlfn.SWITCH(
            TRUE,
            AND(Q269="USD", $Q$2="USD"), K269,
            AND(Q269="USD", $Q$2="GBP"), K269*$Z$3,
            AND(Q269="USD", $Q$2="HKD"), K269*$Z$4,
            AND(Q269="USD", $Q$2="EUR"), K269*$Z$5,
            AND(Q269="GBP", $Q$2="GBP"), K269,
            AND(Q269="GBP", $Q$2="USD"), K269*$Z$6,
            AND(Q269="GBP", $Q$2="HKD"), K269*$Z$7,
            AND(Q269="HKG", $Q$2="HKG"), K269,
            AND(Q269="HKD", $Q$2="USD"), K269*$Z$9,
            AND(Q269="HKD", $Q$2="GBP"), K269*$Z$10,
            AND(Q269="HKD", $Q$2="EUR"), K269*$Z$11,
            AND(Q269="EUR", $Q$2="EUR"), K269,
            AND(Q269="EUR", $Q$2="USD"), K269*$Z$12,
            AND(Q269="EUR", $Q$2="GBP"), K269*$Z$13,
            AND(Q269="EUR", $Q$2="HKD"), K269*$Z$14,
        ),
        0
    )
)</f>
        <v>2.0499999999999998</v>
      </c>
      <c r="S269" s="1" cm="1">
        <f t="array" ref="S269">IF(A269="", "",
    IFERROR(
        _xlfn.SWITCH(
            TRUE,
            AND(Q269="USD", $Q$2="USD"), M269,
            AND(Q269="USD", $Q$2="GBP"), M269*$Z$3,
            AND(Q269="USD", $Q$2="HKD"), M269*$Z$4,
            AND(Q269="USD", $Q$2="EUR"), M269*$Z$5,
            AND(Q269="GBP", $Q$2="GBP"), M269,
            AND(Q269="GBP", $Q$2="USD"), M269*$Z$6,
            AND(Q269="GBP", $Q$2="HKD"), M269*$Z$7,
            AND(Q269="GBP", $Q$2="HKD"), M269*$Z$8,
            AND(Q269="HKG", $Q$2="HKG"), M269,
            AND(Q269="HKD", $Q$2="USD"), M269*$Z$9,
            AND(Q269="HKD", $Q$2="GBP"), M269*$Z$10,
            AND(Q269="HKD", $Q$2="EUR"), M269*$Z$11,
            AND(Q269="EUR", $Q$2="EUR"), M269,
            AND(Q269="EUR", $Q$2="USD"), M269*$Z$12,
            AND(Q269="EUR", $Q$2="GBP"), M269*$Z$13,
            AND(Q269="EUR", $Q$2="HKD"), M269*$Z$14,
        ),
        0
    )
)</f>
        <v>366.59999999999997</v>
      </c>
      <c r="T269" s="1" t="str">
        <f t="shared" si="31"/>
        <v>16</v>
      </c>
      <c r="U269" s="9" t="str">
        <f t="shared" si="32"/>
        <v>01</v>
      </c>
      <c r="V269" s="1" t="str">
        <f t="shared" si="33"/>
        <v>2024</v>
      </c>
      <c r="W269" s="18" t="str">
        <f t="shared" si="34"/>
        <v>星期二</v>
      </c>
    </row>
    <row r="270" spans="1:23">
      <c r="A270" s="17" t="s">
        <v>399</v>
      </c>
      <c r="B270" s="1" t="s">
        <v>348</v>
      </c>
      <c r="C270" s="9">
        <v>45307</v>
      </c>
      <c r="D270" s="1" t="e" vm="25">
        <v>#VALUE!</v>
      </c>
      <c r="E270" s="1" t="s">
        <v>404</v>
      </c>
      <c r="F270" s="1" t="s">
        <v>401</v>
      </c>
      <c r="H270" s="1" t="s">
        <v>347</v>
      </c>
      <c r="I270" s="1">
        <v>40</v>
      </c>
      <c r="J270" s="27">
        <v>7.88</v>
      </c>
      <c r="K270" s="1">
        <v>2.11</v>
      </c>
      <c r="M270" s="24">
        <f t="shared" si="28"/>
        <v>315.2</v>
      </c>
      <c r="N270" s="36">
        <f t="shared" si="29"/>
        <v>-315.2</v>
      </c>
      <c r="O270" s="34">
        <f>IF(ISBLANK(A270),"",SUMIFS(I$3:I270,D$3:D270,D270,H$3:H270,"Buy")+SUMIFS(I$3:I270,D$3:D270,D270,H$3:H270,"Cash Deposit")+SUMIFS(I$3:I270,D$3:D270,D270,H$3:H270,"Crypto Deposit")+SUMIFS(I$3:I270,D$3:D270,D270,H$3:H270,"Airdrop/Rewards")-SUMIFS(I$3:I270,D$3:D270,D270,H$3:H270,"Sell"))</f>
        <v>70</v>
      </c>
      <c r="P270" s="2" cm="1">
        <f t="array" ref="P270">IF(ISBLANK(A270),"",IFERROR(IF(OR(H270="Sell",F270="Stable Coin"),INDEX(_xlfn._xlws.FILTER(P$2:P269, D$2:D269=D270),COUNT(_xlfn._xlws.FILTER(P$2:P269, D$2:D269=D270))),(INDEX(_xlfn._xlws.FILTER(P$2:P269, D$2:D269=D270),COUNT(_xlfn._xlws.FILTER(P$2:P269, D$2:D269=D270)))*INDEX(_xlfn._xlws.FILTER(O$2:O269, D$2:D269=D270),COUNT(_xlfn._xlws.FILTER(O$2:O269, D$2:D269=D270)))-N270) / O270), J270))</f>
        <v>8.7028571428571428</v>
      </c>
      <c r="Q270" s="1" t="str">
        <f t="shared" si="30"/>
        <v>USD</v>
      </c>
      <c r="R270" s="1" cm="1">
        <f t="array" ref="R270">IF(A270="", "",
    IFERROR(
        _xlfn.SWITCH(
            TRUE,
            AND(Q270="USD", $Q$2="USD"), K270,
            AND(Q270="USD", $Q$2="GBP"), K270*$Z$3,
            AND(Q270="USD", $Q$2="HKD"), K270*$Z$4,
            AND(Q270="USD", $Q$2="EUR"), K270*$Z$5,
            AND(Q270="GBP", $Q$2="GBP"), K270,
            AND(Q270="GBP", $Q$2="USD"), K270*$Z$6,
            AND(Q270="GBP", $Q$2="HKD"), K270*$Z$7,
            AND(Q270="HKG", $Q$2="HKG"), K270,
            AND(Q270="HKD", $Q$2="USD"), K270*$Z$9,
            AND(Q270="HKD", $Q$2="GBP"), K270*$Z$10,
            AND(Q270="HKD", $Q$2="EUR"), K270*$Z$11,
            AND(Q270="EUR", $Q$2="EUR"), K270,
            AND(Q270="EUR", $Q$2="USD"), K270*$Z$12,
            AND(Q270="EUR", $Q$2="GBP"), K270*$Z$13,
            AND(Q270="EUR", $Q$2="HKD"), K270*$Z$14,
        ),
        0
    )
)</f>
        <v>2.11</v>
      </c>
      <c r="S270" s="1" cm="1">
        <f t="array" ref="S270">IF(A270="", "",
    IFERROR(
        _xlfn.SWITCH(
            TRUE,
            AND(Q270="USD", $Q$2="USD"), M270,
            AND(Q270="USD", $Q$2="GBP"), M270*$Z$3,
            AND(Q270="USD", $Q$2="HKD"), M270*$Z$4,
            AND(Q270="USD", $Q$2="EUR"), M270*$Z$5,
            AND(Q270="GBP", $Q$2="GBP"), M270,
            AND(Q270="GBP", $Q$2="USD"), M270*$Z$6,
            AND(Q270="GBP", $Q$2="HKD"), M270*$Z$7,
            AND(Q270="GBP", $Q$2="HKD"), M270*$Z$8,
            AND(Q270="HKG", $Q$2="HKG"), M270,
            AND(Q270="HKD", $Q$2="USD"), M270*$Z$9,
            AND(Q270="HKD", $Q$2="GBP"), M270*$Z$10,
            AND(Q270="HKD", $Q$2="EUR"), M270*$Z$11,
            AND(Q270="EUR", $Q$2="EUR"), M270,
            AND(Q270="EUR", $Q$2="USD"), M270*$Z$12,
            AND(Q270="EUR", $Q$2="GBP"), M270*$Z$13,
            AND(Q270="EUR", $Q$2="HKD"), M270*$Z$14,
        ),
        0
    )
)</f>
        <v>315.2</v>
      </c>
      <c r="T270" s="1" t="str">
        <f t="shared" si="31"/>
        <v>16</v>
      </c>
      <c r="U270" s="9" t="str">
        <f t="shared" si="32"/>
        <v>01</v>
      </c>
      <c r="V270" s="1" t="str">
        <f t="shared" si="33"/>
        <v>2024</v>
      </c>
      <c r="W270" s="18" t="str">
        <f t="shared" si="34"/>
        <v>星期二</v>
      </c>
    </row>
    <row r="271" spans="1:23">
      <c r="A271" s="17" t="s">
        <v>6</v>
      </c>
      <c r="B271" s="1" t="s">
        <v>348</v>
      </c>
      <c r="C271" s="9">
        <v>45309</v>
      </c>
      <c r="D271" s="1" t="s">
        <v>368</v>
      </c>
      <c r="E271" s="30" t="s">
        <v>252</v>
      </c>
      <c r="F271" s="1" t="s">
        <v>349</v>
      </c>
      <c r="H271" s="1" t="s">
        <v>359</v>
      </c>
      <c r="I271" s="1">
        <v>16.100000000000001</v>
      </c>
      <c r="J271" s="27">
        <v>2.02</v>
      </c>
      <c r="M271" s="24">
        <f t="shared" si="28"/>
        <v>32.522000000000006</v>
      </c>
      <c r="N271" s="36">
        <f t="shared" si="29"/>
        <v>0</v>
      </c>
      <c r="O271" s="34">
        <f>IF(ISBLANK(A271),"",SUMIFS(I$3:I271,D$3:D271,D271,H$3:H271,"Buy")+SUMIFS(I$3:I271,D$3:D271,D271,H$3:H271,"Cash Deposit")+SUMIFS(I$3:I271,D$3:D271,D271,H$3:H271,"Crypto Deposit")+SUMIFS(I$3:I271,D$3:D271,D271,H$3:H271,"Airdrop/Rewards")-SUMIFS(I$3:I271,D$3:D271,D271,H$3:H271,"Sell"))</f>
        <v>16.100000000000001</v>
      </c>
      <c r="P271" s="2" cm="1">
        <f t="array" ref="P271">IF(ISBLANK(A271),"",IFERROR(IF(OR(H271="Sell",F271="Stable Coin"),INDEX(_xlfn._xlws.FILTER(P$2:P270, D$2:D270=D271),COUNT(_xlfn._xlws.FILTER(P$2:P270, D$2:D270=D271))),(INDEX(_xlfn._xlws.FILTER(P$2:P270, D$2:D270=D271),COUNT(_xlfn._xlws.FILTER(P$2:P270, D$2:D270=D271)))*INDEX(_xlfn._xlws.FILTER(O$2:O270, D$2:D270=D271),COUNT(_xlfn._xlws.FILTER(O$2:O270, D$2:D270=D271)))-N271) / O271), J271))</f>
        <v>2.02</v>
      </c>
      <c r="Q271" s="1" t="str">
        <f t="shared" si="30"/>
        <v>USD</v>
      </c>
      <c r="R271" s="1" cm="1">
        <f t="array" ref="R271">IF(A271="", "",
    IFERROR(
        _xlfn.SWITCH(
            TRUE,
            AND(Q271="USD", $Q$2="USD"), K271,
            AND(Q271="USD", $Q$2="GBP"), K271*$Z$3,
            AND(Q271="USD", $Q$2="HKD"), K271*$Z$4,
            AND(Q271="USD", $Q$2="EUR"), K271*$Z$5,
            AND(Q271="GBP", $Q$2="GBP"), K271,
            AND(Q271="GBP", $Q$2="USD"), K271*$Z$6,
            AND(Q271="GBP", $Q$2="HKD"), K271*$Z$7,
            AND(Q271="HKG", $Q$2="HKG"), K271,
            AND(Q271="HKD", $Q$2="USD"), K271*$Z$9,
            AND(Q271="HKD", $Q$2="GBP"), K271*$Z$10,
            AND(Q271="HKD", $Q$2="EUR"), K271*$Z$11,
            AND(Q271="EUR", $Q$2="EUR"), K271,
            AND(Q271="EUR", $Q$2="USD"), K271*$Z$12,
            AND(Q271="EUR", $Q$2="GBP"), K271*$Z$13,
            AND(Q271="EUR", $Q$2="HKD"), K271*$Z$14,
        ),
        0
    )
)</f>
        <v>0</v>
      </c>
      <c r="S271" s="1" cm="1">
        <f t="array" ref="S271">IF(A271="", "",
    IFERROR(
        _xlfn.SWITCH(
            TRUE,
            AND(Q271="USD", $Q$2="USD"), M271,
            AND(Q271="USD", $Q$2="GBP"), M271*$Z$3,
            AND(Q271="USD", $Q$2="HKD"), M271*$Z$4,
            AND(Q271="USD", $Q$2="EUR"), M271*$Z$5,
            AND(Q271="GBP", $Q$2="GBP"), M271,
            AND(Q271="GBP", $Q$2="USD"), M271*$Z$6,
            AND(Q271="GBP", $Q$2="HKD"), M271*$Z$7,
            AND(Q271="GBP", $Q$2="HKD"), M271*$Z$8,
            AND(Q271="HKG", $Q$2="HKG"), M271,
            AND(Q271="HKD", $Q$2="USD"), M271*$Z$9,
            AND(Q271="HKD", $Q$2="GBP"), M271*$Z$10,
            AND(Q271="HKD", $Q$2="EUR"), M271*$Z$11,
            AND(Q271="EUR", $Q$2="EUR"), M271,
            AND(Q271="EUR", $Q$2="USD"), M271*$Z$12,
            AND(Q271="EUR", $Q$2="GBP"), M271*$Z$13,
            AND(Q271="EUR", $Q$2="HKD"), M271*$Z$14,
        ),
        0
    )
)</f>
        <v>32.522000000000006</v>
      </c>
      <c r="T271" s="1" t="str">
        <f t="shared" si="31"/>
        <v>18</v>
      </c>
      <c r="U271" s="9" t="str">
        <f t="shared" si="32"/>
        <v>01</v>
      </c>
      <c r="V271" s="1" t="str">
        <f t="shared" si="33"/>
        <v>2024</v>
      </c>
      <c r="W271" s="18" t="str">
        <f t="shared" si="34"/>
        <v>星期四</v>
      </c>
    </row>
    <row r="272" spans="1:23">
      <c r="A272" s="17" t="s">
        <v>6</v>
      </c>
      <c r="B272" s="1" t="s">
        <v>348</v>
      </c>
      <c r="C272" s="9">
        <v>45309</v>
      </c>
      <c r="D272" s="1" t="s">
        <v>368</v>
      </c>
      <c r="E272" s="30" t="s">
        <v>252</v>
      </c>
      <c r="F272" s="1" t="s">
        <v>349</v>
      </c>
      <c r="H272" s="1" t="s">
        <v>367</v>
      </c>
      <c r="I272" s="1">
        <v>8</v>
      </c>
      <c r="J272" s="27">
        <v>2.0230000000000001</v>
      </c>
      <c r="M272" s="24">
        <f t="shared" si="28"/>
        <v>16.184000000000001</v>
      </c>
      <c r="N272" s="36">
        <f t="shared" si="29"/>
        <v>16.184000000000001</v>
      </c>
      <c r="O272" s="34">
        <f>IF(ISBLANK(A272),"",SUMIFS(I$3:I272,D$3:D272,D272,H$3:H272,"Buy")+SUMIFS(I$3:I272,D$3:D272,D272,H$3:H272,"Cash Deposit")+SUMIFS(I$3:I272,D$3:D272,D272,H$3:H272,"Crypto Deposit")+SUMIFS(I$3:I272,D$3:D272,D272,H$3:H272,"Airdrop/Rewards")-SUMIFS(I$3:I272,D$3:D272,D272,H$3:H272,"Sell"))</f>
        <v>8.1000000000000014</v>
      </c>
      <c r="P272" s="2" cm="1">
        <f t="array" ref="P272">IF(ISBLANK(A272),"",IFERROR(IF(OR(H272="Sell",F272="Stable Coin"),INDEX(_xlfn._xlws.FILTER(P$2:P271, D$2:D271=D272),COUNT(_xlfn._xlws.FILTER(P$2:P271, D$2:D271=D272))),(INDEX(_xlfn._xlws.FILTER(P$2:P271, D$2:D271=D272),COUNT(_xlfn._xlws.FILTER(P$2:P271, D$2:D271=D272)))*INDEX(_xlfn._xlws.FILTER(O$2:O271, D$2:D271=D272),COUNT(_xlfn._xlws.FILTER(O$2:O271, D$2:D271=D272)))-N272) / O272), J272))</f>
        <v>2.02</v>
      </c>
      <c r="Q272" s="1" t="str">
        <f t="shared" si="30"/>
        <v>USD</v>
      </c>
      <c r="R272" s="1" cm="1">
        <f t="array" ref="R272">IF(A272="", "",
    IFERROR(
        _xlfn.SWITCH(
            TRUE,
            AND(Q272="USD", $Q$2="USD"), K272,
            AND(Q272="USD", $Q$2="GBP"), K272*$Z$3,
            AND(Q272="USD", $Q$2="HKD"), K272*$Z$4,
            AND(Q272="USD", $Q$2="EUR"), K272*$Z$5,
            AND(Q272="GBP", $Q$2="GBP"), K272,
            AND(Q272="GBP", $Q$2="USD"), K272*$Z$6,
            AND(Q272="GBP", $Q$2="HKD"), K272*$Z$7,
            AND(Q272="HKG", $Q$2="HKG"), K272,
            AND(Q272="HKD", $Q$2="USD"), K272*$Z$9,
            AND(Q272="HKD", $Q$2="GBP"), K272*$Z$10,
            AND(Q272="HKD", $Q$2="EUR"), K272*$Z$11,
            AND(Q272="EUR", $Q$2="EUR"), K272,
            AND(Q272="EUR", $Q$2="USD"), K272*$Z$12,
            AND(Q272="EUR", $Q$2="GBP"), K272*$Z$13,
            AND(Q272="EUR", $Q$2="HKD"), K272*$Z$14,
        ),
        0
    )
)</f>
        <v>0</v>
      </c>
      <c r="S272" s="1" cm="1">
        <f t="array" ref="S272">IF(A272="", "",
    IFERROR(
        _xlfn.SWITCH(
            TRUE,
            AND(Q272="USD", $Q$2="USD"), M272,
            AND(Q272="USD", $Q$2="GBP"), M272*$Z$3,
            AND(Q272="USD", $Q$2="HKD"), M272*$Z$4,
            AND(Q272="USD", $Q$2="EUR"), M272*$Z$5,
            AND(Q272="GBP", $Q$2="GBP"), M272,
            AND(Q272="GBP", $Q$2="USD"), M272*$Z$6,
            AND(Q272="GBP", $Q$2="HKD"), M272*$Z$7,
            AND(Q272="GBP", $Q$2="HKD"), M272*$Z$8,
            AND(Q272="HKG", $Q$2="HKG"), M272,
            AND(Q272="HKD", $Q$2="USD"), M272*$Z$9,
            AND(Q272="HKD", $Q$2="GBP"), M272*$Z$10,
            AND(Q272="HKD", $Q$2="EUR"), M272*$Z$11,
            AND(Q272="EUR", $Q$2="EUR"), M272,
            AND(Q272="EUR", $Q$2="USD"), M272*$Z$12,
            AND(Q272="EUR", $Q$2="GBP"), M272*$Z$13,
            AND(Q272="EUR", $Q$2="HKD"), M272*$Z$14,
        ),
        0
    )
)</f>
        <v>16.184000000000001</v>
      </c>
      <c r="T272" s="1" t="str">
        <f t="shared" si="31"/>
        <v>18</v>
      </c>
      <c r="U272" s="9" t="str">
        <f t="shared" si="32"/>
        <v>01</v>
      </c>
      <c r="V272" s="1" t="str">
        <f t="shared" si="33"/>
        <v>2024</v>
      </c>
      <c r="W272" s="18" t="str">
        <f t="shared" si="34"/>
        <v>星期四</v>
      </c>
    </row>
    <row r="273" spans="1:23">
      <c r="A273" s="17" t="s">
        <v>6</v>
      </c>
      <c r="B273" s="1" t="s">
        <v>348</v>
      </c>
      <c r="C273" s="9">
        <v>45309</v>
      </c>
      <c r="D273" s="1" t="s">
        <v>368</v>
      </c>
      <c r="E273" s="30" t="s">
        <v>252</v>
      </c>
      <c r="F273" s="1" t="s">
        <v>349</v>
      </c>
      <c r="H273" s="1" t="s">
        <v>367</v>
      </c>
      <c r="I273" s="1">
        <v>8.1</v>
      </c>
      <c r="J273" s="27">
        <v>2.2919999999999998</v>
      </c>
      <c r="M273" s="24">
        <f t="shared" si="28"/>
        <v>18.565199999999997</v>
      </c>
      <c r="N273" s="36">
        <f t="shared" si="29"/>
        <v>18.565199999999997</v>
      </c>
      <c r="O273" s="34">
        <f>IF(ISBLANK(A273),"",SUMIFS(I$3:I273,D$3:D273,D273,H$3:H273,"Buy")+SUMIFS(I$3:I273,D$3:D273,D273,H$3:H273,"Cash Deposit")+SUMIFS(I$3:I273,D$3:D273,D273,H$3:H273,"Crypto Deposit")+SUMIFS(I$3:I273,D$3:D273,D273,H$3:H273,"Airdrop/Rewards")-SUMIFS(I$3:I273,D$3:D273,D273,H$3:H273,"Sell"))</f>
        <v>0</v>
      </c>
      <c r="P273" s="2" cm="1">
        <f t="array" ref="P273">IF(ISBLANK(A273),"",IFERROR(IF(OR(H273="Sell",F273="Stable Coin"),INDEX(_xlfn._xlws.FILTER(P$2:P272, D$2:D272=D273),COUNT(_xlfn._xlws.FILTER(P$2:P272, D$2:D272=D273))),(INDEX(_xlfn._xlws.FILTER(P$2:P272, D$2:D272=D273),COUNT(_xlfn._xlws.FILTER(P$2:P272, D$2:D272=D273)))*INDEX(_xlfn._xlws.FILTER(O$2:O272, D$2:D272=D273),COUNT(_xlfn._xlws.FILTER(O$2:O272, D$2:D272=D273)))-N273) / O273), J273))</f>
        <v>2.02</v>
      </c>
      <c r="Q273" s="1" t="str">
        <f t="shared" si="30"/>
        <v>USD</v>
      </c>
      <c r="R273" s="1" cm="1">
        <f t="array" ref="R273">IF(A273="", "",
    IFERROR(
        _xlfn.SWITCH(
            TRUE,
            AND(Q273="USD", $Q$2="USD"), K273,
            AND(Q273="USD", $Q$2="GBP"), K273*$Z$3,
            AND(Q273="USD", $Q$2="HKD"), K273*$Z$4,
            AND(Q273="USD", $Q$2="EUR"), K273*$Z$5,
            AND(Q273="GBP", $Q$2="GBP"), K273,
            AND(Q273="GBP", $Q$2="USD"), K273*$Z$6,
            AND(Q273="GBP", $Q$2="HKD"), K273*$Z$7,
            AND(Q273="HKG", $Q$2="HKG"), K273,
            AND(Q273="HKD", $Q$2="USD"), K273*$Z$9,
            AND(Q273="HKD", $Q$2="GBP"), K273*$Z$10,
            AND(Q273="HKD", $Q$2="EUR"), K273*$Z$11,
            AND(Q273="EUR", $Q$2="EUR"), K273,
            AND(Q273="EUR", $Q$2="USD"), K273*$Z$12,
            AND(Q273="EUR", $Q$2="GBP"), K273*$Z$13,
            AND(Q273="EUR", $Q$2="HKD"), K273*$Z$14,
        ),
        0
    )
)</f>
        <v>0</v>
      </c>
      <c r="S273" s="1" cm="1">
        <f t="array" ref="S273">IF(A273="", "",
    IFERROR(
        _xlfn.SWITCH(
            TRUE,
            AND(Q273="USD", $Q$2="USD"), M273,
            AND(Q273="USD", $Q$2="GBP"), M273*$Z$3,
            AND(Q273="USD", $Q$2="HKD"), M273*$Z$4,
            AND(Q273="USD", $Q$2="EUR"), M273*$Z$5,
            AND(Q273="GBP", $Q$2="GBP"), M273,
            AND(Q273="GBP", $Q$2="USD"), M273*$Z$6,
            AND(Q273="GBP", $Q$2="HKD"), M273*$Z$7,
            AND(Q273="GBP", $Q$2="HKD"), M273*$Z$8,
            AND(Q273="HKG", $Q$2="HKG"), M273,
            AND(Q273="HKD", $Q$2="USD"), M273*$Z$9,
            AND(Q273="HKD", $Q$2="GBP"), M273*$Z$10,
            AND(Q273="HKD", $Q$2="EUR"), M273*$Z$11,
            AND(Q273="EUR", $Q$2="EUR"), M273,
            AND(Q273="EUR", $Q$2="USD"), M273*$Z$12,
            AND(Q273="EUR", $Q$2="GBP"), M273*$Z$13,
            AND(Q273="EUR", $Q$2="HKD"), M273*$Z$14,
        ),
        0
    )
)</f>
        <v>18.565199999999997</v>
      </c>
      <c r="T273" s="1" t="str">
        <f t="shared" si="31"/>
        <v>18</v>
      </c>
      <c r="U273" s="9" t="str">
        <f t="shared" si="32"/>
        <v>01</v>
      </c>
      <c r="V273" s="1" t="str">
        <f t="shared" si="33"/>
        <v>2024</v>
      </c>
      <c r="W273" s="18" t="str">
        <f t="shared" si="34"/>
        <v>星期四</v>
      </c>
    </row>
    <row r="274" spans="1:23">
      <c r="A274" s="17" t="s">
        <v>6</v>
      </c>
      <c r="B274" s="1" t="s">
        <v>348</v>
      </c>
      <c r="C274" s="9">
        <v>45309</v>
      </c>
      <c r="D274" s="1" t="s">
        <v>47</v>
      </c>
      <c r="E274" s="30" t="s">
        <v>4</v>
      </c>
      <c r="F274" s="1" t="s">
        <v>349</v>
      </c>
      <c r="H274" s="1" t="s">
        <v>367</v>
      </c>
      <c r="I274" s="1">
        <v>2.9979999999999998E-3</v>
      </c>
      <c r="J274" s="27">
        <v>42455.75</v>
      </c>
      <c r="M274" s="24">
        <f t="shared" si="28"/>
        <v>127.28233849999999</v>
      </c>
      <c r="N274" s="36">
        <f t="shared" si="29"/>
        <v>127.28233849999999</v>
      </c>
      <c r="O274" s="34">
        <f>IF(ISBLANK(A274),"",SUMIFS(I$3:I274,D$3:D274,D274,H$3:H274,"Buy")+SUMIFS(I$3:I274,D$3:D274,D274,H$3:H274,"Cash Deposit")+SUMIFS(I$3:I274,D$3:D274,D274,H$3:H274,"Crypto Deposit")+SUMIFS(I$3:I274,D$3:D274,D274,H$3:H274,"Airdrop/Rewards")-SUMIFS(I$3:I274,D$3:D274,D274,H$3:H274,"Sell"))</f>
        <v>0.32743681999999996</v>
      </c>
      <c r="P274" s="2" cm="1">
        <f t="array" ref="P274">IF(ISBLANK(A274),"",IFERROR(IF(OR(H274="Sell",F274="Stable Coin"),INDEX(_xlfn._xlws.FILTER(P$2:P273, D$2:D273=D274),COUNT(_xlfn._xlws.FILTER(P$2:P273, D$2:D273=D274))),(INDEX(_xlfn._xlws.FILTER(P$2:P273, D$2:D273=D274),COUNT(_xlfn._xlws.FILTER(P$2:P273, D$2:D273=D274)))*INDEX(_xlfn._xlws.FILTER(O$2:O273, D$2:D273=D274),COUNT(_xlfn._xlws.FILTER(O$2:O273, D$2:D273=D274)))-N274) / O274), J274))</f>
        <v>31532.029674877882</v>
      </c>
      <c r="Q274" s="1" t="str">
        <f t="shared" si="30"/>
        <v>USD</v>
      </c>
      <c r="R274" s="1" cm="1">
        <f t="array" ref="R274">IF(A274="", "",
    IFERROR(
        _xlfn.SWITCH(
            TRUE,
            AND(Q274="USD", $Q$2="USD"), K274,
            AND(Q274="USD", $Q$2="GBP"), K274*$Z$3,
            AND(Q274="USD", $Q$2="HKD"), K274*$Z$4,
            AND(Q274="USD", $Q$2="EUR"), K274*$Z$5,
            AND(Q274="GBP", $Q$2="GBP"), K274,
            AND(Q274="GBP", $Q$2="USD"), K274*$Z$6,
            AND(Q274="GBP", $Q$2="HKD"), K274*$Z$7,
            AND(Q274="HKG", $Q$2="HKG"), K274,
            AND(Q274="HKD", $Q$2="USD"), K274*$Z$9,
            AND(Q274="HKD", $Q$2="GBP"), K274*$Z$10,
            AND(Q274="HKD", $Q$2="EUR"), K274*$Z$11,
            AND(Q274="EUR", $Q$2="EUR"), K274,
            AND(Q274="EUR", $Q$2="USD"), K274*$Z$12,
            AND(Q274="EUR", $Q$2="GBP"), K274*$Z$13,
            AND(Q274="EUR", $Q$2="HKD"), K274*$Z$14,
        ),
        0
    )
)</f>
        <v>0</v>
      </c>
      <c r="S274" s="1" cm="1">
        <f t="array" ref="S274">IF(A274="", "",
    IFERROR(
        _xlfn.SWITCH(
            TRUE,
            AND(Q274="USD", $Q$2="USD"), M274,
            AND(Q274="USD", $Q$2="GBP"), M274*$Z$3,
            AND(Q274="USD", $Q$2="HKD"), M274*$Z$4,
            AND(Q274="USD", $Q$2="EUR"), M274*$Z$5,
            AND(Q274="GBP", $Q$2="GBP"), M274,
            AND(Q274="GBP", $Q$2="USD"), M274*$Z$6,
            AND(Q274="GBP", $Q$2="HKD"), M274*$Z$7,
            AND(Q274="GBP", $Q$2="HKD"), M274*$Z$8,
            AND(Q274="HKG", $Q$2="HKG"), M274,
            AND(Q274="HKD", $Q$2="USD"), M274*$Z$9,
            AND(Q274="HKD", $Q$2="GBP"), M274*$Z$10,
            AND(Q274="HKD", $Q$2="EUR"), M274*$Z$11,
            AND(Q274="EUR", $Q$2="EUR"), M274,
            AND(Q274="EUR", $Q$2="USD"), M274*$Z$12,
            AND(Q274="EUR", $Q$2="GBP"), M274*$Z$13,
            AND(Q274="EUR", $Q$2="HKD"), M274*$Z$14,
        ),
        0
    )
)</f>
        <v>127.28233849999999</v>
      </c>
      <c r="T274" s="1" t="str">
        <f t="shared" si="31"/>
        <v>18</v>
      </c>
      <c r="U274" s="9" t="str">
        <f t="shared" si="32"/>
        <v>01</v>
      </c>
      <c r="V274" s="1" t="str">
        <f t="shared" si="33"/>
        <v>2024</v>
      </c>
      <c r="W274" s="18" t="str">
        <f t="shared" si="34"/>
        <v>星期四</v>
      </c>
    </row>
    <row r="275" spans="1:23">
      <c r="A275" s="17" t="s">
        <v>6</v>
      </c>
      <c r="B275" s="1" t="s">
        <v>348</v>
      </c>
      <c r="C275" s="9">
        <v>45309</v>
      </c>
      <c r="D275" s="1" t="s">
        <v>351</v>
      </c>
      <c r="E275" s="1" t="s">
        <v>264</v>
      </c>
      <c r="F275" s="1" t="s">
        <v>349</v>
      </c>
      <c r="H275" s="1" t="s">
        <v>347</v>
      </c>
      <c r="I275" s="1">
        <v>99.9</v>
      </c>
      <c r="J275" s="27">
        <v>1.2729999999999999</v>
      </c>
      <c r="M275" s="24">
        <f t="shared" si="28"/>
        <v>127.17269999999999</v>
      </c>
      <c r="N275" s="36">
        <f t="shared" si="29"/>
        <v>-127.17269999999999</v>
      </c>
      <c r="O275" s="34">
        <f>IF(ISBLANK(A275),"",SUMIFS(I$3:I275,D$3:D275,D275,H$3:H275,"Buy")+SUMIFS(I$3:I275,D$3:D275,D275,H$3:H275,"Cash Deposit")+SUMIFS(I$3:I275,D$3:D275,D275,H$3:H275,"Crypto Deposit")+SUMIFS(I$3:I275,D$3:D275,D275,H$3:H275,"Airdrop/Rewards")-SUMIFS(I$3:I275,D$3:D275,D275,H$3:H275,"Sell"))</f>
        <v>99.9</v>
      </c>
      <c r="P275" s="2" cm="1">
        <f t="array" ref="P275">IF(ISBLANK(A275),"",IFERROR(IF(OR(H275="Sell",F275="Stable Coin"),INDEX(_xlfn._xlws.FILTER(P$2:P274, D$2:D274=D275),COUNT(_xlfn._xlws.FILTER(P$2:P274, D$2:D274=D275))),(INDEX(_xlfn._xlws.FILTER(P$2:P274, D$2:D274=D275),COUNT(_xlfn._xlws.FILTER(P$2:P274, D$2:D274=D275)))*INDEX(_xlfn._xlws.FILTER(O$2:O274, D$2:D274=D275),COUNT(_xlfn._xlws.FILTER(O$2:O274, D$2:D274=D275)))-N275) / O275), J275))</f>
        <v>1.2729999999999999</v>
      </c>
      <c r="Q275" s="1" t="str">
        <f t="shared" si="30"/>
        <v>USD</v>
      </c>
      <c r="R275" s="1" cm="1">
        <f t="array" ref="R275">IF(A275="", "",
    IFERROR(
        _xlfn.SWITCH(
            TRUE,
            AND(Q275="USD", $Q$2="USD"), K275,
            AND(Q275="USD", $Q$2="GBP"), K275*$Z$3,
            AND(Q275="USD", $Q$2="HKD"), K275*$Z$4,
            AND(Q275="USD", $Q$2="EUR"), K275*$Z$5,
            AND(Q275="GBP", $Q$2="GBP"), K275,
            AND(Q275="GBP", $Q$2="USD"), K275*$Z$6,
            AND(Q275="GBP", $Q$2="HKD"), K275*$Z$7,
            AND(Q275="HKG", $Q$2="HKG"), K275,
            AND(Q275="HKD", $Q$2="USD"), K275*$Z$9,
            AND(Q275="HKD", $Q$2="GBP"), K275*$Z$10,
            AND(Q275="HKD", $Q$2="EUR"), K275*$Z$11,
            AND(Q275="EUR", $Q$2="EUR"), K275,
            AND(Q275="EUR", $Q$2="USD"), K275*$Z$12,
            AND(Q275="EUR", $Q$2="GBP"), K275*$Z$13,
            AND(Q275="EUR", $Q$2="HKD"), K275*$Z$14,
        ),
        0
    )
)</f>
        <v>0</v>
      </c>
      <c r="S275" s="1" cm="1">
        <f t="array" ref="S275">IF(A275="", "",
    IFERROR(
        _xlfn.SWITCH(
            TRUE,
            AND(Q275="USD", $Q$2="USD"), M275,
            AND(Q275="USD", $Q$2="GBP"), M275*$Z$3,
            AND(Q275="USD", $Q$2="HKD"), M275*$Z$4,
            AND(Q275="USD", $Q$2="EUR"), M275*$Z$5,
            AND(Q275="GBP", $Q$2="GBP"), M275,
            AND(Q275="GBP", $Q$2="USD"), M275*$Z$6,
            AND(Q275="GBP", $Q$2="HKD"), M275*$Z$7,
            AND(Q275="GBP", $Q$2="HKD"), M275*$Z$8,
            AND(Q275="HKG", $Q$2="HKG"), M275,
            AND(Q275="HKD", $Q$2="USD"), M275*$Z$9,
            AND(Q275="HKD", $Q$2="GBP"), M275*$Z$10,
            AND(Q275="HKD", $Q$2="EUR"), M275*$Z$11,
            AND(Q275="EUR", $Q$2="EUR"), M275,
            AND(Q275="EUR", $Q$2="USD"), M275*$Z$12,
            AND(Q275="EUR", $Q$2="GBP"), M275*$Z$13,
            AND(Q275="EUR", $Q$2="HKD"), M275*$Z$14,
        ),
        0
    )
)</f>
        <v>127.17269999999999</v>
      </c>
      <c r="T275" s="1" t="str">
        <f t="shared" si="31"/>
        <v>18</v>
      </c>
      <c r="U275" s="9" t="str">
        <f t="shared" si="32"/>
        <v>01</v>
      </c>
      <c r="V275" s="1" t="str">
        <f t="shared" si="33"/>
        <v>2024</v>
      </c>
      <c r="W275" s="18" t="str">
        <f t="shared" si="34"/>
        <v>星期四</v>
      </c>
    </row>
    <row r="276" spans="1:23">
      <c r="A276" s="17" t="s">
        <v>6</v>
      </c>
      <c r="B276" s="1" t="s">
        <v>348</v>
      </c>
      <c r="C276" s="9">
        <v>45309</v>
      </c>
      <c r="D276" s="1" t="s">
        <v>47</v>
      </c>
      <c r="E276" s="1" t="s">
        <v>4</v>
      </c>
      <c r="F276" s="1" t="s">
        <v>349</v>
      </c>
      <c r="H276" s="1" t="s">
        <v>367</v>
      </c>
      <c r="I276" s="1">
        <v>2.8E-3</v>
      </c>
      <c r="J276" s="27">
        <v>41200.089999999997</v>
      </c>
      <c r="M276" s="24">
        <f t="shared" si="28"/>
        <v>115.36025199999999</v>
      </c>
      <c r="N276" s="36">
        <f t="shared" si="29"/>
        <v>115.36025199999999</v>
      </c>
      <c r="O276" s="34">
        <f>IF(ISBLANK(A276),"",SUMIFS(I$3:I276,D$3:D276,D276,H$3:H276,"Buy")+SUMIFS(I$3:I276,D$3:D276,D276,H$3:H276,"Cash Deposit")+SUMIFS(I$3:I276,D$3:D276,D276,H$3:H276,"Crypto Deposit")+SUMIFS(I$3:I276,D$3:D276,D276,H$3:H276,"Airdrop/Rewards")-SUMIFS(I$3:I276,D$3:D276,D276,H$3:H276,"Sell"))</f>
        <v>0.32463681999999994</v>
      </c>
      <c r="P276" s="2" cm="1">
        <f t="array" ref="P276">IF(ISBLANK(A276),"",IFERROR(IF(OR(H276="Sell",F276="Stable Coin"),INDEX(_xlfn._xlws.FILTER(P$2:P275, D$2:D275=D276),COUNT(_xlfn._xlws.FILTER(P$2:P275, D$2:D275=D276))),(INDEX(_xlfn._xlws.FILTER(P$2:P275, D$2:D275=D276),COUNT(_xlfn._xlws.FILTER(P$2:P275, D$2:D275=D276)))*INDEX(_xlfn._xlws.FILTER(O$2:O275, D$2:D275=D276),COUNT(_xlfn._xlws.FILTER(O$2:O275, D$2:D275=D276)))-N276) / O276), J276))</f>
        <v>31532.029674877882</v>
      </c>
      <c r="Q276" s="1" t="str">
        <f t="shared" si="30"/>
        <v>USD</v>
      </c>
      <c r="R276" s="1" cm="1">
        <f t="array" ref="R276">IF(A276="", "",
    IFERROR(
        _xlfn.SWITCH(
            TRUE,
            AND(Q276="USD", $Q$2="USD"), K276,
            AND(Q276="USD", $Q$2="GBP"), K276*$Z$3,
            AND(Q276="USD", $Q$2="HKD"), K276*$Z$4,
            AND(Q276="USD", $Q$2="EUR"), K276*$Z$5,
            AND(Q276="GBP", $Q$2="GBP"), K276,
            AND(Q276="GBP", $Q$2="USD"), K276*$Z$6,
            AND(Q276="GBP", $Q$2="HKD"), K276*$Z$7,
            AND(Q276="HKG", $Q$2="HKG"), K276,
            AND(Q276="HKD", $Q$2="USD"), K276*$Z$9,
            AND(Q276="HKD", $Q$2="GBP"), K276*$Z$10,
            AND(Q276="HKD", $Q$2="EUR"), K276*$Z$11,
            AND(Q276="EUR", $Q$2="EUR"), K276,
            AND(Q276="EUR", $Q$2="USD"), K276*$Z$12,
            AND(Q276="EUR", $Q$2="GBP"), K276*$Z$13,
            AND(Q276="EUR", $Q$2="HKD"), K276*$Z$14,
        ),
        0
    )
)</f>
        <v>0</v>
      </c>
      <c r="S276" s="1" cm="1">
        <f t="array" ref="S276">IF(A276="", "",
    IFERROR(
        _xlfn.SWITCH(
            TRUE,
            AND(Q276="USD", $Q$2="USD"), M276,
            AND(Q276="USD", $Q$2="GBP"), M276*$Z$3,
            AND(Q276="USD", $Q$2="HKD"), M276*$Z$4,
            AND(Q276="USD", $Q$2="EUR"), M276*$Z$5,
            AND(Q276="GBP", $Q$2="GBP"), M276,
            AND(Q276="GBP", $Q$2="USD"), M276*$Z$6,
            AND(Q276="GBP", $Q$2="HKD"), M276*$Z$7,
            AND(Q276="GBP", $Q$2="HKD"), M276*$Z$8,
            AND(Q276="HKG", $Q$2="HKG"), M276,
            AND(Q276="HKD", $Q$2="USD"), M276*$Z$9,
            AND(Q276="HKD", $Q$2="GBP"), M276*$Z$10,
            AND(Q276="HKD", $Q$2="EUR"), M276*$Z$11,
            AND(Q276="EUR", $Q$2="EUR"), M276,
            AND(Q276="EUR", $Q$2="USD"), M276*$Z$12,
            AND(Q276="EUR", $Q$2="GBP"), M276*$Z$13,
            AND(Q276="EUR", $Q$2="HKD"), M276*$Z$14,
        ),
        0
    )
)</f>
        <v>115.36025199999999</v>
      </c>
      <c r="T276" s="1" t="str">
        <f t="shared" si="31"/>
        <v>18</v>
      </c>
      <c r="U276" s="9" t="str">
        <f t="shared" si="32"/>
        <v>01</v>
      </c>
      <c r="V276" s="1" t="str">
        <f t="shared" si="33"/>
        <v>2024</v>
      </c>
      <c r="W276" s="18" t="str">
        <f t="shared" si="34"/>
        <v>星期四</v>
      </c>
    </row>
    <row r="277" spans="1:23">
      <c r="A277" s="17" t="s">
        <v>6</v>
      </c>
      <c r="B277" s="1" t="s">
        <v>348</v>
      </c>
      <c r="C277" s="9">
        <v>45309</v>
      </c>
      <c r="D277" s="1" t="s">
        <v>372</v>
      </c>
      <c r="E277" s="1" t="s">
        <v>143</v>
      </c>
      <c r="F277" s="1" t="s">
        <v>349</v>
      </c>
      <c r="H277" s="1" t="s">
        <v>347</v>
      </c>
      <c r="I277" s="1">
        <v>9.99</v>
      </c>
      <c r="J277" s="27">
        <v>11.54</v>
      </c>
      <c r="M277" s="24">
        <f t="shared" si="28"/>
        <v>115.2846</v>
      </c>
      <c r="N277" s="36">
        <f t="shared" si="29"/>
        <v>-115.2846</v>
      </c>
      <c r="O277" s="34">
        <f>IF(ISBLANK(A277),"",SUMIFS(I$3:I277,D$3:D277,D277,H$3:H277,"Buy")+SUMIFS(I$3:I277,D$3:D277,D277,H$3:H277,"Cash Deposit")+SUMIFS(I$3:I277,D$3:D277,D277,H$3:H277,"Crypto Deposit")+SUMIFS(I$3:I277,D$3:D277,D277,H$3:H277,"Airdrop/Rewards")-SUMIFS(I$3:I277,D$3:D277,D277,H$3:H277,"Sell"))</f>
        <v>9.99</v>
      </c>
      <c r="P277" s="2" cm="1">
        <f t="array" ref="P277">IF(ISBLANK(A277),"",IFERROR(IF(OR(H277="Sell",F277="Stable Coin"),INDEX(_xlfn._xlws.FILTER(P$2:P276, D$2:D276=D277),COUNT(_xlfn._xlws.FILTER(P$2:P276, D$2:D276=D277))),(INDEX(_xlfn._xlws.FILTER(P$2:P276, D$2:D276=D277),COUNT(_xlfn._xlws.FILTER(P$2:P276, D$2:D276=D277)))*INDEX(_xlfn._xlws.FILTER(O$2:O276, D$2:D276=D277),COUNT(_xlfn._xlws.FILTER(O$2:O276, D$2:D276=D277)))-N277) / O277), J277))</f>
        <v>11.54</v>
      </c>
      <c r="Q277" s="1" t="str">
        <f t="shared" si="30"/>
        <v>USD</v>
      </c>
      <c r="R277" s="1" cm="1">
        <f t="array" ref="R277">IF(A277="", "",
    IFERROR(
        _xlfn.SWITCH(
            TRUE,
            AND(Q277="USD", $Q$2="USD"), K277,
            AND(Q277="USD", $Q$2="GBP"), K277*$Z$3,
            AND(Q277="USD", $Q$2="HKD"), K277*$Z$4,
            AND(Q277="USD", $Q$2="EUR"), K277*$Z$5,
            AND(Q277="GBP", $Q$2="GBP"), K277,
            AND(Q277="GBP", $Q$2="USD"), K277*$Z$6,
            AND(Q277="GBP", $Q$2="HKD"), K277*$Z$7,
            AND(Q277="HKG", $Q$2="HKG"), K277,
            AND(Q277="HKD", $Q$2="USD"), K277*$Z$9,
            AND(Q277="HKD", $Q$2="GBP"), K277*$Z$10,
            AND(Q277="HKD", $Q$2="EUR"), K277*$Z$11,
            AND(Q277="EUR", $Q$2="EUR"), K277,
            AND(Q277="EUR", $Q$2="USD"), K277*$Z$12,
            AND(Q277="EUR", $Q$2="GBP"), K277*$Z$13,
            AND(Q277="EUR", $Q$2="HKD"), K277*$Z$14,
        ),
        0
    )
)</f>
        <v>0</v>
      </c>
      <c r="S277" s="1" cm="1">
        <f t="array" ref="S277">IF(A277="", "",
    IFERROR(
        _xlfn.SWITCH(
            TRUE,
            AND(Q277="USD", $Q$2="USD"), M277,
            AND(Q277="USD", $Q$2="GBP"), M277*$Z$3,
            AND(Q277="USD", $Q$2="HKD"), M277*$Z$4,
            AND(Q277="USD", $Q$2="EUR"), M277*$Z$5,
            AND(Q277="GBP", $Q$2="GBP"), M277,
            AND(Q277="GBP", $Q$2="USD"), M277*$Z$6,
            AND(Q277="GBP", $Q$2="HKD"), M277*$Z$7,
            AND(Q277="GBP", $Q$2="HKD"), M277*$Z$8,
            AND(Q277="HKG", $Q$2="HKG"), M277,
            AND(Q277="HKD", $Q$2="USD"), M277*$Z$9,
            AND(Q277="HKD", $Q$2="GBP"), M277*$Z$10,
            AND(Q277="HKD", $Q$2="EUR"), M277*$Z$11,
            AND(Q277="EUR", $Q$2="EUR"), M277,
            AND(Q277="EUR", $Q$2="USD"), M277*$Z$12,
            AND(Q277="EUR", $Q$2="GBP"), M277*$Z$13,
            AND(Q277="EUR", $Q$2="HKD"), M277*$Z$14,
        ),
        0
    )
)</f>
        <v>115.2846</v>
      </c>
      <c r="T277" s="1" t="str">
        <f t="shared" si="31"/>
        <v>18</v>
      </c>
      <c r="U277" s="9" t="str">
        <f t="shared" si="32"/>
        <v>01</v>
      </c>
      <c r="V277" s="1" t="str">
        <f t="shared" si="33"/>
        <v>2024</v>
      </c>
      <c r="W277" s="18" t="str">
        <f t="shared" si="34"/>
        <v>星期四</v>
      </c>
    </row>
    <row r="278" spans="1:23">
      <c r="A278" s="17" t="s">
        <v>399</v>
      </c>
      <c r="B278" s="1" t="s">
        <v>348</v>
      </c>
      <c r="C278" s="9">
        <v>45309</v>
      </c>
      <c r="D278" s="1" t="e" vm="26">
        <v>#VALUE!</v>
      </c>
      <c r="E278" s="1" t="s">
        <v>405</v>
      </c>
      <c r="F278" s="1" t="s">
        <v>401</v>
      </c>
      <c r="H278" s="1" t="s">
        <v>347</v>
      </c>
      <c r="I278" s="1">
        <v>30</v>
      </c>
      <c r="J278" s="27">
        <v>10.68</v>
      </c>
      <c r="K278" s="1">
        <v>2.08</v>
      </c>
      <c r="M278" s="24">
        <f t="shared" si="28"/>
        <v>320.39999999999998</v>
      </c>
      <c r="N278" s="36">
        <f t="shared" si="29"/>
        <v>-320.39999999999998</v>
      </c>
      <c r="O278" s="34">
        <f>IF(ISBLANK(A278),"",SUMIFS(I$3:I278,D$3:D278,D278,H$3:H278,"Buy")+SUMIFS(I$3:I278,D$3:D278,D278,H$3:H278,"Cash Deposit")+SUMIFS(I$3:I278,D$3:D278,D278,H$3:H278,"Crypto Deposit")+SUMIFS(I$3:I278,D$3:D278,D278,H$3:H278,"Airdrop/Rewards")-SUMIFS(I$3:I278,D$3:D278,D278,H$3:H278,"Sell"))</f>
        <v>60</v>
      </c>
      <c r="P278" s="2" cm="1">
        <f t="array" ref="P278">IF(ISBLANK(A278),"",IFERROR(IF(OR(H278="Sell",F278="Stable Coin"),INDEX(_xlfn._xlws.FILTER(P$2:P277, D$2:D277=D278),COUNT(_xlfn._xlws.FILTER(P$2:P277, D$2:D277=D278))),(INDEX(_xlfn._xlws.FILTER(P$2:P277, D$2:D277=D278),COUNT(_xlfn._xlws.FILTER(P$2:P277, D$2:D277=D278)))*INDEX(_xlfn._xlws.FILTER(O$2:O277, D$2:D277=D278),COUNT(_xlfn._xlws.FILTER(O$2:O277, D$2:D277=D278)))-N278) / O278), J278))</f>
        <v>11.68</v>
      </c>
      <c r="Q278" s="1" t="str">
        <f t="shared" si="30"/>
        <v>USD</v>
      </c>
      <c r="R278" s="1" cm="1">
        <f t="array" ref="R278">IF(A278="", "",
    IFERROR(
        _xlfn.SWITCH(
            TRUE,
            AND(Q278="USD", $Q$2="USD"), K278,
            AND(Q278="USD", $Q$2="GBP"), K278*$Z$3,
            AND(Q278="USD", $Q$2="HKD"), K278*$Z$4,
            AND(Q278="USD", $Q$2="EUR"), K278*$Z$5,
            AND(Q278="GBP", $Q$2="GBP"), K278,
            AND(Q278="GBP", $Q$2="USD"), K278*$Z$6,
            AND(Q278="GBP", $Q$2="HKD"), K278*$Z$7,
            AND(Q278="HKG", $Q$2="HKG"), K278,
            AND(Q278="HKD", $Q$2="USD"), K278*$Z$9,
            AND(Q278="HKD", $Q$2="GBP"), K278*$Z$10,
            AND(Q278="HKD", $Q$2="EUR"), K278*$Z$11,
            AND(Q278="EUR", $Q$2="EUR"), K278,
            AND(Q278="EUR", $Q$2="USD"), K278*$Z$12,
            AND(Q278="EUR", $Q$2="GBP"), K278*$Z$13,
            AND(Q278="EUR", $Q$2="HKD"), K278*$Z$14,
        ),
        0
    )
)</f>
        <v>2.08</v>
      </c>
      <c r="S278" s="1" cm="1">
        <f t="array" ref="S278">IF(A278="", "",
    IFERROR(
        _xlfn.SWITCH(
            TRUE,
            AND(Q278="USD", $Q$2="USD"), M278,
            AND(Q278="USD", $Q$2="GBP"), M278*$Z$3,
            AND(Q278="USD", $Q$2="HKD"), M278*$Z$4,
            AND(Q278="USD", $Q$2="EUR"), M278*$Z$5,
            AND(Q278="GBP", $Q$2="GBP"), M278,
            AND(Q278="GBP", $Q$2="USD"), M278*$Z$6,
            AND(Q278="GBP", $Q$2="HKD"), M278*$Z$7,
            AND(Q278="GBP", $Q$2="HKD"), M278*$Z$8,
            AND(Q278="HKG", $Q$2="HKG"), M278,
            AND(Q278="HKD", $Q$2="USD"), M278*$Z$9,
            AND(Q278="HKD", $Q$2="GBP"), M278*$Z$10,
            AND(Q278="HKD", $Q$2="EUR"), M278*$Z$11,
            AND(Q278="EUR", $Q$2="EUR"), M278,
            AND(Q278="EUR", $Q$2="USD"), M278*$Z$12,
            AND(Q278="EUR", $Q$2="GBP"), M278*$Z$13,
            AND(Q278="EUR", $Q$2="HKD"), M278*$Z$14,
        ),
        0
    )
)</f>
        <v>320.39999999999998</v>
      </c>
      <c r="T278" s="1" t="str">
        <f t="shared" si="31"/>
        <v>18</v>
      </c>
      <c r="U278" s="9" t="str">
        <f t="shared" si="32"/>
        <v>01</v>
      </c>
      <c r="V278" s="1" t="str">
        <f t="shared" si="33"/>
        <v>2024</v>
      </c>
      <c r="W278" s="18" t="str">
        <f t="shared" si="34"/>
        <v>星期四</v>
      </c>
    </row>
    <row r="279" spans="1:23">
      <c r="A279" s="17" t="s">
        <v>399</v>
      </c>
      <c r="B279" s="1" t="s">
        <v>348</v>
      </c>
      <c r="C279" s="9">
        <v>45309</v>
      </c>
      <c r="D279" s="1" t="e" vm="22">
        <v>#VALUE!</v>
      </c>
      <c r="E279" s="1" t="s">
        <v>406</v>
      </c>
      <c r="F279" s="1" t="s">
        <v>411</v>
      </c>
      <c r="H279" s="1" t="s">
        <v>367</v>
      </c>
      <c r="I279" s="1">
        <v>12</v>
      </c>
      <c r="J279" s="27">
        <v>186.6</v>
      </c>
      <c r="K279" s="1">
        <v>2.06</v>
      </c>
      <c r="M279" s="24">
        <f t="shared" si="28"/>
        <v>2237.14</v>
      </c>
      <c r="N279" s="36">
        <f t="shared" si="29"/>
        <v>2239.1999999999998</v>
      </c>
      <c r="O279" s="34">
        <f>IF(ISBLANK(A279),"",SUMIFS(I$3:I279,D$3:D279,D279,H$3:H279,"Buy")+SUMIFS(I$3:I279,D$3:D279,D279,H$3:H279,"Cash Deposit")+SUMIFS(I$3:I279,D$3:D279,D279,H$3:H279,"Crypto Deposit")+SUMIFS(I$3:I279,D$3:D279,D279,H$3:H279,"Airdrop/Rewards")-SUMIFS(I$3:I279,D$3:D279,D279,H$3:H279,"Sell"))</f>
        <v>0</v>
      </c>
      <c r="P279" s="2" cm="1">
        <f t="array" ref="P279">IF(ISBLANK(A279),"",IFERROR(IF(OR(H279="Sell",F279="Stable Coin"),INDEX(_xlfn._xlws.FILTER(P$2:P278, D$2:D278=D279),COUNT(_xlfn._xlws.FILTER(P$2:P278, D$2:D278=D279))),(INDEX(_xlfn._xlws.FILTER(P$2:P278, D$2:D278=D279),COUNT(_xlfn._xlws.FILTER(P$2:P278, D$2:D278=D279)))*INDEX(_xlfn._xlws.FILTER(O$2:O278, D$2:D278=D279),COUNT(_xlfn._xlws.FILTER(O$2:O278, D$2:D278=D279)))-N279) / O279), J279))</f>
        <v>183.845</v>
      </c>
      <c r="Q279" s="1" t="str">
        <f t="shared" si="30"/>
        <v>USD</v>
      </c>
      <c r="R279" s="1" cm="1">
        <f t="array" ref="R279">IF(A279="", "",
    IFERROR(
        _xlfn.SWITCH(
            TRUE,
            AND(Q279="USD", $Q$2="USD"), K279,
            AND(Q279="USD", $Q$2="GBP"), K279*$Z$3,
            AND(Q279="USD", $Q$2="HKD"), K279*$Z$4,
            AND(Q279="USD", $Q$2="EUR"), K279*$Z$5,
            AND(Q279="GBP", $Q$2="GBP"), K279,
            AND(Q279="GBP", $Q$2="USD"), K279*$Z$6,
            AND(Q279="GBP", $Q$2="HKD"), K279*$Z$7,
            AND(Q279="HKG", $Q$2="HKG"), K279,
            AND(Q279="HKD", $Q$2="USD"), K279*$Z$9,
            AND(Q279="HKD", $Q$2="GBP"), K279*$Z$10,
            AND(Q279="HKD", $Q$2="EUR"), K279*$Z$11,
            AND(Q279="EUR", $Q$2="EUR"), K279,
            AND(Q279="EUR", $Q$2="USD"), K279*$Z$12,
            AND(Q279="EUR", $Q$2="GBP"), K279*$Z$13,
            AND(Q279="EUR", $Q$2="HKD"), K279*$Z$14,
        ),
        0
    )
)</f>
        <v>2.06</v>
      </c>
      <c r="S279" s="1" cm="1">
        <f t="array" ref="S279">IF(A279="", "",
    IFERROR(
        _xlfn.SWITCH(
            TRUE,
            AND(Q279="USD", $Q$2="USD"), M279,
            AND(Q279="USD", $Q$2="GBP"), M279*$Z$3,
            AND(Q279="USD", $Q$2="HKD"), M279*$Z$4,
            AND(Q279="USD", $Q$2="EUR"), M279*$Z$5,
            AND(Q279="GBP", $Q$2="GBP"), M279,
            AND(Q279="GBP", $Q$2="USD"), M279*$Z$6,
            AND(Q279="GBP", $Q$2="HKD"), M279*$Z$7,
            AND(Q279="GBP", $Q$2="HKD"), M279*$Z$8,
            AND(Q279="HKG", $Q$2="HKG"), M279,
            AND(Q279="HKD", $Q$2="USD"), M279*$Z$9,
            AND(Q279="HKD", $Q$2="GBP"), M279*$Z$10,
            AND(Q279="HKD", $Q$2="EUR"), M279*$Z$11,
            AND(Q279="EUR", $Q$2="EUR"), M279,
            AND(Q279="EUR", $Q$2="USD"), M279*$Z$12,
            AND(Q279="EUR", $Q$2="GBP"), M279*$Z$13,
            AND(Q279="EUR", $Q$2="HKD"), M279*$Z$14,
        ),
        0
    )
)</f>
        <v>2237.14</v>
      </c>
      <c r="T279" s="1" t="str">
        <f t="shared" si="31"/>
        <v>18</v>
      </c>
      <c r="U279" s="9" t="str">
        <f t="shared" si="32"/>
        <v>01</v>
      </c>
      <c r="V279" s="1" t="str">
        <f t="shared" si="33"/>
        <v>2024</v>
      </c>
      <c r="W279" s="18" t="str">
        <f t="shared" si="34"/>
        <v>星期四</v>
      </c>
    </row>
    <row r="280" spans="1:23">
      <c r="A280" s="17" t="s">
        <v>59</v>
      </c>
      <c r="B280" s="1" t="s">
        <v>348</v>
      </c>
      <c r="C280" s="9">
        <v>45310</v>
      </c>
      <c r="D280" s="1" t="s">
        <v>368</v>
      </c>
      <c r="E280" s="1" t="s">
        <v>252</v>
      </c>
      <c r="F280" s="1" t="s">
        <v>349</v>
      </c>
      <c r="H280" s="1" t="s">
        <v>359</v>
      </c>
      <c r="I280" s="1">
        <v>127</v>
      </c>
      <c r="J280" s="27">
        <v>2.02</v>
      </c>
      <c r="M280" s="24">
        <f t="shared" si="28"/>
        <v>256.54000000000002</v>
      </c>
      <c r="N280" s="36">
        <f t="shared" si="29"/>
        <v>0</v>
      </c>
      <c r="O280" s="34">
        <f>IF(ISBLANK(A280),"",SUMIFS(I$3:I280,D$3:D280,D280,H$3:H280,"Buy")+SUMIFS(I$3:I280,D$3:D280,D280,H$3:H280,"Cash Deposit")+SUMIFS(I$3:I280,D$3:D280,D280,H$3:H280,"Crypto Deposit")+SUMIFS(I$3:I280,D$3:D280,D280,H$3:H280,"Airdrop/Rewards")-SUMIFS(I$3:I280,D$3:D280,D280,H$3:H280,"Sell"))</f>
        <v>127</v>
      </c>
      <c r="P280" s="2" cm="1">
        <f t="array" ref="P280">IF(ISBLANK(A280),"",IFERROR(IF(OR(H280="Sell",F280="Stable Coin"),INDEX(_xlfn._xlws.FILTER(P$2:P279, D$2:D279=D280),COUNT(_xlfn._xlws.FILTER(P$2:P279, D$2:D279=D280))),(INDEX(_xlfn._xlws.FILTER(P$2:P279, D$2:D279=D280),COUNT(_xlfn._xlws.FILTER(P$2:P279, D$2:D279=D280)))*INDEX(_xlfn._xlws.FILTER(O$2:O279, D$2:D279=D280),COUNT(_xlfn._xlws.FILTER(O$2:O279, D$2:D279=D280)))-N280) / O280), J280))</f>
        <v>0</v>
      </c>
      <c r="Q280" s="1" t="str">
        <f t="shared" si="30"/>
        <v>USD</v>
      </c>
      <c r="R280" s="1" cm="1">
        <f t="array" ref="R280">IF(A280="", "",
    IFERROR(
        _xlfn.SWITCH(
            TRUE,
            AND(Q280="USD", $Q$2="USD"), K280,
            AND(Q280="USD", $Q$2="GBP"), K280*$Z$3,
            AND(Q280="USD", $Q$2="HKD"), K280*$Z$4,
            AND(Q280="USD", $Q$2="EUR"), K280*$Z$5,
            AND(Q280="GBP", $Q$2="GBP"), K280,
            AND(Q280="GBP", $Q$2="USD"), K280*$Z$6,
            AND(Q280="GBP", $Q$2="HKD"), K280*$Z$7,
            AND(Q280="HKG", $Q$2="HKG"), K280,
            AND(Q280="HKD", $Q$2="USD"), K280*$Z$9,
            AND(Q280="HKD", $Q$2="GBP"), K280*$Z$10,
            AND(Q280="HKD", $Q$2="EUR"), K280*$Z$11,
            AND(Q280="EUR", $Q$2="EUR"), K280,
            AND(Q280="EUR", $Q$2="USD"), K280*$Z$12,
            AND(Q280="EUR", $Q$2="GBP"), K280*$Z$13,
            AND(Q280="EUR", $Q$2="HKD"), K280*$Z$14,
        ),
        0
    )
)</f>
        <v>0</v>
      </c>
      <c r="S280" s="1" cm="1">
        <f t="array" ref="S280">IF(A280="", "",
    IFERROR(
        _xlfn.SWITCH(
            TRUE,
            AND(Q280="USD", $Q$2="USD"), M280,
            AND(Q280="USD", $Q$2="GBP"), M280*$Z$3,
            AND(Q280="USD", $Q$2="HKD"), M280*$Z$4,
            AND(Q280="USD", $Q$2="EUR"), M280*$Z$5,
            AND(Q280="GBP", $Q$2="GBP"), M280,
            AND(Q280="GBP", $Q$2="USD"), M280*$Z$6,
            AND(Q280="GBP", $Q$2="HKD"), M280*$Z$7,
            AND(Q280="GBP", $Q$2="HKD"), M280*$Z$8,
            AND(Q280="HKG", $Q$2="HKG"), M280,
            AND(Q280="HKD", $Q$2="USD"), M280*$Z$9,
            AND(Q280="HKD", $Q$2="GBP"), M280*$Z$10,
            AND(Q280="HKD", $Q$2="EUR"), M280*$Z$11,
            AND(Q280="EUR", $Q$2="EUR"), M280,
            AND(Q280="EUR", $Q$2="USD"), M280*$Z$12,
            AND(Q280="EUR", $Q$2="GBP"), M280*$Z$13,
            AND(Q280="EUR", $Q$2="HKD"), M280*$Z$14,
        ),
        0
    )
)</f>
        <v>256.54000000000002</v>
      </c>
      <c r="T280" s="1" t="str">
        <f t="shared" si="31"/>
        <v>19</v>
      </c>
      <c r="U280" s="9" t="str">
        <f t="shared" si="32"/>
        <v>01</v>
      </c>
      <c r="V280" s="1" t="str">
        <f t="shared" si="33"/>
        <v>2024</v>
      </c>
      <c r="W280" s="18" t="str">
        <f t="shared" si="34"/>
        <v>星期五</v>
      </c>
    </row>
    <row r="281" spans="1:23">
      <c r="A281" s="17" t="s">
        <v>6</v>
      </c>
      <c r="B281" s="1" t="s">
        <v>348</v>
      </c>
      <c r="C281" s="9">
        <v>45310</v>
      </c>
      <c r="D281" s="1" t="s">
        <v>47</v>
      </c>
      <c r="E281" s="1" t="s">
        <v>4</v>
      </c>
      <c r="F281" s="1" t="s">
        <v>349</v>
      </c>
      <c r="H281" s="1" t="s">
        <v>367</v>
      </c>
      <c r="I281" s="1">
        <v>2.9880000000000002E-3</v>
      </c>
      <c r="J281" s="27">
        <v>41111.800000000003</v>
      </c>
      <c r="M281" s="24">
        <f t="shared" si="28"/>
        <v>122.84205840000001</v>
      </c>
      <c r="N281" s="36">
        <f t="shared" si="29"/>
        <v>122.84205840000001</v>
      </c>
      <c r="O281" s="34">
        <f>IF(ISBLANK(A281),"",SUMIFS(I$3:I281,D$3:D281,D281,H$3:H281,"Buy")+SUMIFS(I$3:I281,D$3:D281,D281,H$3:H281,"Cash Deposit")+SUMIFS(I$3:I281,D$3:D281,D281,H$3:H281,"Crypto Deposit")+SUMIFS(I$3:I281,D$3:D281,D281,H$3:H281,"Airdrop/Rewards")-SUMIFS(I$3:I281,D$3:D281,D281,H$3:H281,"Sell"))</f>
        <v>0.32164881999999995</v>
      </c>
      <c r="P281" s="2" cm="1">
        <f t="array" ref="P281">IF(ISBLANK(A281),"",IFERROR(IF(OR(H281="Sell",F281="Stable Coin"),INDEX(_xlfn._xlws.FILTER(P$2:P280, D$2:D280=D281),COUNT(_xlfn._xlws.FILTER(P$2:P280, D$2:D280=D281))),(INDEX(_xlfn._xlws.FILTER(P$2:P280, D$2:D280=D281),COUNT(_xlfn._xlws.FILTER(P$2:P280, D$2:D280=D281)))*INDEX(_xlfn._xlws.FILTER(O$2:O280, D$2:D280=D281),COUNT(_xlfn._xlws.FILTER(O$2:O280, D$2:D280=D281)))-N281) / O281), J281))</f>
        <v>31532.029674877882</v>
      </c>
      <c r="Q281" s="1" t="str">
        <f t="shared" si="30"/>
        <v>USD</v>
      </c>
      <c r="R281" s="1" cm="1">
        <f t="array" ref="R281">IF(A281="", "",
    IFERROR(
        _xlfn.SWITCH(
            TRUE,
            AND(Q281="USD", $Q$2="USD"), K281,
            AND(Q281="USD", $Q$2="GBP"), K281*$Z$3,
            AND(Q281="USD", $Q$2="HKD"), K281*$Z$4,
            AND(Q281="USD", $Q$2="EUR"), K281*$Z$5,
            AND(Q281="GBP", $Q$2="GBP"), K281,
            AND(Q281="GBP", $Q$2="USD"), K281*$Z$6,
            AND(Q281="GBP", $Q$2="HKD"), K281*$Z$7,
            AND(Q281="HKG", $Q$2="HKG"), K281,
            AND(Q281="HKD", $Q$2="USD"), K281*$Z$9,
            AND(Q281="HKD", $Q$2="GBP"), K281*$Z$10,
            AND(Q281="HKD", $Q$2="EUR"), K281*$Z$11,
            AND(Q281="EUR", $Q$2="EUR"), K281,
            AND(Q281="EUR", $Q$2="USD"), K281*$Z$12,
            AND(Q281="EUR", $Q$2="GBP"), K281*$Z$13,
            AND(Q281="EUR", $Q$2="HKD"), K281*$Z$14,
        ),
        0
    )
)</f>
        <v>0</v>
      </c>
      <c r="S281" s="1" cm="1">
        <f t="array" ref="S281">IF(A281="", "",
    IFERROR(
        _xlfn.SWITCH(
            TRUE,
            AND(Q281="USD", $Q$2="USD"), M281,
            AND(Q281="USD", $Q$2="GBP"), M281*$Z$3,
            AND(Q281="USD", $Q$2="HKD"), M281*$Z$4,
            AND(Q281="USD", $Q$2="EUR"), M281*$Z$5,
            AND(Q281="GBP", $Q$2="GBP"), M281,
            AND(Q281="GBP", $Q$2="USD"), M281*$Z$6,
            AND(Q281="GBP", $Q$2="HKD"), M281*$Z$7,
            AND(Q281="GBP", $Q$2="HKD"), M281*$Z$8,
            AND(Q281="HKG", $Q$2="HKG"), M281,
            AND(Q281="HKD", $Q$2="USD"), M281*$Z$9,
            AND(Q281="HKD", $Q$2="GBP"), M281*$Z$10,
            AND(Q281="HKD", $Q$2="EUR"), M281*$Z$11,
            AND(Q281="EUR", $Q$2="EUR"), M281,
            AND(Q281="EUR", $Q$2="USD"), M281*$Z$12,
            AND(Q281="EUR", $Q$2="GBP"), M281*$Z$13,
            AND(Q281="EUR", $Q$2="HKD"), M281*$Z$14,
        ),
        0
    )
)</f>
        <v>122.84205840000001</v>
      </c>
      <c r="T281" s="1" t="str">
        <f t="shared" si="31"/>
        <v>19</v>
      </c>
      <c r="U281" s="9" t="str">
        <f t="shared" si="32"/>
        <v>01</v>
      </c>
      <c r="V281" s="1" t="str">
        <f t="shared" si="33"/>
        <v>2024</v>
      </c>
      <c r="W281" s="18" t="str">
        <f t="shared" si="34"/>
        <v>星期五</v>
      </c>
    </row>
    <row r="282" spans="1:23">
      <c r="A282" s="17" t="s">
        <v>6</v>
      </c>
      <c r="B282" s="1" t="s">
        <v>348</v>
      </c>
      <c r="C282" s="9">
        <v>45310</v>
      </c>
      <c r="D282" s="1" t="s">
        <v>23</v>
      </c>
      <c r="E282" s="1" t="s">
        <v>24</v>
      </c>
      <c r="F282" s="1" t="s">
        <v>349</v>
      </c>
      <c r="H282" s="1" t="s">
        <v>347</v>
      </c>
      <c r="I282" s="1">
        <v>0.05</v>
      </c>
      <c r="J282" s="27">
        <v>2456.4299999999998</v>
      </c>
      <c r="M282" s="24">
        <f t="shared" si="28"/>
        <v>122.8215</v>
      </c>
      <c r="N282" s="36">
        <f t="shared" si="29"/>
        <v>-122.8215</v>
      </c>
      <c r="O282" s="34">
        <f>IF(ISBLANK(A282),"",SUMIFS(I$3:I282,D$3:D282,D282,H$3:H282,"Buy")+SUMIFS(I$3:I282,D$3:D282,D282,H$3:H282,"Cash Deposit")+SUMIFS(I$3:I282,D$3:D282,D282,H$3:H282,"Crypto Deposit")+SUMIFS(I$3:I282,D$3:D282,D282,H$3:H282,"Airdrop/Rewards")-SUMIFS(I$3:I282,D$3:D282,D282,H$3:H282,"Sell"))</f>
        <v>10.172151120000001</v>
      </c>
      <c r="P282" s="2" cm="1">
        <f t="array" ref="P282">IF(ISBLANK(A282),"",IFERROR(IF(OR(H282="Sell",F282="Stable Coin"),INDEX(_xlfn._xlws.FILTER(P$2:P281, D$2:D281=D282),COUNT(_xlfn._xlws.FILTER(P$2:P281, D$2:D281=D282))),(INDEX(_xlfn._xlws.FILTER(P$2:P281, D$2:D281=D282),COUNT(_xlfn._xlws.FILTER(P$2:P281, D$2:D281=D282)))*INDEX(_xlfn._xlws.FILTER(O$2:O281, D$2:D281=D282),COUNT(_xlfn._xlws.FILTER(O$2:O281, D$2:D281=D282)))-N282) / O282), J282))</f>
        <v>2363.2833372489481</v>
      </c>
      <c r="Q282" s="1" t="str">
        <f t="shared" si="30"/>
        <v>USD</v>
      </c>
      <c r="R282" s="1" cm="1">
        <f t="array" ref="R282">IF(A282="", "",
    IFERROR(
        _xlfn.SWITCH(
            TRUE,
            AND(Q282="USD", $Q$2="USD"), K282,
            AND(Q282="USD", $Q$2="GBP"), K282*$Z$3,
            AND(Q282="USD", $Q$2="HKD"), K282*$Z$4,
            AND(Q282="USD", $Q$2="EUR"), K282*$Z$5,
            AND(Q282="GBP", $Q$2="GBP"), K282,
            AND(Q282="GBP", $Q$2="USD"), K282*$Z$6,
            AND(Q282="GBP", $Q$2="HKD"), K282*$Z$7,
            AND(Q282="HKG", $Q$2="HKG"), K282,
            AND(Q282="HKD", $Q$2="USD"), K282*$Z$9,
            AND(Q282="HKD", $Q$2="GBP"), K282*$Z$10,
            AND(Q282="HKD", $Q$2="EUR"), K282*$Z$11,
            AND(Q282="EUR", $Q$2="EUR"), K282,
            AND(Q282="EUR", $Q$2="USD"), K282*$Z$12,
            AND(Q282="EUR", $Q$2="GBP"), K282*$Z$13,
            AND(Q282="EUR", $Q$2="HKD"), K282*$Z$14,
        ),
        0
    )
)</f>
        <v>0</v>
      </c>
      <c r="S282" s="1" cm="1">
        <f t="array" ref="S282">IF(A282="", "",
    IFERROR(
        _xlfn.SWITCH(
            TRUE,
            AND(Q282="USD", $Q$2="USD"), M282,
            AND(Q282="USD", $Q$2="GBP"), M282*$Z$3,
            AND(Q282="USD", $Q$2="HKD"), M282*$Z$4,
            AND(Q282="USD", $Q$2="EUR"), M282*$Z$5,
            AND(Q282="GBP", $Q$2="GBP"), M282,
            AND(Q282="GBP", $Q$2="USD"), M282*$Z$6,
            AND(Q282="GBP", $Q$2="HKD"), M282*$Z$7,
            AND(Q282="GBP", $Q$2="HKD"), M282*$Z$8,
            AND(Q282="HKG", $Q$2="HKG"), M282,
            AND(Q282="HKD", $Q$2="USD"), M282*$Z$9,
            AND(Q282="HKD", $Q$2="GBP"), M282*$Z$10,
            AND(Q282="HKD", $Q$2="EUR"), M282*$Z$11,
            AND(Q282="EUR", $Q$2="EUR"), M282,
            AND(Q282="EUR", $Q$2="USD"), M282*$Z$12,
            AND(Q282="EUR", $Q$2="GBP"), M282*$Z$13,
            AND(Q282="EUR", $Q$2="HKD"), M282*$Z$14,
        ),
        0
    )
)</f>
        <v>122.8215</v>
      </c>
      <c r="T282" s="1" t="str">
        <f t="shared" si="31"/>
        <v>19</v>
      </c>
      <c r="U282" s="9" t="str">
        <f t="shared" si="32"/>
        <v>01</v>
      </c>
      <c r="V282" s="1" t="str">
        <f t="shared" si="33"/>
        <v>2024</v>
      </c>
      <c r="W282" s="18" t="str">
        <f t="shared" si="34"/>
        <v>星期五</v>
      </c>
    </row>
    <row r="283" spans="1:23">
      <c r="A283" s="17" t="s">
        <v>399</v>
      </c>
      <c r="B283" s="1" t="s">
        <v>348</v>
      </c>
      <c r="C283" s="9">
        <v>45310</v>
      </c>
      <c r="D283" s="1" t="e" vm="17">
        <v>#VALUE!</v>
      </c>
      <c r="E283" s="1" t="s">
        <v>32</v>
      </c>
      <c r="F283" s="1" t="s">
        <v>401</v>
      </c>
      <c r="H283" s="1" t="s">
        <v>347</v>
      </c>
      <c r="I283" s="1">
        <v>4</v>
      </c>
      <c r="J283" s="27">
        <v>119.28</v>
      </c>
      <c r="K283" s="1">
        <v>2</v>
      </c>
      <c r="M283" s="24">
        <f t="shared" si="28"/>
        <v>477.12</v>
      </c>
      <c r="N283" s="36">
        <f t="shared" si="29"/>
        <v>-477.12</v>
      </c>
      <c r="O283" s="34">
        <f>IF(ISBLANK(A283),"",SUMIFS(I$3:I283,D$3:D283,D283,H$3:H283,"Buy")+SUMIFS(I$3:I283,D$3:D283,D283,H$3:H283,"Cash Deposit")+SUMIFS(I$3:I283,D$3:D283,D283,H$3:H283,"Crypto Deposit")+SUMIFS(I$3:I283,D$3:D283,D283,H$3:H283,"Airdrop/Rewards")-SUMIFS(I$3:I283,D$3:D283,D283,H$3:H283,"Sell"))</f>
        <v>88</v>
      </c>
      <c r="P283" s="2" cm="1">
        <f t="array" ref="P283">IF(ISBLANK(A283),"",IFERROR(IF(OR(H283="Sell",F283="Stable Coin"),INDEX(_xlfn._xlws.FILTER(P$2:P282, D$2:D282=D283),COUNT(_xlfn._xlws.FILTER(P$2:P282, D$2:D282=D283))),(INDEX(_xlfn._xlws.FILTER(P$2:P282, D$2:D282=D283),COUNT(_xlfn._xlws.FILTER(P$2:P282, D$2:D282=D283)))*INDEX(_xlfn._xlws.FILTER(O$2:O282, D$2:D282=D283),COUNT(_xlfn._xlws.FILTER(O$2:O282, D$2:D282=D283)))-N283) / O283), J283))</f>
        <v>82.934843603411494</v>
      </c>
      <c r="Q283" s="1" t="str">
        <f t="shared" si="30"/>
        <v>USD</v>
      </c>
      <c r="R283" s="1" cm="1">
        <f t="array" ref="R283">IF(A283="", "",
    IFERROR(
        _xlfn.SWITCH(
            TRUE,
            AND(Q283="USD", $Q$2="USD"), K283,
            AND(Q283="USD", $Q$2="GBP"), K283*$Z$3,
            AND(Q283="USD", $Q$2="HKD"), K283*$Z$4,
            AND(Q283="USD", $Q$2="EUR"), K283*$Z$5,
            AND(Q283="GBP", $Q$2="GBP"), K283,
            AND(Q283="GBP", $Q$2="USD"), K283*$Z$6,
            AND(Q283="GBP", $Q$2="HKD"), K283*$Z$7,
            AND(Q283="HKG", $Q$2="HKG"), K283,
            AND(Q283="HKD", $Q$2="USD"), K283*$Z$9,
            AND(Q283="HKD", $Q$2="GBP"), K283*$Z$10,
            AND(Q283="HKD", $Q$2="EUR"), K283*$Z$11,
            AND(Q283="EUR", $Q$2="EUR"), K283,
            AND(Q283="EUR", $Q$2="USD"), K283*$Z$12,
            AND(Q283="EUR", $Q$2="GBP"), K283*$Z$13,
            AND(Q283="EUR", $Q$2="HKD"), K283*$Z$14,
        ),
        0
    )
)</f>
        <v>2</v>
      </c>
      <c r="S283" s="1" cm="1">
        <f t="array" ref="S283">IF(A283="", "",
    IFERROR(
        _xlfn.SWITCH(
            TRUE,
            AND(Q283="USD", $Q$2="USD"), M283,
            AND(Q283="USD", $Q$2="GBP"), M283*$Z$3,
            AND(Q283="USD", $Q$2="HKD"), M283*$Z$4,
            AND(Q283="USD", $Q$2="EUR"), M283*$Z$5,
            AND(Q283="GBP", $Q$2="GBP"), M283,
            AND(Q283="GBP", $Q$2="USD"), M283*$Z$6,
            AND(Q283="GBP", $Q$2="HKD"), M283*$Z$7,
            AND(Q283="GBP", $Q$2="HKD"), M283*$Z$8,
            AND(Q283="HKG", $Q$2="HKG"), M283,
            AND(Q283="HKD", $Q$2="USD"), M283*$Z$9,
            AND(Q283="HKD", $Q$2="GBP"), M283*$Z$10,
            AND(Q283="HKD", $Q$2="EUR"), M283*$Z$11,
            AND(Q283="EUR", $Q$2="EUR"), M283,
            AND(Q283="EUR", $Q$2="USD"), M283*$Z$12,
            AND(Q283="EUR", $Q$2="GBP"), M283*$Z$13,
            AND(Q283="EUR", $Q$2="HKD"), M283*$Z$14,
        ),
        0
    )
)</f>
        <v>477.12</v>
      </c>
      <c r="T283" s="1" t="str">
        <f t="shared" si="31"/>
        <v>19</v>
      </c>
      <c r="U283" s="9" t="str">
        <f t="shared" si="32"/>
        <v>01</v>
      </c>
      <c r="V283" s="1" t="str">
        <f t="shared" si="33"/>
        <v>2024</v>
      </c>
      <c r="W283" s="18" t="str">
        <f t="shared" si="34"/>
        <v>星期五</v>
      </c>
    </row>
    <row r="284" spans="1:23">
      <c r="A284" s="17" t="s">
        <v>6</v>
      </c>
      <c r="B284" s="1" t="s">
        <v>348</v>
      </c>
      <c r="C284" s="9">
        <v>45312</v>
      </c>
      <c r="D284" s="1" t="s">
        <v>47</v>
      </c>
      <c r="E284" s="1" t="s">
        <v>4</v>
      </c>
      <c r="F284" s="1" t="s">
        <v>349</v>
      </c>
      <c r="H284" s="1" t="s">
        <v>367</v>
      </c>
      <c r="I284" s="1">
        <v>3.7499999999999999E-3</v>
      </c>
      <c r="J284" s="27">
        <v>41754.67</v>
      </c>
      <c r="M284" s="24">
        <f t="shared" si="28"/>
        <v>156.58001249999998</v>
      </c>
      <c r="N284" s="36">
        <f t="shared" si="29"/>
        <v>156.58001249999998</v>
      </c>
      <c r="O284" s="34">
        <f>IF(ISBLANK(A284),"",SUMIFS(I$3:I284,D$3:D284,D284,H$3:H284,"Buy")+SUMIFS(I$3:I284,D$3:D284,D284,H$3:H284,"Cash Deposit")+SUMIFS(I$3:I284,D$3:D284,D284,H$3:H284,"Crypto Deposit")+SUMIFS(I$3:I284,D$3:D284,D284,H$3:H284,"Airdrop/Rewards")-SUMIFS(I$3:I284,D$3:D284,D284,H$3:H284,"Sell"))</f>
        <v>0.31789881999999997</v>
      </c>
      <c r="P284" s="2" cm="1">
        <f t="array" ref="P284">IF(ISBLANK(A284),"",IFERROR(IF(OR(H284="Sell",F284="Stable Coin"),INDEX(_xlfn._xlws.FILTER(P$2:P283, D$2:D283=D284),COUNT(_xlfn._xlws.FILTER(P$2:P283, D$2:D283=D284))),(INDEX(_xlfn._xlws.FILTER(P$2:P283, D$2:D283=D284),COUNT(_xlfn._xlws.FILTER(P$2:P283, D$2:D283=D284)))*INDEX(_xlfn._xlws.FILTER(O$2:O283, D$2:D283=D284),COUNT(_xlfn._xlws.FILTER(O$2:O283, D$2:D283=D284)))-N284) / O284), J284))</f>
        <v>31532.029674877882</v>
      </c>
      <c r="Q284" s="1" t="str">
        <f t="shared" si="30"/>
        <v>USD</v>
      </c>
      <c r="R284" s="1" cm="1">
        <f t="array" ref="R284">IF(A284="", "",
    IFERROR(
        _xlfn.SWITCH(
            TRUE,
            AND(Q284="USD", $Q$2="USD"), K284,
            AND(Q284="USD", $Q$2="GBP"), K284*$Z$3,
            AND(Q284="USD", $Q$2="HKD"), K284*$Z$4,
            AND(Q284="USD", $Q$2="EUR"), K284*$Z$5,
            AND(Q284="GBP", $Q$2="GBP"), K284,
            AND(Q284="GBP", $Q$2="USD"), K284*$Z$6,
            AND(Q284="GBP", $Q$2="HKD"), K284*$Z$7,
            AND(Q284="HKG", $Q$2="HKG"), K284,
            AND(Q284="HKD", $Q$2="USD"), K284*$Z$9,
            AND(Q284="HKD", $Q$2="GBP"), K284*$Z$10,
            AND(Q284="HKD", $Q$2="EUR"), K284*$Z$11,
            AND(Q284="EUR", $Q$2="EUR"), K284,
            AND(Q284="EUR", $Q$2="USD"), K284*$Z$12,
            AND(Q284="EUR", $Q$2="GBP"), K284*$Z$13,
            AND(Q284="EUR", $Q$2="HKD"), K284*$Z$14,
        ),
        0
    )
)</f>
        <v>0</v>
      </c>
      <c r="S284" s="1" cm="1">
        <f t="array" ref="S284">IF(A284="", "",
    IFERROR(
        _xlfn.SWITCH(
            TRUE,
            AND(Q284="USD", $Q$2="USD"), M284,
            AND(Q284="USD", $Q$2="GBP"), M284*$Z$3,
            AND(Q284="USD", $Q$2="HKD"), M284*$Z$4,
            AND(Q284="USD", $Q$2="EUR"), M284*$Z$5,
            AND(Q284="GBP", $Q$2="GBP"), M284,
            AND(Q284="GBP", $Q$2="USD"), M284*$Z$6,
            AND(Q284="GBP", $Q$2="HKD"), M284*$Z$7,
            AND(Q284="GBP", $Q$2="HKD"), M284*$Z$8,
            AND(Q284="HKG", $Q$2="HKG"), M284,
            AND(Q284="HKD", $Q$2="USD"), M284*$Z$9,
            AND(Q284="HKD", $Q$2="GBP"), M284*$Z$10,
            AND(Q284="HKD", $Q$2="EUR"), M284*$Z$11,
            AND(Q284="EUR", $Q$2="EUR"), M284,
            AND(Q284="EUR", $Q$2="USD"), M284*$Z$12,
            AND(Q284="EUR", $Q$2="GBP"), M284*$Z$13,
            AND(Q284="EUR", $Q$2="HKD"), M284*$Z$14,
        ),
        0
    )
)</f>
        <v>156.58001249999998</v>
      </c>
      <c r="T284" s="1" t="str">
        <f t="shared" si="31"/>
        <v>21</v>
      </c>
      <c r="U284" s="9" t="str">
        <f t="shared" si="32"/>
        <v>01</v>
      </c>
      <c r="V284" s="1" t="str">
        <f t="shared" si="33"/>
        <v>2024</v>
      </c>
      <c r="W284" s="18" t="str">
        <f t="shared" si="34"/>
        <v>星期日</v>
      </c>
    </row>
    <row r="285" spans="1:23">
      <c r="A285" s="17" t="s">
        <v>6</v>
      </c>
      <c r="B285" s="1" t="s">
        <v>348</v>
      </c>
      <c r="C285" s="9">
        <v>45312</v>
      </c>
      <c r="D285" s="1" t="s">
        <v>49</v>
      </c>
      <c r="E285" s="1" t="s">
        <v>38</v>
      </c>
      <c r="F285" s="1" t="s">
        <v>349</v>
      </c>
      <c r="H285" s="1" t="s">
        <v>347</v>
      </c>
      <c r="I285" s="1">
        <v>10</v>
      </c>
      <c r="J285" s="27">
        <v>15.66</v>
      </c>
      <c r="M285" s="24">
        <f t="shared" si="28"/>
        <v>156.6</v>
      </c>
      <c r="N285" s="36">
        <f t="shared" si="29"/>
        <v>-156.6</v>
      </c>
      <c r="O285" s="34">
        <f>IF(ISBLANK(A285),"",SUMIFS(I$3:I285,D$3:D285,D285,H$3:H285,"Buy")+SUMIFS(I$3:I285,D$3:D285,D285,H$3:H285,"Cash Deposit")+SUMIFS(I$3:I285,D$3:D285,D285,H$3:H285,"Crypto Deposit")+SUMIFS(I$3:I285,D$3:D285,D285,H$3:H285,"Airdrop/Rewards")-SUMIFS(I$3:I285,D$3:D285,D285,H$3:H285,"Sell"))</f>
        <v>40.301810000000003</v>
      </c>
      <c r="P285" s="2" cm="1">
        <f t="array" ref="P285">IF(ISBLANK(A285),"",IFERROR(IF(OR(H285="Sell",F285="Stable Coin"),INDEX(_xlfn._xlws.FILTER(P$2:P284, D$2:D284=D285),COUNT(_xlfn._xlws.FILTER(P$2:P284, D$2:D284=D285))),(INDEX(_xlfn._xlws.FILTER(P$2:P284, D$2:D284=D285),COUNT(_xlfn._xlws.FILTER(P$2:P284, D$2:D284=D285)))*INDEX(_xlfn._xlws.FILTER(O$2:O284, D$2:D284=D285),COUNT(_xlfn._xlws.FILTER(O$2:O284, D$2:D284=D285)))-N285) / O285), J285))</f>
        <v>19.125922736203979</v>
      </c>
      <c r="Q285" s="1" t="str">
        <f t="shared" si="30"/>
        <v>USD</v>
      </c>
      <c r="R285" s="1" cm="1">
        <f t="array" ref="R285">IF(A285="", "",
    IFERROR(
        _xlfn.SWITCH(
            TRUE,
            AND(Q285="USD", $Q$2="USD"), K285,
            AND(Q285="USD", $Q$2="GBP"), K285*$Z$3,
            AND(Q285="USD", $Q$2="HKD"), K285*$Z$4,
            AND(Q285="USD", $Q$2="EUR"), K285*$Z$5,
            AND(Q285="GBP", $Q$2="GBP"), K285,
            AND(Q285="GBP", $Q$2="USD"), K285*$Z$6,
            AND(Q285="GBP", $Q$2="HKD"), K285*$Z$7,
            AND(Q285="HKG", $Q$2="HKG"), K285,
            AND(Q285="HKD", $Q$2="USD"), K285*$Z$9,
            AND(Q285="HKD", $Q$2="GBP"), K285*$Z$10,
            AND(Q285="HKD", $Q$2="EUR"), K285*$Z$11,
            AND(Q285="EUR", $Q$2="EUR"), K285,
            AND(Q285="EUR", $Q$2="USD"), K285*$Z$12,
            AND(Q285="EUR", $Q$2="GBP"), K285*$Z$13,
            AND(Q285="EUR", $Q$2="HKD"), K285*$Z$14,
        ),
        0
    )
)</f>
        <v>0</v>
      </c>
      <c r="S285" s="1" cm="1">
        <f t="array" ref="S285">IF(A285="", "",
    IFERROR(
        _xlfn.SWITCH(
            TRUE,
            AND(Q285="USD", $Q$2="USD"), M285,
            AND(Q285="USD", $Q$2="GBP"), M285*$Z$3,
            AND(Q285="USD", $Q$2="HKD"), M285*$Z$4,
            AND(Q285="USD", $Q$2="EUR"), M285*$Z$5,
            AND(Q285="GBP", $Q$2="GBP"), M285,
            AND(Q285="GBP", $Q$2="USD"), M285*$Z$6,
            AND(Q285="GBP", $Q$2="HKD"), M285*$Z$7,
            AND(Q285="GBP", $Q$2="HKD"), M285*$Z$8,
            AND(Q285="HKG", $Q$2="HKG"), M285,
            AND(Q285="HKD", $Q$2="USD"), M285*$Z$9,
            AND(Q285="HKD", $Q$2="GBP"), M285*$Z$10,
            AND(Q285="HKD", $Q$2="EUR"), M285*$Z$11,
            AND(Q285="EUR", $Q$2="EUR"), M285,
            AND(Q285="EUR", $Q$2="USD"), M285*$Z$12,
            AND(Q285="EUR", $Q$2="GBP"), M285*$Z$13,
            AND(Q285="EUR", $Q$2="HKD"), M285*$Z$14,
        ),
        0
    )
)</f>
        <v>156.6</v>
      </c>
      <c r="T285" s="1" t="str">
        <f t="shared" si="31"/>
        <v>21</v>
      </c>
      <c r="U285" s="9" t="str">
        <f t="shared" si="32"/>
        <v>01</v>
      </c>
      <c r="V285" s="1" t="str">
        <f t="shared" si="33"/>
        <v>2024</v>
      </c>
      <c r="W285" s="18" t="str">
        <f t="shared" si="34"/>
        <v>星期日</v>
      </c>
    </row>
    <row r="286" spans="1:23">
      <c r="A286" s="17" t="s">
        <v>32</v>
      </c>
      <c r="B286" s="1" t="s">
        <v>343</v>
      </c>
      <c r="C286" s="9">
        <v>45314</v>
      </c>
      <c r="D286" s="1" t="s">
        <v>345</v>
      </c>
      <c r="E286" s="1" t="s">
        <v>345</v>
      </c>
      <c r="F286" s="1" t="s">
        <v>345</v>
      </c>
      <c r="H286" s="1" t="s">
        <v>344</v>
      </c>
      <c r="I286" s="1">
        <v>1</v>
      </c>
      <c r="J286" s="27">
        <v>200</v>
      </c>
      <c r="M286" s="24">
        <f t="shared" si="28"/>
        <v>200</v>
      </c>
      <c r="N286" s="36">
        <f t="shared" si="29"/>
        <v>-200</v>
      </c>
      <c r="O286" s="34">
        <f>IF(ISBLANK(A286),"",SUMIFS(I$3:I286,D$3:D286,D286,H$3:H286,"Buy")+SUMIFS(I$3:I286,D$3:D286,D286,H$3:H286,"Cash Deposit")+SUMIFS(I$3:I286,D$3:D286,D286,H$3:H286,"Crypto Deposit")+SUMIFS(I$3:I286,D$3:D286,D286,H$3:H286,"Airdrop/Rewards")-SUMIFS(I$3:I286,D$3:D286,D286,H$3:H286,"Sell"))</f>
        <v>15</v>
      </c>
      <c r="P286" s="2" cm="1">
        <f t="array" ref="P286">IF(ISBLANK(A286),"",IFERROR(IF(OR(H286="Sell",F286="Stable Coin"),INDEX(_xlfn._xlws.FILTER(P$2:P285, D$2:D285=D286),COUNT(_xlfn._xlws.FILTER(P$2:P285, D$2:D285=D286))),(INDEX(_xlfn._xlws.FILTER(P$2:P285, D$2:D285=D286),COUNT(_xlfn._xlws.FILTER(P$2:P285, D$2:D285=D286)))*INDEX(_xlfn._xlws.FILTER(O$2:O285, D$2:D285=D286),COUNT(_xlfn._xlws.FILTER(O$2:O285, D$2:D285=D286)))-N286) / O286), J286))</f>
        <v>1232</v>
      </c>
      <c r="Q286" s="1" t="str">
        <f t="shared" si="30"/>
        <v>GBP</v>
      </c>
      <c r="R286" s="1" cm="1">
        <f t="array" ref="R286">IF(A286="", "",
    IFERROR(
        _xlfn.SWITCH(
            TRUE,
            AND(Q286="USD", $Q$2="USD"), K286,
            AND(Q286="USD", $Q$2="GBP"), K286*$Z$3,
            AND(Q286="USD", $Q$2="HKD"), K286*$Z$4,
            AND(Q286="USD", $Q$2="EUR"), K286*$Z$5,
            AND(Q286="GBP", $Q$2="GBP"), K286,
            AND(Q286="GBP", $Q$2="USD"), K286*$Z$6,
            AND(Q286="GBP", $Q$2="HKD"), K286*$Z$7,
            AND(Q286="HKG", $Q$2="HKG"), K286,
            AND(Q286="HKD", $Q$2="USD"), K286*$Z$9,
            AND(Q286="HKD", $Q$2="GBP"), K286*$Z$10,
            AND(Q286="HKD", $Q$2="EUR"), K286*$Z$11,
            AND(Q286="EUR", $Q$2="EUR"), K286,
            AND(Q286="EUR", $Q$2="USD"), K286*$Z$12,
            AND(Q286="EUR", $Q$2="GBP"), K286*$Z$13,
            AND(Q286="EUR", $Q$2="HKD"), K286*$Z$14,
        ),
        0
    )
)</f>
        <v>0</v>
      </c>
      <c r="S286" s="1" cm="1">
        <f t="array" ref="S286">IF(A286="", "",
    IFERROR(
        _xlfn.SWITCH(
            TRUE,
            AND(Q286="USD", $Q$2="USD"), M286,
            AND(Q286="USD", $Q$2="GBP"), M286*$Z$3,
            AND(Q286="USD", $Q$2="HKD"), M286*$Z$4,
            AND(Q286="USD", $Q$2="EUR"), M286*$Z$5,
            AND(Q286="GBP", $Q$2="GBP"), M286,
            AND(Q286="GBP", $Q$2="USD"), M286*$Z$6,
            AND(Q286="GBP", $Q$2="HKD"), M286*$Z$7,
            AND(Q286="GBP", $Q$2="HKD"), M286*$Z$8,
            AND(Q286="HKG", $Q$2="HKG"), M286,
            AND(Q286="HKD", $Q$2="USD"), M286*$Z$9,
            AND(Q286="HKD", $Q$2="GBP"), M286*$Z$10,
            AND(Q286="HKD", $Q$2="EUR"), M286*$Z$11,
            AND(Q286="EUR", $Q$2="EUR"), M286,
            AND(Q286="EUR", $Q$2="USD"), M286*$Z$12,
            AND(Q286="EUR", $Q$2="GBP"), M286*$Z$13,
            AND(Q286="EUR", $Q$2="HKD"), M286*$Z$14,
        ),
        0
    )
)</f>
        <v>255.64</v>
      </c>
      <c r="T286" s="1" t="str">
        <f t="shared" si="31"/>
        <v>23</v>
      </c>
      <c r="U286" s="9" t="str">
        <f t="shared" si="32"/>
        <v>01</v>
      </c>
      <c r="V286" s="1" t="str">
        <f t="shared" si="33"/>
        <v>2024</v>
      </c>
      <c r="W286" s="18" t="str">
        <f t="shared" si="34"/>
        <v>星期二</v>
      </c>
    </row>
    <row r="287" spans="1:23">
      <c r="A287" s="17" t="s">
        <v>32</v>
      </c>
      <c r="B287" s="1" t="s">
        <v>343</v>
      </c>
      <c r="C287" s="9">
        <v>45314</v>
      </c>
      <c r="D287" s="1" t="s">
        <v>345</v>
      </c>
      <c r="E287" s="1" t="s">
        <v>345</v>
      </c>
      <c r="F287" s="1" t="s">
        <v>345</v>
      </c>
      <c r="I287" s="1">
        <v>1</v>
      </c>
      <c r="J287" s="27">
        <v>51.12</v>
      </c>
      <c r="M287" s="24">
        <f t="shared" si="28"/>
        <v>51.12</v>
      </c>
      <c r="N287" s="36">
        <f t="shared" si="29"/>
        <v>0</v>
      </c>
      <c r="O287" s="34">
        <f>IF(ISBLANK(A287),"",SUMIFS(I$3:I287,D$3:D287,D287,H$3:H287,"Buy")+SUMIFS(I$3:I287,D$3:D287,D287,H$3:H287,"Cash Deposit")+SUMIFS(I$3:I287,D$3:D287,D287,H$3:H287,"Crypto Deposit")+SUMIFS(I$3:I287,D$3:D287,D287,H$3:H287,"Airdrop/Rewards")-SUMIFS(I$3:I287,D$3:D287,D287,H$3:H287,"Sell"))</f>
        <v>15</v>
      </c>
      <c r="P287" s="2" cm="1">
        <f t="array" ref="P287">IF(ISBLANK(A287),"",IFERROR(IF(OR(H287="Sell",F287="Stable Coin"),INDEX(_xlfn._xlws.FILTER(P$2:P286, D$2:D286=D287),COUNT(_xlfn._xlws.FILTER(P$2:P286, D$2:D286=D287))),(INDEX(_xlfn._xlws.FILTER(P$2:P286, D$2:D286=D287),COUNT(_xlfn._xlws.FILTER(P$2:P286, D$2:D286=D287)))*INDEX(_xlfn._xlws.FILTER(O$2:O286, D$2:D286=D287),COUNT(_xlfn._xlws.FILTER(O$2:O286, D$2:D286=D287)))-N287) / O287), J287))</f>
        <v>1232</v>
      </c>
      <c r="Q287" s="1" t="str">
        <f t="shared" si="30"/>
        <v>GBP</v>
      </c>
      <c r="R287" s="1" cm="1">
        <f t="array" ref="R287">IF(A287="", "",
    IFERROR(
        _xlfn.SWITCH(
            TRUE,
            AND(Q287="USD", $Q$2="USD"), K287,
            AND(Q287="USD", $Q$2="GBP"), K287*$Z$3,
            AND(Q287="USD", $Q$2="HKD"), K287*$Z$4,
            AND(Q287="USD", $Q$2="EUR"), K287*$Z$5,
            AND(Q287="GBP", $Q$2="GBP"), K287,
            AND(Q287="GBP", $Q$2="USD"), K287*$Z$6,
            AND(Q287="GBP", $Q$2="HKD"), K287*$Z$7,
            AND(Q287="HKG", $Q$2="HKG"), K287,
            AND(Q287="HKD", $Q$2="USD"), K287*$Z$9,
            AND(Q287="HKD", $Q$2="GBP"), K287*$Z$10,
            AND(Q287="HKD", $Q$2="EUR"), K287*$Z$11,
            AND(Q287="EUR", $Q$2="EUR"), K287,
            AND(Q287="EUR", $Q$2="USD"), K287*$Z$12,
            AND(Q287="EUR", $Q$2="GBP"), K287*$Z$13,
            AND(Q287="EUR", $Q$2="HKD"), K287*$Z$14,
        ),
        0
    )
)</f>
        <v>0</v>
      </c>
      <c r="S287" s="1" cm="1">
        <f t="array" ref="S287">IF(A287="", "",
    IFERROR(
        _xlfn.SWITCH(
            TRUE,
            AND(Q287="USD", $Q$2="USD"), M287,
            AND(Q287="USD", $Q$2="GBP"), M287*$Z$3,
            AND(Q287="USD", $Q$2="HKD"), M287*$Z$4,
            AND(Q287="USD", $Q$2="EUR"), M287*$Z$5,
            AND(Q287="GBP", $Q$2="GBP"), M287,
            AND(Q287="GBP", $Q$2="USD"), M287*$Z$6,
            AND(Q287="GBP", $Q$2="HKD"), M287*$Z$7,
            AND(Q287="GBP", $Q$2="HKD"), M287*$Z$8,
            AND(Q287="HKG", $Q$2="HKG"), M287,
            AND(Q287="HKD", $Q$2="USD"), M287*$Z$9,
            AND(Q287="HKD", $Q$2="GBP"), M287*$Z$10,
            AND(Q287="HKD", $Q$2="EUR"), M287*$Z$11,
            AND(Q287="EUR", $Q$2="EUR"), M287,
            AND(Q287="EUR", $Q$2="USD"), M287*$Z$12,
            AND(Q287="EUR", $Q$2="GBP"), M287*$Z$13,
            AND(Q287="EUR", $Q$2="HKD"), M287*$Z$14,
        ),
        0
    )
)</f>
        <v>65.341583999999997</v>
      </c>
      <c r="T287" s="1" t="str">
        <f t="shared" si="31"/>
        <v>23</v>
      </c>
      <c r="U287" s="9" t="str">
        <f t="shared" si="32"/>
        <v>01</v>
      </c>
      <c r="V287" s="1" t="str">
        <f t="shared" si="33"/>
        <v>2024</v>
      </c>
      <c r="W287" s="18" t="str">
        <f t="shared" si="34"/>
        <v>星期二</v>
      </c>
    </row>
    <row r="288" spans="1:23">
      <c r="A288" s="17" t="s">
        <v>32</v>
      </c>
      <c r="B288" s="1" t="s">
        <v>343</v>
      </c>
      <c r="C288" s="9">
        <v>45314</v>
      </c>
      <c r="D288" s="1" t="s">
        <v>393</v>
      </c>
      <c r="E288" s="1" t="s">
        <v>260</v>
      </c>
      <c r="F288" s="1" t="s">
        <v>349</v>
      </c>
      <c r="H288" s="1" t="s">
        <v>347</v>
      </c>
      <c r="I288" s="1">
        <v>2</v>
      </c>
      <c r="J288" s="27">
        <v>24.57</v>
      </c>
      <c r="K288" s="1">
        <v>1.99</v>
      </c>
      <c r="M288" s="24">
        <f t="shared" si="28"/>
        <v>49.14</v>
      </c>
      <c r="N288" s="36">
        <f t="shared" si="29"/>
        <v>-49.14</v>
      </c>
      <c r="O288" s="34">
        <f>IF(ISBLANK(A288),"",SUMIFS(I$3:I288,D$3:D288,D288,H$3:H288,"Buy")+SUMIFS(I$3:I288,D$3:D288,D288,H$3:H288,"Cash Deposit")+SUMIFS(I$3:I288,D$3:D288,D288,H$3:H288,"Crypto Deposit")+SUMIFS(I$3:I288,D$3:D288,D288,H$3:H288,"Airdrop/Rewards")-SUMIFS(I$3:I288,D$3:D288,D288,H$3:H288,"Sell"))</f>
        <v>2</v>
      </c>
      <c r="P288" s="2" cm="1">
        <f t="array" ref="P288">IF(ISBLANK(A288),"",IFERROR(IF(OR(H288="Sell",F288="Stable Coin"),INDEX(_xlfn._xlws.FILTER(P$2:P287, D$2:D287=D288),COUNT(_xlfn._xlws.FILTER(P$2:P287, D$2:D287=D288))),(INDEX(_xlfn._xlws.FILTER(P$2:P287, D$2:D287=D288),COUNT(_xlfn._xlws.FILTER(P$2:P287, D$2:D287=D288)))*INDEX(_xlfn._xlws.FILTER(O$2:O287, D$2:D287=D288),COUNT(_xlfn._xlws.FILTER(O$2:O287, D$2:D287=D288)))-N288) / O288), J288))</f>
        <v>24.57</v>
      </c>
      <c r="Q288" s="1" t="str">
        <f t="shared" si="30"/>
        <v>GBP</v>
      </c>
      <c r="R288" s="1" cm="1">
        <f t="array" ref="R288">IF(A288="", "",
    IFERROR(
        _xlfn.SWITCH(
            TRUE,
            AND(Q288="USD", $Q$2="USD"), K288,
            AND(Q288="USD", $Q$2="GBP"), K288*$Z$3,
            AND(Q288="USD", $Q$2="HKD"), K288*$Z$4,
            AND(Q288="USD", $Q$2="EUR"), K288*$Z$5,
            AND(Q288="GBP", $Q$2="GBP"), K288,
            AND(Q288="GBP", $Q$2="USD"), K288*$Z$6,
            AND(Q288="GBP", $Q$2="HKD"), K288*$Z$7,
            AND(Q288="HKG", $Q$2="HKG"), K288,
            AND(Q288="HKD", $Q$2="USD"), K288*$Z$9,
            AND(Q288="HKD", $Q$2="GBP"), K288*$Z$10,
            AND(Q288="HKD", $Q$2="EUR"), K288*$Z$11,
            AND(Q288="EUR", $Q$2="EUR"), K288,
            AND(Q288="EUR", $Q$2="USD"), K288*$Z$12,
            AND(Q288="EUR", $Q$2="GBP"), K288*$Z$13,
            AND(Q288="EUR", $Q$2="HKD"), K288*$Z$14,
        ),
        0
    )
)</f>
        <v>2.5436179999999999</v>
      </c>
      <c r="S288" s="1" cm="1">
        <f t="array" ref="S288">IF(A288="", "",
    IFERROR(
        _xlfn.SWITCH(
            TRUE,
            AND(Q288="USD", $Q$2="USD"), M288,
            AND(Q288="USD", $Q$2="GBP"), M288*$Z$3,
            AND(Q288="USD", $Q$2="HKD"), M288*$Z$4,
            AND(Q288="USD", $Q$2="EUR"), M288*$Z$5,
            AND(Q288="GBP", $Q$2="GBP"), M288,
            AND(Q288="GBP", $Q$2="USD"), M288*$Z$6,
            AND(Q288="GBP", $Q$2="HKD"), M288*$Z$7,
            AND(Q288="GBP", $Q$2="HKD"), M288*$Z$8,
            AND(Q288="HKG", $Q$2="HKG"), M288,
            AND(Q288="HKD", $Q$2="USD"), M288*$Z$9,
            AND(Q288="HKD", $Q$2="GBP"), M288*$Z$10,
            AND(Q288="HKD", $Q$2="EUR"), M288*$Z$11,
            AND(Q288="EUR", $Q$2="EUR"), M288,
            AND(Q288="EUR", $Q$2="USD"), M288*$Z$12,
            AND(Q288="EUR", $Q$2="GBP"), M288*$Z$13,
            AND(Q288="EUR", $Q$2="HKD"), M288*$Z$14,
        ),
        0
    )
)</f>
        <v>62.810748000000004</v>
      </c>
      <c r="T288" s="1" t="str">
        <f t="shared" si="31"/>
        <v>23</v>
      </c>
      <c r="U288" s="9" t="str">
        <f t="shared" si="32"/>
        <v>01</v>
      </c>
      <c r="V288" s="1" t="str">
        <f t="shared" si="33"/>
        <v>2024</v>
      </c>
      <c r="W288" s="18" t="str">
        <f t="shared" si="34"/>
        <v>星期二</v>
      </c>
    </row>
    <row r="289" spans="1:23">
      <c r="A289" s="17" t="s">
        <v>32</v>
      </c>
      <c r="B289" s="1" t="s">
        <v>343</v>
      </c>
      <c r="C289" s="9">
        <v>45314</v>
      </c>
      <c r="D289" s="1" t="s">
        <v>345</v>
      </c>
      <c r="E289" s="1" t="s">
        <v>345</v>
      </c>
      <c r="F289" s="1" t="s">
        <v>345</v>
      </c>
      <c r="I289" s="1">
        <v>1</v>
      </c>
      <c r="J289" s="27">
        <v>148.88</v>
      </c>
      <c r="M289" s="24">
        <f t="shared" si="28"/>
        <v>148.88</v>
      </c>
      <c r="N289" s="36">
        <f t="shared" si="29"/>
        <v>0</v>
      </c>
      <c r="O289" s="34">
        <f>IF(ISBLANK(A289),"",SUMIFS(I$3:I289,D$3:D289,D289,H$3:H289,"Buy")+SUMIFS(I$3:I289,D$3:D289,D289,H$3:H289,"Cash Deposit")+SUMIFS(I$3:I289,D$3:D289,D289,H$3:H289,"Crypto Deposit")+SUMIFS(I$3:I289,D$3:D289,D289,H$3:H289,"Airdrop/Rewards")-SUMIFS(I$3:I289,D$3:D289,D289,H$3:H289,"Sell"))</f>
        <v>15</v>
      </c>
      <c r="P289" s="2" cm="1">
        <f t="array" ref="P289">IF(ISBLANK(A289),"",IFERROR(IF(OR(H289="Sell",F289="Stable Coin"),INDEX(_xlfn._xlws.FILTER(P$2:P288, D$2:D288=D289),COUNT(_xlfn._xlws.FILTER(P$2:P288, D$2:D288=D289))),(INDEX(_xlfn._xlws.FILTER(P$2:P288, D$2:D288=D289),COUNT(_xlfn._xlws.FILTER(P$2:P288, D$2:D288=D289)))*INDEX(_xlfn._xlws.FILTER(O$2:O288, D$2:D288=D289),COUNT(_xlfn._xlws.FILTER(O$2:O288, D$2:D288=D289)))-N289) / O289), J289))</f>
        <v>1232</v>
      </c>
      <c r="Q289" s="1" t="str">
        <f t="shared" si="30"/>
        <v>GBP</v>
      </c>
      <c r="R289" s="1" cm="1">
        <f t="array" ref="R289">IF(A289="", "",
    IFERROR(
        _xlfn.SWITCH(
            TRUE,
            AND(Q289="USD", $Q$2="USD"), K289,
            AND(Q289="USD", $Q$2="GBP"), K289*$Z$3,
            AND(Q289="USD", $Q$2="HKD"), K289*$Z$4,
            AND(Q289="USD", $Q$2="EUR"), K289*$Z$5,
            AND(Q289="GBP", $Q$2="GBP"), K289,
            AND(Q289="GBP", $Q$2="USD"), K289*$Z$6,
            AND(Q289="GBP", $Q$2="HKD"), K289*$Z$7,
            AND(Q289="HKG", $Q$2="HKG"), K289,
            AND(Q289="HKD", $Q$2="USD"), K289*$Z$9,
            AND(Q289="HKD", $Q$2="GBP"), K289*$Z$10,
            AND(Q289="HKD", $Q$2="EUR"), K289*$Z$11,
            AND(Q289="EUR", $Q$2="EUR"), K289,
            AND(Q289="EUR", $Q$2="USD"), K289*$Z$12,
            AND(Q289="EUR", $Q$2="GBP"), K289*$Z$13,
            AND(Q289="EUR", $Q$2="HKD"), K289*$Z$14,
        ),
        0
    )
)</f>
        <v>0</v>
      </c>
      <c r="S289" s="1" cm="1">
        <f t="array" ref="S289">IF(A289="", "",
    IFERROR(
        _xlfn.SWITCH(
            TRUE,
            AND(Q289="USD", $Q$2="USD"), M289,
            AND(Q289="USD", $Q$2="GBP"), M289*$Z$3,
            AND(Q289="USD", $Q$2="HKD"), M289*$Z$4,
            AND(Q289="USD", $Q$2="EUR"), M289*$Z$5,
            AND(Q289="GBP", $Q$2="GBP"), M289,
            AND(Q289="GBP", $Q$2="USD"), M289*$Z$6,
            AND(Q289="GBP", $Q$2="HKD"), M289*$Z$7,
            AND(Q289="GBP", $Q$2="HKD"), M289*$Z$8,
            AND(Q289="HKG", $Q$2="HKG"), M289,
            AND(Q289="HKD", $Q$2="USD"), M289*$Z$9,
            AND(Q289="HKD", $Q$2="GBP"), M289*$Z$10,
            AND(Q289="HKD", $Q$2="EUR"), M289*$Z$11,
            AND(Q289="EUR", $Q$2="EUR"), M289,
            AND(Q289="EUR", $Q$2="USD"), M289*$Z$12,
            AND(Q289="EUR", $Q$2="GBP"), M289*$Z$13,
            AND(Q289="EUR", $Q$2="HKD"), M289*$Z$14,
        ),
        0
    )
)</f>
        <v>190.298416</v>
      </c>
      <c r="T289" s="1" t="str">
        <f t="shared" si="31"/>
        <v>23</v>
      </c>
      <c r="U289" s="9" t="str">
        <f t="shared" si="32"/>
        <v>01</v>
      </c>
      <c r="V289" s="1" t="str">
        <f t="shared" si="33"/>
        <v>2024</v>
      </c>
      <c r="W289" s="18" t="str">
        <f t="shared" si="34"/>
        <v>星期二</v>
      </c>
    </row>
    <row r="290" spans="1:23">
      <c r="A290" s="17" t="s">
        <v>32</v>
      </c>
      <c r="B290" s="1" t="s">
        <v>348</v>
      </c>
      <c r="C290" s="9">
        <v>45314</v>
      </c>
      <c r="D290" s="1" t="s">
        <v>122</v>
      </c>
      <c r="E290" s="1" t="s">
        <v>122</v>
      </c>
      <c r="F290" s="1" t="s">
        <v>346</v>
      </c>
      <c r="H290" s="1" t="s">
        <v>347</v>
      </c>
      <c r="I290" s="1">
        <v>187.92</v>
      </c>
      <c r="J290" s="27">
        <v>1</v>
      </c>
      <c r="M290" s="24">
        <f t="shared" si="28"/>
        <v>187.92</v>
      </c>
      <c r="N290" s="36">
        <f t="shared" si="29"/>
        <v>-187.92</v>
      </c>
      <c r="O290" s="34">
        <f>IF(ISBLANK(A290),"",SUMIFS(I$3:I290,D$3:D290,D290,H$3:H290,"Buy")+SUMIFS(I$3:I290,D$3:D290,D290,H$3:H290,"Cash Deposit")+SUMIFS(I$3:I290,D$3:D290,D290,H$3:H290,"Crypto Deposit")+SUMIFS(I$3:I290,D$3:D290,D290,H$3:H290,"Airdrop/Rewards")-SUMIFS(I$3:I290,D$3:D290,D290,H$3:H290,"Sell"))</f>
        <v>187.83999999999992</v>
      </c>
      <c r="P290" s="2" cm="1">
        <f t="array" ref="P290">IF(ISBLANK(A290),"",IFERROR(IF(OR(H290="Sell",F290="Stable Coin"),INDEX(_xlfn._xlws.FILTER(P$2:P289, D$2:D289=D290),COUNT(_xlfn._xlws.FILTER(P$2:P289, D$2:D289=D290))),(INDEX(_xlfn._xlws.FILTER(P$2:P289, D$2:D289=D290),COUNT(_xlfn._xlws.FILTER(P$2:P289, D$2:D289=D290)))*INDEX(_xlfn._xlws.FILTER(O$2:O289, D$2:D289=D290),COUNT(_xlfn._xlws.FILTER(O$2:O289, D$2:D289=D290)))-N290) / O290), J290))</f>
        <v>1</v>
      </c>
      <c r="Q290" s="1" t="str">
        <f t="shared" si="30"/>
        <v>USD</v>
      </c>
      <c r="R290" s="1" cm="1">
        <f t="array" ref="R290">IF(A290="", "",
    IFERROR(
        _xlfn.SWITCH(
            TRUE,
            AND(Q290="USD", $Q$2="USD"), K290,
            AND(Q290="USD", $Q$2="GBP"), K290*$Z$3,
            AND(Q290="USD", $Q$2="HKD"), K290*$Z$4,
            AND(Q290="USD", $Q$2="EUR"), K290*$Z$5,
            AND(Q290="GBP", $Q$2="GBP"), K290,
            AND(Q290="GBP", $Q$2="USD"), K290*$Z$6,
            AND(Q290="GBP", $Q$2="HKD"), K290*$Z$7,
            AND(Q290="HKG", $Q$2="HKG"), K290,
            AND(Q290="HKD", $Q$2="USD"), K290*$Z$9,
            AND(Q290="HKD", $Q$2="GBP"), K290*$Z$10,
            AND(Q290="HKD", $Q$2="EUR"), K290*$Z$11,
            AND(Q290="EUR", $Q$2="EUR"), K290,
            AND(Q290="EUR", $Q$2="USD"), K290*$Z$12,
            AND(Q290="EUR", $Q$2="GBP"), K290*$Z$13,
            AND(Q290="EUR", $Q$2="HKD"), K290*$Z$14,
        ),
        0
    )
)</f>
        <v>0</v>
      </c>
      <c r="S290" s="1" cm="1">
        <f t="array" ref="S290">IF(A290="", "",
    IFERROR(
        _xlfn.SWITCH(
            TRUE,
            AND(Q290="USD", $Q$2="USD"), M290,
            AND(Q290="USD", $Q$2="GBP"), M290*$Z$3,
            AND(Q290="USD", $Q$2="HKD"), M290*$Z$4,
            AND(Q290="USD", $Q$2="EUR"), M290*$Z$5,
            AND(Q290="GBP", $Q$2="GBP"), M290,
            AND(Q290="GBP", $Q$2="USD"), M290*$Z$6,
            AND(Q290="GBP", $Q$2="HKD"), M290*$Z$7,
            AND(Q290="GBP", $Q$2="HKD"), M290*$Z$8,
            AND(Q290="HKG", $Q$2="HKG"), M290,
            AND(Q290="HKD", $Q$2="USD"), M290*$Z$9,
            AND(Q290="HKD", $Q$2="GBP"), M290*$Z$10,
            AND(Q290="HKD", $Q$2="EUR"), M290*$Z$11,
            AND(Q290="EUR", $Q$2="EUR"), M290,
            AND(Q290="EUR", $Q$2="USD"), M290*$Z$12,
            AND(Q290="EUR", $Q$2="GBP"), M290*$Z$13,
            AND(Q290="EUR", $Q$2="HKD"), M290*$Z$14,
        ),
        0
    )
)</f>
        <v>187.92</v>
      </c>
      <c r="T290" s="1" t="str">
        <f t="shared" si="31"/>
        <v>23</v>
      </c>
      <c r="U290" s="9" t="str">
        <f t="shared" si="32"/>
        <v>01</v>
      </c>
      <c r="V290" s="1" t="str">
        <f t="shared" si="33"/>
        <v>2024</v>
      </c>
      <c r="W290" s="18" t="str">
        <f t="shared" si="34"/>
        <v>星期二</v>
      </c>
    </row>
    <row r="291" spans="1:23">
      <c r="A291" s="17" t="s">
        <v>32</v>
      </c>
      <c r="B291" s="1" t="s">
        <v>348</v>
      </c>
      <c r="C291" s="9">
        <v>45314</v>
      </c>
      <c r="D291" s="1" t="s">
        <v>122</v>
      </c>
      <c r="E291" s="1" t="s">
        <v>122</v>
      </c>
      <c r="F291" s="1" t="s">
        <v>346</v>
      </c>
      <c r="H291" s="1" t="s">
        <v>367</v>
      </c>
      <c r="I291" s="1">
        <v>88.8</v>
      </c>
      <c r="J291" s="27">
        <v>1</v>
      </c>
      <c r="M291" s="24">
        <f t="shared" si="28"/>
        <v>88.8</v>
      </c>
      <c r="N291" s="36">
        <f t="shared" si="29"/>
        <v>88.8</v>
      </c>
      <c r="O291" s="34">
        <f>IF(ISBLANK(A291),"",SUMIFS(I$3:I291,D$3:D291,D291,H$3:H291,"Buy")+SUMIFS(I$3:I291,D$3:D291,D291,H$3:H291,"Cash Deposit")+SUMIFS(I$3:I291,D$3:D291,D291,H$3:H291,"Crypto Deposit")+SUMIFS(I$3:I291,D$3:D291,D291,H$3:H291,"Airdrop/Rewards")-SUMIFS(I$3:I291,D$3:D291,D291,H$3:H291,"Sell"))</f>
        <v>99.039999999999964</v>
      </c>
      <c r="P291" s="2" cm="1">
        <f t="array" ref="P291">IF(ISBLANK(A291),"",IFERROR(IF(OR(H291="Sell",F291="Stable Coin"),INDEX(_xlfn._xlws.FILTER(P$2:P290, D$2:D290=D291),COUNT(_xlfn._xlws.FILTER(P$2:P290, D$2:D290=D291))),(INDEX(_xlfn._xlws.FILTER(P$2:P290, D$2:D290=D291),COUNT(_xlfn._xlws.FILTER(P$2:P290, D$2:D290=D291)))*INDEX(_xlfn._xlws.FILTER(O$2:O290, D$2:D290=D291),COUNT(_xlfn._xlws.FILTER(O$2:O290, D$2:D290=D291)))-N291) / O291), J291))</f>
        <v>1</v>
      </c>
      <c r="Q291" s="1" t="str">
        <f t="shared" si="30"/>
        <v>USD</v>
      </c>
      <c r="R291" s="1" cm="1">
        <f t="array" ref="R291">IF(A291="", "",
    IFERROR(
        _xlfn.SWITCH(
            TRUE,
            AND(Q291="USD", $Q$2="USD"), K291,
            AND(Q291="USD", $Q$2="GBP"), K291*$Z$3,
            AND(Q291="USD", $Q$2="HKD"), K291*$Z$4,
            AND(Q291="USD", $Q$2="EUR"), K291*$Z$5,
            AND(Q291="GBP", $Q$2="GBP"), K291,
            AND(Q291="GBP", $Q$2="USD"), K291*$Z$6,
            AND(Q291="GBP", $Q$2="HKD"), K291*$Z$7,
            AND(Q291="HKG", $Q$2="HKG"), K291,
            AND(Q291="HKD", $Q$2="USD"), K291*$Z$9,
            AND(Q291="HKD", $Q$2="GBP"), K291*$Z$10,
            AND(Q291="HKD", $Q$2="EUR"), K291*$Z$11,
            AND(Q291="EUR", $Q$2="EUR"), K291,
            AND(Q291="EUR", $Q$2="USD"), K291*$Z$12,
            AND(Q291="EUR", $Q$2="GBP"), K291*$Z$13,
            AND(Q291="EUR", $Q$2="HKD"), K291*$Z$14,
        ),
        0
    )
)</f>
        <v>0</v>
      </c>
      <c r="S291" s="1" cm="1">
        <f t="array" ref="S291">IF(A291="", "",
    IFERROR(
        _xlfn.SWITCH(
            TRUE,
            AND(Q291="USD", $Q$2="USD"), M291,
            AND(Q291="USD", $Q$2="GBP"), M291*$Z$3,
            AND(Q291="USD", $Q$2="HKD"), M291*$Z$4,
            AND(Q291="USD", $Q$2="EUR"), M291*$Z$5,
            AND(Q291="GBP", $Q$2="GBP"), M291,
            AND(Q291="GBP", $Q$2="USD"), M291*$Z$6,
            AND(Q291="GBP", $Q$2="HKD"), M291*$Z$7,
            AND(Q291="GBP", $Q$2="HKD"), M291*$Z$8,
            AND(Q291="HKG", $Q$2="HKG"), M291,
            AND(Q291="HKD", $Q$2="USD"), M291*$Z$9,
            AND(Q291="HKD", $Q$2="GBP"), M291*$Z$10,
            AND(Q291="HKD", $Q$2="EUR"), M291*$Z$11,
            AND(Q291="EUR", $Q$2="EUR"), M291,
            AND(Q291="EUR", $Q$2="USD"), M291*$Z$12,
            AND(Q291="EUR", $Q$2="GBP"), M291*$Z$13,
            AND(Q291="EUR", $Q$2="HKD"), M291*$Z$14,
        ),
        0
    )
)</f>
        <v>88.8</v>
      </c>
      <c r="T291" s="1" t="str">
        <f t="shared" si="31"/>
        <v>23</v>
      </c>
      <c r="U291" s="9" t="str">
        <f t="shared" si="32"/>
        <v>01</v>
      </c>
      <c r="V291" s="1" t="str">
        <f t="shared" si="33"/>
        <v>2024</v>
      </c>
      <c r="W291" s="18" t="str">
        <f t="shared" si="34"/>
        <v>星期二</v>
      </c>
    </row>
    <row r="292" spans="1:23">
      <c r="A292" s="17" t="s">
        <v>32</v>
      </c>
      <c r="B292" s="1" t="s">
        <v>348</v>
      </c>
      <c r="C292" s="9">
        <v>45314</v>
      </c>
      <c r="D292" s="1" t="s">
        <v>47</v>
      </c>
      <c r="E292" s="1" t="s">
        <v>4</v>
      </c>
      <c r="F292" s="1" t="s">
        <v>349</v>
      </c>
      <c r="H292" s="1" t="s">
        <v>347</v>
      </c>
      <c r="I292" s="1">
        <v>2.1849999999999999E-3</v>
      </c>
      <c r="J292" s="27">
        <v>40640.732264999999</v>
      </c>
      <c r="M292" s="24">
        <f t="shared" si="28"/>
        <v>88.79999999902499</v>
      </c>
      <c r="N292" s="36">
        <f t="shared" si="29"/>
        <v>-88.79999999902499</v>
      </c>
      <c r="O292" s="34">
        <f>IF(ISBLANK(A292),"",SUMIFS(I$3:I292,D$3:D292,D292,H$3:H292,"Buy")+SUMIFS(I$3:I292,D$3:D292,D292,H$3:H292,"Cash Deposit")+SUMIFS(I$3:I292,D$3:D292,D292,H$3:H292,"Crypto Deposit")+SUMIFS(I$3:I292,D$3:D292,D292,H$3:H292,"Airdrop/Rewards")-SUMIFS(I$3:I292,D$3:D292,D292,H$3:H292,"Sell"))</f>
        <v>0.32008381999999996</v>
      </c>
      <c r="P292" s="2" cm="1">
        <f t="array" ref="P292">IF(ISBLANK(A292),"",IFERROR(IF(OR(H292="Sell",F292="Stable Coin"),INDEX(_xlfn._xlws.FILTER(P$2:P291, D$2:D291=D292),COUNT(_xlfn._xlws.FILTER(P$2:P291, D$2:D291=D292))),(INDEX(_xlfn._xlws.FILTER(P$2:P291, D$2:D291=D292),COUNT(_xlfn._xlws.FILTER(P$2:P291, D$2:D291=D292)))*INDEX(_xlfn._xlws.FILTER(O$2:O291, D$2:D291=D292),COUNT(_xlfn._xlws.FILTER(O$2:O291, D$2:D291=D292)))-N292) / O292), J292))</f>
        <v>31594.208747720164</v>
      </c>
      <c r="Q292" s="1" t="str">
        <f t="shared" si="30"/>
        <v>USD</v>
      </c>
      <c r="R292" s="1" cm="1">
        <f t="array" ref="R292">IF(A292="", "",
    IFERROR(
        _xlfn.SWITCH(
            TRUE,
            AND(Q292="USD", $Q$2="USD"), K292,
            AND(Q292="USD", $Q$2="GBP"), K292*$Z$3,
            AND(Q292="USD", $Q$2="HKD"), K292*$Z$4,
            AND(Q292="USD", $Q$2="EUR"), K292*$Z$5,
            AND(Q292="GBP", $Q$2="GBP"), K292,
            AND(Q292="GBP", $Q$2="USD"), K292*$Z$6,
            AND(Q292="GBP", $Q$2="HKD"), K292*$Z$7,
            AND(Q292="HKG", $Q$2="HKG"), K292,
            AND(Q292="HKD", $Q$2="USD"), K292*$Z$9,
            AND(Q292="HKD", $Q$2="GBP"), K292*$Z$10,
            AND(Q292="HKD", $Q$2="EUR"), K292*$Z$11,
            AND(Q292="EUR", $Q$2="EUR"), K292,
            AND(Q292="EUR", $Q$2="USD"), K292*$Z$12,
            AND(Q292="EUR", $Q$2="GBP"), K292*$Z$13,
            AND(Q292="EUR", $Q$2="HKD"), K292*$Z$14,
        ),
        0
    )
)</f>
        <v>0</v>
      </c>
      <c r="S292" s="1" cm="1">
        <f t="array" ref="S292">IF(A292="", "",
    IFERROR(
        _xlfn.SWITCH(
            TRUE,
            AND(Q292="USD", $Q$2="USD"), M292,
            AND(Q292="USD", $Q$2="GBP"), M292*$Z$3,
            AND(Q292="USD", $Q$2="HKD"), M292*$Z$4,
            AND(Q292="USD", $Q$2="EUR"), M292*$Z$5,
            AND(Q292="GBP", $Q$2="GBP"), M292,
            AND(Q292="GBP", $Q$2="USD"), M292*$Z$6,
            AND(Q292="GBP", $Q$2="HKD"), M292*$Z$7,
            AND(Q292="GBP", $Q$2="HKD"), M292*$Z$8,
            AND(Q292="HKG", $Q$2="HKG"), M292,
            AND(Q292="HKD", $Q$2="USD"), M292*$Z$9,
            AND(Q292="HKD", $Q$2="GBP"), M292*$Z$10,
            AND(Q292="HKD", $Q$2="EUR"), M292*$Z$11,
            AND(Q292="EUR", $Q$2="EUR"), M292,
            AND(Q292="EUR", $Q$2="USD"), M292*$Z$12,
            AND(Q292="EUR", $Q$2="GBP"), M292*$Z$13,
            AND(Q292="EUR", $Q$2="HKD"), M292*$Z$14,
        ),
        0
    )
)</f>
        <v>88.79999999902499</v>
      </c>
      <c r="T292" s="1" t="str">
        <f t="shared" si="31"/>
        <v>23</v>
      </c>
      <c r="U292" s="9" t="str">
        <f t="shared" si="32"/>
        <v>01</v>
      </c>
      <c r="V292" s="1" t="str">
        <f t="shared" si="33"/>
        <v>2024</v>
      </c>
      <c r="W292" s="18" t="str">
        <f t="shared" si="34"/>
        <v>星期二</v>
      </c>
    </row>
    <row r="293" spans="1:23">
      <c r="A293" s="17" t="s">
        <v>32</v>
      </c>
      <c r="B293" s="1" t="s">
        <v>348</v>
      </c>
      <c r="C293" s="9">
        <v>45314</v>
      </c>
      <c r="D293" s="1" t="s">
        <v>122</v>
      </c>
      <c r="E293" s="1" t="s">
        <v>122</v>
      </c>
      <c r="F293" s="1" t="s">
        <v>346</v>
      </c>
      <c r="H293" s="1" t="s">
        <v>367</v>
      </c>
      <c r="I293" s="1">
        <v>99.11</v>
      </c>
      <c r="J293" s="27">
        <v>1</v>
      </c>
      <c r="M293" s="24">
        <f t="shared" si="28"/>
        <v>99.11</v>
      </c>
      <c r="N293" s="36">
        <f t="shared" si="29"/>
        <v>99.11</v>
      </c>
      <c r="O293" s="34">
        <f>IF(ISBLANK(A293),"",SUMIFS(I$3:I293,D$3:D293,D293,H$3:H293,"Buy")+SUMIFS(I$3:I293,D$3:D293,D293,H$3:H293,"Cash Deposit")+SUMIFS(I$3:I293,D$3:D293,D293,H$3:H293,"Crypto Deposit")+SUMIFS(I$3:I293,D$3:D293,D293,H$3:H293,"Airdrop/Rewards")-SUMIFS(I$3:I293,D$3:D293,D293,H$3:H293,"Sell"))</f>
        <v>-7.0000000000163709E-2</v>
      </c>
      <c r="P293" s="2" cm="1">
        <f t="array" ref="P293">IF(ISBLANK(A293),"",IFERROR(IF(OR(H293="Sell",F293="Stable Coin"),INDEX(_xlfn._xlws.FILTER(P$2:P292, D$2:D292=D293),COUNT(_xlfn._xlws.FILTER(P$2:P292, D$2:D292=D293))),(INDEX(_xlfn._xlws.FILTER(P$2:P292, D$2:D292=D293),COUNT(_xlfn._xlws.FILTER(P$2:P292, D$2:D292=D293)))*INDEX(_xlfn._xlws.FILTER(O$2:O292, D$2:D292=D293),COUNT(_xlfn._xlws.FILTER(O$2:O292, D$2:D292=D293)))-N293) / O293), J293))</f>
        <v>1</v>
      </c>
      <c r="Q293" s="1" t="str">
        <f t="shared" si="30"/>
        <v>USD</v>
      </c>
      <c r="R293" s="1" cm="1">
        <f t="array" ref="R293">IF(A293="", "",
    IFERROR(
        _xlfn.SWITCH(
            TRUE,
            AND(Q293="USD", $Q$2="USD"), K293,
            AND(Q293="USD", $Q$2="GBP"), K293*$Z$3,
            AND(Q293="USD", $Q$2="HKD"), K293*$Z$4,
            AND(Q293="USD", $Q$2="EUR"), K293*$Z$5,
            AND(Q293="GBP", $Q$2="GBP"), K293,
            AND(Q293="GBP", $Q$2="USD"), K293*$Z$6,
            AND(Q293="GBP", $Q$2="HKD"), K293*$Z$7,
            AND(Q293="HKG", $Q$2="HKG"), K293,
            AND(Q293="HKD", $Q$2="USD"), K293*$Z$9,
            AND(Q293="HKD", $Q$2="GBP"), K293*$Z$10,
            AND(Q293="HKD", $Q$2="EUR"), K293*$Z$11,
            AND(Q293="EUR", $Q$2="EUR"), K293,
            AND(Q293="EUR", $Q$2="USD"), K293*$Z$12,
            AND(Q293="EUR", $Q$2="GBP"), K293*$Z$13,
            AND(Q293="EUR", $Q$2="HKD"), K293*$Z$14,
        ),
        0
    )
)</f>
        <v>0</v>
      </c>
      <c r="S293" s="1" cm="1">
        <f t="array" ref="S293">IF(A293="", "",
    IFERROR(
        _xlfn.SWITCH(
            TRUE,
            AND(Q293="USD", $Q$2="USD"), M293,
            AND(Q293="USD", $Q$2="GBP"), M293*$Z$3,
            AND(Q293="USD", $Q$2="HKD"), M293*$Z$4,
            AND(Q293="USD", $Q$2="EUR"), M293*$Z$5,
            AND(Q293="GBP", $Q$2="GBP"), M293,
            AND(Q293="GBP", $Q$2="USD"), M293*$Z$6,
            AND(Q293="GBP", $Q$2="HKD"), M293*$Z$7,
            AND(Q293="GBP", $Q$2="HKD"), M293*$Z$8,
            AND(Q293="HKG", $Q$2="HKG"), M293,
            AND(Q293="HKD", $Q$2="USD"), M293*$Z$9,
            AND(Q293="HKD", $Q$2="GBP"), M293*$Z$10,
            AND(Q293="HKD", $Q$2="EUR"), M293*$Z$11,
            AND(Q293="EUR", $Q$2="EUR"), M293,
            AND(Q293="EUR", $Q$2="USD"), M293*$Z$12,
            AND(Q293="EUR", $Q$2="GBP"), M293*$Z$13,
            AND(Q293="EUR", $Q$2="HKD"), M293*$Z$14,
        ),
        0
    )
)</f>
        <v>99.11</v>
      </c>
      <c r="T293" s="1" t="str">
        <f t="shared" si="31"/>
        <v>23</v>
      </c>
      <c r="U293" s="9" t="str">
        <f t="shared" si="32"/>
        <v>01</v>
      </c>
      <c r="V293" s="1" t="str">
        <f t="shared" si="33"/>
        <v>2024</v>
      </c>
      <c r="W293" s="18" t="str">
        <f t="shared" si="34"/>
        <v>星期二</v>
      </c>
    </row>
    <row r="294" spans="1:23">
      <c r="A294" s="17" t="s">
        <v>32</v>
      </c>
      <c r="B294" s="1" t="s">
        <v>348</v>
      </c>
      <c r="C294" s="9">
        <v>45314</v>
      </c>
      <c r="D294" s="1" t="s">
        <v>23</v>
      </c>
      <c r="E294" s="1" t="s">
        <v>24</v>
      </c>
      <c r="F294" s="1" t="s">
        <v>349</v>
      </c>
      <c r="H294" s="1" t="s">
        <v>347</v>
      </c>
      <c r="I294" s="1">
        <v>4.3299999999999998E-2</v>
      </c>
      <c r="J294" s="27">
        <v>2288.91454965</v>
      </c>
      <c r="M294" s="24">
        <f t="shared" si="28"/>
        <v>99.109999999845002</v>
      </c>
      <c r="N294" s="36">
        <f t="shared" si="29"/>
        <v>-99.109999999845002</v>
      </c>
      <c r="O294" s="34">
        <f>IF(ISBLANK(A294),"",SUMIFS(I$3:I294,D$3:D294,D294,H$3:H294,"Buy")+SUMIFS(I$3:I294,D$3:D294,D294,H$3:H294,"Cash Deposit")+SUMIFS(I$3:I294,D$3:D294,D294,H$3:H294,"Crypto Deposit")+SUMIFS(I$3:I294,D$3:D294,D294,H$3:H294,"Airdrop/Rewards")-SUMIFS(I$3:I294,D$3:D294,D294,H$3:H294,"Sell"))</f>
        <v>10.215451120000001</v>
      </c>
      <c r="P294" s="2" cm="1">
        <f t="array" ref="P294">IF(ISBLANK(A294),"",IFERROR(IF(OR(H294="Sell",F294="Stable Coin"),INDEX(_xlfn._xlws.FILTER(P$2:P293, D$2:D293=D294),COUNT(_xlfn._xlws.FILTER(P$2:P293, D$2:D293=D294))),(INDEX(_xlfn._xlws.FILTER(P$2:P293, D$2:D293=D294),COUNT(_xlfn._xlws.FILTER(P$2:P293, D$2:D293=D294)))*INDEX(_xlfn._xlws.FILTER(O$2:O293, D$2:D293=D294),COUNT(_xlfn._xlws.FILTER(O$2:O293, D$2:D293=D294)))-N294) / O294), J294))</f>
        <v>2362.9681119627412</v>
      </c>
      <c r="Q294" s="1" t="str">
        <f t="shared" si="30"/>
        <v>USD</v>
      </c>
      <c r="R294" s="1" cm="1">
        <f t="array" ref="R294">IF(A294="", "",
    IFERROR(
        _xlfn.SWITCH(
            TRUE,
            AND(Q294="USD", $Q$2="USD"), K294,
            AND(Q294="USD", $Q$2="GBP"), K294*$Z$3,
            AND(Q294="USD", $Q$2="HKD"), K294*$Z$4,
            AND(Q294="USD", $Q$2="EUR"), K294*$Z$5,
            AND(Q294="GBP", $Q$2="GBP"), K294,
            AND(Q294="GBP", $Q$2="USD"), K294*$Z$6,
            AND(Q294="GBP", $Q$2="HKD"), K294*$Z$7,
            AND(Q294="HKG", $Q$2="HKG"), K294,
            AND(Q294="HKD", $Q$2="USD"), K294*$Z$9,
            AND(Q294="HKD", $Q$2="GBP"), K294*$Z$10,
            AND(Q294="HKD", $Q$2="EUR"), K294*$Z$11,
            AND(Q294="EUR", $Q$2="EUR"), K294,
            AND(Q294="EUR", $Q$2="USD"), K294*$Z$12,
            AND(Q294="EUR", $Q$2="GBP"), K294*$Z$13,
            AND(Q294="EUR", $Q$2="HKD"), K294*$Z$14,
        ),
        0
    )
)</f>
        <v>0</v>
      </c>
      <c r="S294" s="1" cm="1">
        <f t="array" ref="S294">IF(A294="", "",
    IFERROR(
        _xlfn.SWITCH(
            TRUE,
            AND(Q294="USD", $Q$2="USD"), M294,
            AND(Q294="USD", $Q$2="GBP"), M294*$Z$3,
            AND(Q294="USD", $Q$2="HKD"), M294*$Z$4,
            AND(Q294="USD", $Q$2="EUR"), M294*$Z$5,
            AND(Q294="GBP", $Q$2="GBP"), M294,
            AND(Q294="GBP", $Q$2="USD"), M294*$Z$6,
            AND(Q294="GBP", $Q$2="HKD"), M294*$Z$7,
            AND(Q294="GBP", $Q$2="HKD"), M294*$Z$8,
            AND(Q294="HKG", $Q$2="HKG"), M294,
            AND(Q294="HKD", $Q$2="USD"), M294*$Z$9,
            AND(Q294="HKD", $Q$2="GBP"), M294*$Z$10,
            AND(Q294="HKD", $Q$2="EUR"), M294*$Z$11,
            AND(Q294="EUR", $Q$2="EUR"), M294,
            AND(Q294="EUR", $Q$2="USD"), M294*$Z$12,
            AND(Q294="EUR", $Q$2="GBP"), M294*$Z$13,
            AND(Q294="EUR", $Q$2="HKD"), M294*$Z$14,
        ),
        0
    )
)</f>
        <v>99.109999999845002</v>
      </c>
      <c r="T294" s="1" t="str">
        <f t="shared" si="31"/>
        <v>23</v>
      </c>
      <c r="U294" s="9" t="str">
        <f t="shared" si="32"/>
        <v>01</v>
      </c>
      <c r="V294" s="1" t="str">
        <f t="shared" si="33"/>
        <v>2024</v>
      </c>
      <c r="W294" s="18" t="str">
        <f t="shared" si="34"/>
        <v>星期二</v>
      </c>
    </row>
    <row r="295" spans="1:23">
      <c r="A295" s="17" t="s">
        <v>399</v>
      </c>
      <c r="B295" s="1" t="s">
        <v>348</v>
      </c>
      <c r="C295" s="9">
        <v>45314</v>
      </c>
      <c r="D295" s="1" t="e" vm="20">
        <v>#VALUE!</v>
      </c>
      <c r="E295" s="1" t="s">
        <v>402</v>
      </c>
      <c r="F295" s="1" t="s">
        <v>401</v>
      </c>
      <c r="H295" s="1" t="s">
        <v>347</v>
      </c>
      <c r="I295" s="1">
        <v>20</v>
      </c>
      <c r="J295" s="27">
        <v>16.3</v>
      </c>
      <c r="K295" s="1">
        <v>2.0499999999999998</v>
      </c>
      <c r="M295" s="24">
        <f t="shared" si="28"/>
        <v>326</v>
      </c>
      <c r="N295" s="36">
        <f t="shared" si="29"/>
        <v>-326</v>
      </c>
      <c r="O295" s="34">
        <f>IF(ISBLANK(A295),"",SUMIFS(I$3:I295,D$3:D295,D295,H$3:H295,"Buy")+SUMIFS(I$3:I295,D$3:D295,D295,H$3:H295,"Cash Deposit")+SUMIFS(I$3:I295,D$3:D295,D295,H$3:H295,"Crypto Deposit")+SUMIFS(I$3:I295,D$3:D295,D295,H$3:H295,"Airdrop/Rewards")-SUMIFS(I$3:I295,D$3:D295,D295,H$3:H295,"Sell"))</f>
        <v>235</v>
      </c>
      <c r="P295" s="2" cm="1">
        <f t="array" ref="P295">IF(ISBLANK(A295),"",IFERROR(IF(OR(H295="Sell",F295="Stable Coin"),INDEX(_xlfn._xlws.FILTER(P$2:P294, D$2:D294=D295),COUNT(_xlfn._xlws.FILTER(P$2:P294, D$2:D294=D295))),(INDEX(_xlfn._xlws.FILTER(P$2:P294, D$2:D294=D295),COUNT(_xlfn._xlws.FILTER(P$2:P294, D$2:D294=D295)))*INDEX(_xlfn._xlws.FILTER(O$2:O294, D$2:D294=D295),COUNT(_xlfn._xlws.FILTER(O$2:O294, D$2:D294=D295)))-N295) / O295), J295))</f>
        <v>11.40570156028369</v>
      </c>
      <c r="Q295" s="1" t="str">
        <f t="shared" si="30"/>
        <v>USD</v>
      </c>
      <c r="R295" s="1" cm="1">
        <f t="array" ref="R295">IF(A295="", "",
    IFERROR(
        _xlfn.SWITCH(
            TRUE,
            AND(Q295="USD", $Q$2="USD"), K295,
            AND(Q295="USD", $Q$2="GBP"), K295*$Z$3,
            AND(Q295="USD", $Q$2="HKD"), K295*$Z$4,
            AND(Q295="USD", $Q$2="EUR"), K295*$Z$5,
            AND(Q295="GBP", $Q$2="GBP"), K295,
            AND(Q295="GBP", $Q$2="USD"), K295*$Z$6,
            AND(Q295="GBP", $Q$2="HKD"), K295*$Z$7,
            AND(Q295="HKG", $Q$2="HKG"), K295,
            AND(Q295="HKD", $Q$2="USD"), K295*$Z$9,
            AND(Q295="HKD", $Q$2="GBP"), K295*$Z$10,
            AND(Q295="HKD", $Q$2="EUR"), K295*$Z$11,
            AND(Q295="EUR", $Q$2="EUR"), K295,
            AND(Q295="EUR", $Q$2="USD"), K295*$Z$12,
            AND(Q295="EUR", $Q$2="GBP"), K295*$Z$13,
            AND(Q295="EUR", $Q$2="HKD"), K295*$Z$14,
        ),
        0
    )
)</f>
        <v>2.0499999999999998</v>
      </c>
      <c r="S295" s="1" cm="1">
        <f t="array" ref="S295">IF(A295="", "",
    IFERROR(
        _xlfn.SWITCH(
            TRUE,
            AND(Q295="USD", $Q$2="USD"), M295,
            AND(Q295="USD", $Q$2="GBP"), M295*$Z$3,
            AND(Q295="USD", $Q$2="HKD"), M295*$Z$4,
            AND(Q295="USD", $Q$2="EUR"), M295*$Z$5,
            AND(Q295="GBP", $Q$2="GBP"), M295,
            AND(Q295="GBP", $Q$2="USD"), M295*$Z$6,
            AND(Q295="GBP", $Q$2="HKD"), M295*$Z$7,
            AND(Q295="GBP", $Q$2="HKD"), M295*$Z$8,
            AND(Q295="HKG", $Q$2="HKG"), M295,
            AND(Q295="HKD", $Q$2="USD"), M295*$Z$9,
            AND(Q295="HKD", $Q$2="GBP"), M295*$Z$10,
            AND(Q295="HKD", $Q$2="EUR"), M295*$Z$11,
            AND(Q295="EUR", $Q$2="EUR"), M295,
            AND(Q295="EUR", $Q$2="USD"), M295*$Z$12,
            AND(Q295="EUR", $Q$2="GBP"), M295*$Z$13,
            AND(Q295="EUR", $Q$2="HKD"), M295*$Z$14,
        ),
        0
    )
)</f>
        <v>326</v>
      </c>
      <c r="T295" s="1" t="str">
        <f t="shared" si="31"/>
        <v>23</v>
      </c>
      <c r="U295" s="9" t="str">
        <f t="shared" si="32"/>
        <v>01</v>
      </c>
      <c r="V295" s="1" t="str">
        <f t="shared" si="33"/>
        <v>2024</v>
      </c>
      <c r="W295" s="18" t="str">
        <f t="shared" si="34"/>
        <v>星期二</v>
      </c>
    </row>
    <row r="296" spans="1:23">
      <c r="A296" s="17" t="s">
        <v>399</v>
      </c>
      <c r="B296" s="1" t="s">
        <v>348</v>
      </c>
      <c r="C296" s="9">
        <v>45314</v>
      </c>
      <c r="D296" s="1" t="e" vm="21">
        <v>#VALUE!</v>
      </c>
      <c r="E296" s="1" t="s">
        <v>403</v>
      </c>
      <c r="F296" s="1" t="s">
        <v>401</v>
      </c>
      <c r="H296" s="1" t="s">
        <v>347</v>
      </c>
      <c r="I296" s="1">
        <v>1</v>
      </c>
      <c r="J296" s="27">
        <v>450</v>
      </c>
      <c r="K296" s="1">
        <v>1.99</v>
      </c>
      <c r="M296" s="24">
        <f t="shared" si="28"/>
        <v>450</v>
      </c>
      <c r="N296" s="36">
        <f t="shared" si="29"/>
        <v>-450</v>
      </c>
      <c r="O296" s="34">
        <f>IF(ISBLANK(A296),"",SUMIFS(I$3:I296,D$3:D296,D296,H$3:H296,"Buy")+SUMIFS(I$3:I296,D$3:D296,D296,H$3:H296,"Cash Deposit")+SUMIFS(I$3:I296,D$3:D296,D296,H$3:H296,"Crypto Deposit")+SUMIFS(I$3:I296,D$3:D296,D296,H$3:H296,"Airdrop/Rewards")-SUMIFS(I$3:I296,D$3:D296,D296,H$3:H296,"Sell"))</f>
        <v>6</v>
      </c>
      <c r="P296" s="2" cm="1">
        <f t="array" ref="P296">IF(ISBLANK(A296),"",IFERROR(IF(OR(H296="Sell",F296="Stable Coin"),INDEX(_xlfn._xlws.FILTER(P$2:P295, D$2:D295=D296),COUNT(_xlfn._xlws.FILTER(P$2:P295, D$2:D295=D296))),(INDEX(_xlfn._xlws.FILTER(P$2:P295, D$2:D295=D296),COUNT(_xlfn._xlws.FILTER(P$2:P295, D$2:D295=D296)))*INDEX(_xlfn._xlws.FILTER(O$2:O295, D$2:D295=D296),COUNT(_xlfn._xlws.FILTER(O$2:O295, D$2:D295=D296)))-N296) / O296), J296))</f>
        <v>353.55666666666667</v>
      </c>
      <c r="Q296" s="1" t="str">
        <f t="shared" si="30"/>
        <v>USD</v>
      </c>
      <c r="R296" s="1" cm="1">
        <f t="array" ref="R296">IF(A296="", "",
    IFERROR(
        _xlfn.SWITCH(
            TRUE,
            AND(Q296="USD", $Q$2="USD"), K296,
            AND(Q296="USD", $Q$2="GBP"), K296*$Z$3,
            AND(Q296="USD", $Q$2="HKD"), K296*$Z$4,
            AND(Q296="USD", $Q$2="EUR"), K296*$Z$5,
            AND(Q296="GBP", $Q$2="GBP"), K296,
            AND(Q296="GBP", $Q$2="USD"), K296*$Z$6,
            AND(Q296="GBP", $Q$2="HKD"), K296*$Z$7,
            AND(Q296="HKG", $Q$2="HKG"), K296,
            AND(Q296="HKD", $Q$2="USD"), K296*$Z$9,
            AND(Q296="HKD", $Q$2="GBP"), K296*$Z$10,
            AND(Q296="HKD", $Q$2="EUR"), K296*$Z$11,
            AND(Q296="EUR", $Q$2="EUR"), K296,
            AND(Q296="EUR", $Q$2="USD"), K296*$Z$12,
            AND(Q296="EUR", $Q$2="GBP"), K296*$Z$13,
            AND(Q296="EUR", $Q$2="HKD"), K296*$Z$14,
        ),
        0
    )
)</f>
        <v>1.99</v>
      </c>
      <c r="S296" s="1" cm="1">
        <f t="array" ref="S296">IF(A296="", "",
    IFERROR(
        _xlfn.SWITCH(
            TRUE,
            AND(Q296="USD", $Q$2="USD"), M296,
            AND(Q296="USD", $Q$2="GBP"), M296*$Z$3,
            AND(Q296="USD", $Q$2="HKD"), M296*$Z$4,
            AND(Q296="USD", $Q$2="EUR"), M296*$Z$5,
            AND(Q296="GBP", $Q$2="GBP"), M296,
            AND(Q296="GBP", $Q$2="USD"), M296*$Z$6,
            AND(Q296="GBP", $Q$2="HKD"), M296*$Z$7,
            AND(Q296="GBP", $Q$2="HKD"), M296*$Z$8,
            AND(Q296="HKG", $Q$2="HKG"), M296,
            AND(Q296="HKD", $Q$2="USD"), M296*$Z$9,
            AND(Q296="HKD", $Q$2="GBP"), M296*$Z$10,
            AND(Q296="HKD", $Q$2="EUR"), M296*$Z$11,
            AND(Q296="EUR", $Q$2="EUR"), M296,
            AND(Q296="EUR", $Q$2="USD"), M296*$Z$12,
            AND(Q296="EUR", $Q$2="GBP"), M296*$Z$13,
            AND(Q296="EUR", $Q$2="HKD"), M296*$Z$14,
        ),
        0
    )
)</f>
        <v>450</v>
      </c>
      <c r="T296" s="1" t="str">
        <f t="shared" si="31"/>
        <v>23</v>
      </c>
      <c r="U296" s="9" t="str">
        <f t="shared" si="32"/>
        <v>01</v>
      </c>
      <c r="V296" s="1" t="str">
        <f t="shared" si="33"/>
        <v>2024</v>
      </c>
      <c r="W296" s="18" t="str">
        <f t="shared" si="34"/>
        <v>星期二</v>
      </c>
    </row>
    <row r="297" spans="1:23">
      <c r="A297" s="17" t="s">
        <v>6</v>
      </c>
      <c r="B297" s="1" t="s">
        <v>348</v>
      </c>
      <c r="C297" s="9">
        <v>45315</v>
      </c>
      <c r="D297" s="1" t="s">
        <v>47</v>
      </c>
      <c r="E297" s="1" t="s">
        <v>4</v>
      </c>
      <c r="F297" s="1" t="s">
        <v>349</v>
      </c>
      <c r="H297" s="1" t="s">
        <v>367</v>
      </c>
      <c r="I297" s="1">
        <v>3.444E-3</v>
      </c>
      <c r="J297" s="27">
        <v>40033.57</v>
      </c>
      <c r="M297" s="24">
        <f t="shared" si="28"/>
        <v>137.87561507999999</v>
      </c>
      <c r="N297" s="36">
        <f t="shared" si="29"/>
        <v>137.87561507999999</v>
      </c>
      <c r="O297" s="34">
        <f>IF(ISBLANK(A297),"",SUMIFS(I$3:I297,D$3:D297,D297,H$3:H297,"Buy")+SUMIFS(I$3:I297,D$3:D297,D297,H$3:H297,"Cash Deposit")+SUMIFS(I$3:I297,D$3:D297,D297,H$3:H297,"Crypto Deposit")+SUMIFS(I$3:I297,D$3:D297,D297,H$3:H297,"Airdrop/Rewards")-SUMIFS(I$3:I297,D$3:D297,D297,H$3:H297,"Sell"))</f>
        <v>0.31663981999999996</v>
      </c>
      <c r="P297" s="2" cm="1">
        <f t="array" ref="P297">IF(ISBLANK(A297),"",IFERROR(IF(OR(H297="Sell",F297="Stable Coin"),INDEX(_xlfn._xlws.FILTER(P$2:P296, D$2:D296=D297),COUNT(_xlfn._xlws.FILTER(P$2:P296, D$2:D296=D297))),(INDEX(_xlfn._xlws.FILTER(P$2:P296, D$2:D296=D297),COUNT(_xlfn._xlws.FILTER(P$2:P296, D$2:D296=D297)))*INDEX(_xlfn._xlws.FILTER(O$2:O296, D$2:D296=D297),COUNT(_xlfn._xlws.FILTER(O$2:O296, D$2:D296=D297)))-N297) / O297), J297))</f>
        <v>31594.208747720164</v>
      </c>
      <c r="Q297" s="1" t="str">
        <f t="shared" si="30"/>
        <v>USD</v>
      </c>
      <c r="R297" s="1" cm="1">
        <f t="array" ref="R297">IF(A297="", "",
    IFERROR(
        _xlfn.SWITCH(
            TRUE,
            AND(Q297="USD", $Q$2="USD"), K297,
            AND(Q297="USD", $Q$2="GBP"), K297*$Z$3,
            AND(Q297="USD", $Q$2="HKD"), K297*$Z$4,
            AND(Q297="USD", $Q$2="EUR"), K297*$Z$5,
            AND(Q297="GBP", $Q$2="GBP"), K297,
            AND(Q297="GBP", $Q$2="USD"), K297*$Z$6,
            AND(Q297="GBP", $Q$2="HKD"), K297*$Z$7,
            AND(Q297="HKG", $Q$2="HKG"), K297,
            AND(Q297="HKD", $Q$2="USD"), K297*$Z$9,
            AND(Q297="HKD", $Q$2="GBP"), K297*$Z$10,
            AND(Q297="HKD", $Q$2="EUR"), K297*$Z$11,
            AND(Q297="EUR", $Q$2="EUR"), K297,
            AND(Q297="EUR", $Q$2="USD"), K297*$Z$12,
            AND(Q297="EUR", $Q$2="GBP"), K297*$Z$13,
            AND(Q297="EUR", $Q$2="HKD"), K297*$Z$14,
        ),
        0
    )
)</f>
        <v>0</v>
      </c>
      <c r="S297" s="1" cm="1">
        <f t="array" ref="S297">IF(A297="", "",
    IFERROR(
        _xlfn.SWITCH(
            TRUE,
            AND(Q297="USD", $Q$2="USD"), M297,
            AND(Q297="USD", $Q$2="GBP"), M297*$Z$3,
            AND(Q297="USD", $Q$2="HKD"), M297*$Z$4,
            AND(Q297="USD", $Q$2="EUR"), M297*$Z$5,
            AND(Q297="GBP", $Q$2="GBP"), M297,
            AND(Q297="GBP", $Q$2="USD"), M297*$Z$6,
            AND(Q297="GBP", $Q$2="HKD"), M297*$Z$7,
            AND(Q297="GBP", $Q$2="HKD"), M297*$Z$8,
            AND(Q297="HKG", $Q$2="HKG"), M297,
            AND(Q297="HKD", $Q$2="USD"), M297*$Z$9,
            AND(Q297="HKD", $Q$2="GBP"), M297*$Z$10,
            AND(Q297="HKD", $Q$2="EUR"), M297*$Z$11,
            AND(Q297="EUR", $Q$2="EUR"), M297,
            AND(Q297="EUR", $Q$2="USD"), M297*$Z$12,
            AND(Q297="EUR", $Q$2="GBP"), M297*$Z$13,
            AND(Q297="EUR", $Q$2="HKD"), M297*$Z$14,
        ),
        0
    )
)</f>
        <v>137.87561507999999</v>
      </c>
      <c r="T297" s="1" t="str">
        <f t="shared" si="31"/>
        <v>24</v>
      </c>
      <c r="U297" s="9" t="str">
        <f t="shared" si="32"/>
        <v>01</v>
      </c>
      <c r="V297" s="1" t="str">
        <f t="shared" si="33"/>
        <v>2024</v>
      </c>
      <c r="W297" s="18" t="str">
        <f t="shared" si="34"/>
        <v>星期三</v>
      </c>
    </row>
    <row r="298" spans="1:23">
      <c r="A298" s="17" t="s">
        <v>6</v>
      </c>
      <c r="B298" s="1" t="s">
        <v>348</v>
      </c>
      <c r="C298" s="9">
        <v>45315</v>
      </c>
      <c r="D298" s="1" t="s">
        <v>49</v>
      </c>
      <c r="E298" s="1" t="s">
        <v>38</v>
      </c>
      <c r="F298" s="1" t="s">
        <v>349</v>
      </c>
      <c r="H298" s="1" t="s">
        <v>347</v>
      </c>
      <c r="I298" s="1">
        <v>9.68</v>
      </c>
      <c r="J298" s="27">
        <v>14.24</v>
      </c>
      <c r="M298" s="24">
        <f t="shared" si="28"/>
        <v>137.8432</v>
      </c>
      <c r="N298" s="36">
        <f t="shared" si="29"/>
        <v>-137.8432</v>
      </c>
      <c r="O298" s="34">
        <f>IF(ISBLANK(A298),"",SUMIFS(I$3:I298,D$3:D298,D298,H$3:H298,"Buy")+SUMIFS(I$3:I298,D$3:D298,D298,H$3:H298,"Cash Deposit")+SUMIFS(I$3:I298,D$3:D298,D298,H$3:H298,"Crypto Deposit")+SUMIFS(I$3:I298,D$3:D298,D298,H$3:H298,"Airdrop/Rewards")-SUMIFS(I$3:I298,D$3:D298,D298,H$3:H298,"Sell"))</f>
        <v>49.981810000000003</v>
      </c>
      <c r="P298" s="2" cm="1">
        <f t="array" ref="P298">IF(ISBLANK(A298),"",IFERROR(IF(OR(H298="Sell",F298="Stable Coin"),INDEX(_xlfn._xlws.FILTER(P$2:P297, D$2:D297=D298),COUNT(_xlfn._xlws.FILTER(P$2:P297, D$2:D297=D298))),(INDEX(_xlfn._xlws.FILTER(P$2:P297, D$2:D297=D298),COUNT(_xlfn._xlws.FILTER(P$2:P297, D$2:D297=D298)))*INDEX(_xlfn._xlws.FILTER(O$2:O297, D$2:D297=D298),COUNT(_xlfn._xlws.FILTER(O$2:O297, D$2:D297=D298)))-N298) / O298), J298))</f>
        <v>18.179663845490449</v>
      </c>
      <c r="Q298" s="1" t="str">
        <f t="shared" si="30"/>
        <v>USD</v>
      </c>
      <c r="R298" s="1" cm="1">
        <f t="array" ref="R298">IF(A298="", "",
    IFERROR(
        _xlfn.SWITCH(
            TRUE,
            AND(Q298="USD", $Q$2="USD"), K298,
            AND(Q298="USD", $Q$2="GBP"), K298*$Z$3,
            AND(Q298="USD", $Q$2="HKD"), K298*$Z$4,
            AND(Q298="USD", $Q$2="EUR"), K298*$Z$5,
            AND(Q298="GBP", $Q$2="GBP"), K298,
            AND(Q298="GBP", $Q$2="USD"), K298*$Z$6,
            AND(Q298="GBP", $Q$2="HKD"), K298*$Z$7,
            AND(Q298="HKG", $Q$2="HKG"), K298,
            AND(Q298="HKD", $Q$2="USD"), K298*$Z$9,
            AND(Q298="HKD", $Q$2="GBP"), K298*$Z$10,
            AND(Q298="HKD", $Q$2="EUR"), K298*$Z$11,
            AND(Q298="EUR", $Q$2="EUR"), K298,
            AND(Q298="EUR", $Q$2="USD"), K298*$Z$12,
            AND(Q298="EUR", $Q$2="GBP"), K298*$Z$13,
            AND(Q298="EUR", $Q$2="HKD"), K298*$Z$14,
        ),
        0
    )
)</f>
        <v>0</v>
      </c>
      <c r="S298" s="1" cm="1">
        <f t="array" ref="S298">IF(A298="", "",
    IFERROR(
        _xlfn.SWITCH(
            TRUE,
            AND(Q298="USD", $Q$2="USD"), M298,
            AND(Q298="USD", $Q$2="GBP"), M298*$Z$3,
            AND(Q298="USD", $Q$2="HKD"), M298*$Z$4,
            AND(Q298="USD", $Q$2="EUR"), M298*$Z$5,
            AND(Q298="GBP", $Q$2="GBP"), M298,
            AND(Q298="GBP", $Q$2="USD"), M298*$Z$6,
            AND(Q298="GBP", $Q$2="HKD"), M298*$Z$7,
            AND(Q298="GBP", $Q$2="HKD"), M298*$Z$8,
            AND(Q298="HKG", $Q$2="HKG"), M298,
            AND(Q298="HKD", $Q$2="USD"), M298*$Z$9,
            AND(Q298="HKD", $Q$2="GBP"), M298*$Z$10,
            AND(Q298="HKD", $Q$2="EUR"), M298*$Z$11,
            AND(Q298="EUR", $Q$2="EUR"), M298,
            AND(Q298="EUR", $Q$2="USD"), M298*$Z$12,
            AND(Q298="EUR", $Q$2="GBP"), M298*$Z$13,
            AND(Q298="EUR", $Q$2="HKD"), M298*$Z$14,
        ),
        0
    )
)</f>
        <v>137.8432</v>
      </c>
      <c r="T298" s="1" t="str">
        <f t="shared" si="31"/>
        <v>24</v>
      </c>
      <c r="U298" s="9" t="str">
        <f t="shared" si="32"/>
        <v>01</v>
      </c>
      <c r="V298" s="1" t="str">
        <f t="shared" si="33"/>
        <v>2024</v>
      </c>
      <c r="W298" s="18" t="str">
        <f t="shared" si="34"/>
        <v>星期三</v>
      </c>
    </row>
    <row r="299" spans="1:23">
      <c r="A299" s="17" t="s">
        <v>6</v>
      </c>
      <c r="B299" s="1" t="s">
        <v>348</v>
      </c>
      <c r="C299" s="9">
        <v>45316</v>
      </c>
      <c r="D299" s="1" t="s">
        <v>373</v>
      </c>
      <c r="E299" s="1" t="s">
        <v>374</v>
      </c>
      <c r="F299" s="1" t="s">
        <v>349</v>
      </c>
      <c r="H299" s="1" t="s">
        <v>359</v>
      </c>
      <c r="I299" s="1">
        <v>272</v>
      </c>
      <c r="J299" s="27">
        <v>0.27</v>
      </c>
      <c r="M299" s="24">
        <f t="shared" si="28"/>
        <v>73.44</v>
      </c>
      <c r="N299" s="36">
        <f t="shared" si="29"/>
        <v>0</v>
      </c>
      <c r="O299" s="34">
        <f>IF(ISBLANK(A299),"",SUMIFS(I$3:I299,D$3:D299,D299,H$3:H299,"Buy")+SUMIFS(I$3:I299,D$3:D299,D299,H$3:H299,"Cash Deposit")+SUMIFS(I$3:I299,D$3:D299,D299,H$3:H299,"Crypto Deposit")+SUMIFS(I$3:I299,D$3:D299,D299,H$3:H299,"Airdrop/Rewards")-SUMIFS(I$3:I299,D$3:D299,D299,H$3:H299,"Sell"))</f>
        <v>272</v>
      </c>
      <c r="P299" s="2" cm="1">
        <f t="array" ref="P299">IF(ISBLANK(A299),"",IFERROR(IF(OR(H299="Sell",F299="Stable Coin"),INDEX(_xlfn._xlws.FILTER(P$2:P298, D$2:D298=D299),COUNT(_xlfn._xlws.FILTER(P$2:P298, D$2:D298=D299))),(INDEX(_xlfn._xlws.FILTER(P$2:P298, D$2:D298=D299),COUNT(_xlfn._xlws.FILTER(P$2:P298, D$2:D298=D299)))*INDEX(_xlfn._xlws.FILTER(O$2:O298, D$2:D298=D299),COUNT(_xlfn._xlws.FILTER(O$2:O298, D$2:D298=D299)))-N299) / O299), J299))</f>
        <v>0.27</v>
      </c>
      <c r="Q299" s="1" t="str">
        <f t="shared" si="30"/>
        <v>USD</v>
      </c>
      <c r="R299" s="1" cm="1">
        <f t="array" ref="R299">IF(A299="", "",
    IFERROR(
        _xlfn.SWITCH(
            TRUE,
            AND(Q299="USD", $Q$2="USD"), K299,
            AND(Q299="USD", $Q$2="GBP"), K299*$Z$3,
            AND(Q299="USD", $Q$2="HKD"), K299*$Z$4,
            AND(Q299="USD", $Q$2="EUR"), K299*$Z$5,
            AND(Q299="GBP", $Q$2="GBP"), K299,
            AND(Q299="GBP", $Q$2="USD"), K299*$Z$6,
            AND(Q299="GBP", $Q$2="HKD"), K299*$Z$7,
            AND(Q299="HKG", $Q$2="HKG"), K299,
            AND(Q299="HKD", $Q$2="USD"), K299*$Z$9,
            AND(Q299="HKD", $Q$2="GBP"), K299*$Z$10,
            AND(Q299="HKD", $Q$2="EUR"), K299*$Z$11,
            AND(Q299="EUR", $Q$2="EUR"), K299,
            AND(Q299="EUR", $Q$2="USD"), K299*$Z$12,
            AND(Q299="EUR", $Q$2="GBP"), K299*$Z$13,
            AND(Q299="EUR", $Q$2="HKD"), K299*$Z$14,
        ),
        0
    )
)</f>
        <v>0</v>
      </c>
      <c r="S299" s="1" cm="1">
        <f t="array" ref="S299">IF(A299="", "",
    IFERROR(
        _xlfn.SWITCH(
            TRUE,
            AND(Q299="USD", $Q$2="USD"), M299,
            AND(Q299="USD", $Q$2="GBP"), M299*$Z$3,
            AND(Q299="USD", $Q$2="HKD"), M299*$Z$4,
            AND(Q299="USD", $Q$2="EUR"), M299*$Z$5,
            AND(Q299="GBP", $Q$2="GBP"), M299,
            AND(Q299="GBP", $Q$2="USD"), M299*$Z$6,
            AND(Q299="GBP", $Q$2="HKD"), M299*$Z$7,
            AND(Q299="GBP", $Q$2="HKD"), M299*$Z$8,
            AND(Q299="HKG", $Q$2="HKG"), M299,
            AND(Q299="HKD", $Q$2="USD"), M299*$Z$9,
            AND(Q299="HKD", $Q$2="GBP"), M299*$Z$10,
            AND(Q299="HKD", $Q$2="EUR"), M299*$Z$11,
            AND(Q299="EUR", $Q$2="EUR"), M299,
            AND(Q299="EUR", $Q$2="USD"), M299*$Z$12,
            AND(Q299="EUR", $Q$2="GBP"), M299*$Z$13,
            AND(Q299="EUR", $Q$2="HKD"), M299*$Z$14,
        ),
        0
    )
)</f>
        <v>73.44</v>
      </c>
      <c r="T299" s="1" t="str">
        <f t="shared" si="31"/>
        <v>25</v>
      </c>
      <c r="U299" s="9" t="str">
        <f t="shared" si="32"/>
        <v>01</v>
      </c>
      <c r="V299" s="1" t="str">
        <f t="shared" si="33"/>
        <v>2024</v>
      </c>
      <c r="W299" s="18" t="str">
        <f t="shared" si="34"/>
        <v>星期四</v>
      </c>
    </row>
    <row r="300" spans="1:23">
      <c r="A300" s="17" t="s">
        <v>6</v>
      </c>
      <c r="B300" s="1" t="s">
        <v>348</v>
      </c>
      <c r="C300" s="9">
        <v>45316</v>
      </c>
      <c r="D300" s="1" t="s">
        <v>373</v>
      </c>
      <c r="E300" s="1" t="s">
        <v>374</v>
      </c>
      <c r="F300" s="1" t="s">
        <v>349</v>
      </c>
      <c r="H300" s="1" t="s">
        <v>367</v>
      </c>
      <c r="I300" s="1">
        <v>272</v>
      </c>
      <c r="J300" s="27">
        <v>0.26600000000000001</v>
      </c>
      <c r="K300" s="1">
        <v>0.05</v>
      </c>
      <c r="M300" s="24">
        <f t="shared" si="28"/>
        <v>72.302000000000007</v>
      </c>
      <c r="N300" s="36">
        <f t="shared" si="29"/>
        <v>72.352000000000004</v>
      </c>
      <c r="O300" s="34">
        <f>IF(ISBLANK(A300),"",SUMIFS(I$3:I300,D$3:D300,D300,H$3:H300,"Buy")+SUMIFS(I$3:I300,D$3:D300,D300,H$3:H300,"Cash Deposit")+SUMIFS(I$3:I300,D$3:D300,D300,H$3:H300,"Crypto Deposit")+SUMIFS(I$3:I300,D$3:D300,D300,H$3:H300,"Airdrop/Rewards")-SUMIFS(I$3:I300,D$3:D300,D300,H$3:H300,"Sell"))</f>
        <v>0</v>
      </c>
      <c r="P300" s="2" cm="1">
        <f t="array" ref="P300">IF(ISBLANK(A300),"",IFERROR(IF(OR(H300="Sell",F300="Stable Coin"),INDEX(_xlfn._xlws.FILTER(P$2:P299, D$2:D299=D300),COUNT(_xlfn._xlws.FILTER(P$2:P299, D$2:D299=D300))),(INDEX(_xlfn._xlws.FILTER(P$2:P299, D$2:D299=D300),COUNT(_xlfn._xlws.FILTER(P$2:P299, D$2:D299=D300)))*INDEX(_xlfn._xlws.FILTER(O$2:O299, D$2:D299=D300),COUNT(_xlfn._xlws.FILTER(O$2:O299, D$2:D299=D300)))-N300) / O300), J300))</f>
        <v>0.27</v>
      </c>
      <c r="Q300" s="1" t="str">
        <f t="shared" si="30"/>
        <v>USD</v>
      </c>
      <c r="R300" s="1" cm="1">
        <f t="array" ref="R300">IF(A300="", "",
    IFERROR(
        _xlfn.SWITCH(
            TRUE,
            AND(Q300="USD", $Q$2="USD"), K300,
            AND(Q300="USD", $Q$2="GBP"), K300*$Z$3,
            AND(Q300="USD", $Q$2="HKD"), K300*$Z$4,
            AND(Q300="USD", $Q$2="EUR"), K300*$Z$5,
            AND(Q300="GBP", $Q$2="GBP"), K300,
            AND(Q300="GBP", $Q$2="USD"), K300*$Z$6,
            AND(Q300="GBP", $Q$2="HKD"), K300*$Z$7,
            AND(Q300="HKG", $Q$2="HKG"), K300,
            AND(Q300="HKD", $Q$2="USD"), K300*$Z$9,
            AND(Q300="HKD", $Q$2="GBP"), K300*$Z$10,
            AND(Q300="HKD", $Q$2="EUR"), K300*$Z$11,
            AND(Q300="EUR", $Q$2="EUR"), K300,
            AND(Q300="EUR", $Q$2="USD"), K300*$Z$12,
            AND(Q300="EUR", $Q$2="GBP"), K300*$Z$13,
            AND(Q300="EUR", $Q$2="HKD"), K300*$Z$14,
        ),
        0
    )
)</f>
        <v>0.05</v>
      </c>
      <c r="S300" s="1" cm="1">
        <f t="array" ref="S300">IF(A300="", "",
    IFERROR(
        _xlfn.SWITCH(
            TRUE,
            AND(Q300="USD", $Q$2="USD"), M300,
            AND(Q300="USD", $Q$2="GBP"), M300*$Z$3,
            AND(Q300="USD", $Q$2="HKD"), M300*$Z$4,
            AND(Q300="USD", $Q$2="EUR"), M300*$Z$5,
            AND(Q300="GBP", $Q$2="GBP"), M300,
            AND(Q300="GBP", $Q$2="USD"), M300*$Z$6,
            AND(Q300="GBP", $Q$2="HKD"), M300*$Z$7,
            AND(Q300="GBP", $Q$2="HKD"), M300*$Z$8,
            AND(Q300="HKG", $Q$2="HKG"), M300,
            AND(Q300="HKD", $Q$2="USD"), M300*$Z$9,
            AND(Q300="HKD", $Q$2="GBP"), M300*$Z$10,
            AND(Q300="HKD", $Q$2="EUR"), M300*$Z$11,
            AND(Q300="EUR", $Q$2="EUR"), M300,
            AND(Q300="EUR", $Q$2="USD"), M300*$Z$12,
            AND(Q300="EUR", $Q$2="GBP"), M300*$Z$13,
            AND(Q300="EUR", $Q$2="HKD"), M300*$Z$14,
        ),
        0
    )
)</f>
        <v>72.302000000000007</v>
      </c>
      <c r="T300" s="1" t="str">
        <f t="shared" si="31"/>
        <v>25</v>
      </c>
      <c r="U300" s="9" t="str">
        <f t="shared" si="32"/>
        <v>01</v>
      </c>
      <c r="V300" s="1" t="str">
        <f t="shared" si="33"/>
        <v>2024</v>
      </c>
      <c r="W300" s="18" t="str">
        <f t="shared" si="34"/>
        <v>星期四</v>
      </c>
    </row>
    <row r="301" spans="1:23">
      <c r="A301" s="17" t="s">
        <v>399</v>
      </c>
      <c r="B301" s="1" t="s">
        <v>348</v>
      </c>
      <c r="C301" s="9">
        <v>45316</v>
      </c>
      <c r="D301" s="1" t="e" vm="18">
        <v>#VALUE!</v>
      </c>
      <c r="E301" s="1" t="s">
        <v>400</v>
      </c>
      <c r="F301" s="1" t="s">
        <v>401</v>
      </c>
      <c r="H301" s="1" t="s">
        <v>347</v>
      </c>
      <c r="I301" s="1">
        <v>5</v>
      </c>
      <c r="J301" s="27">
        <v>62.2</v>
      </c>
      <c r="K301" s="1">
        <v>2.0099999999999998</v>
      </c>
      <c r="M301" s="24">
        <f t="shared" si="28"/>
        <v>311</v>
      </c>
      <c r="N301" s="36">
        <f t="shared" si="29"/>
        <v>-311</v>
      </c>
      <c r="O301" s="34">
        <f>IF(ISBLANK(A301),"",SUMIFS(I$3:I301,D$3:D301,D301,H$3:H301,"Buy")+SUMIFS(I$3:I301,D$3:D301,D301,H$3:H301,"Cash Deposit")+SUMIFS(I$3:I301,D$3:D301,D301,H$3:H301,"Crypto Deposit")+SUMIFS(I$3:I301,D$3:D301,D301,H$3:H301,"Airdrop/Rewards")-SUMIFS(I$3:I301,D$3:D301,D301,H$3:H301,"Sell"))</f>
        <v>25</v>
      </c>
      <c r="P301" s="2" cm="1">
        <f t="array" ref="P301">IF(ISBLANK(A301),"",IFERROR(IF(OR(H301="Sell",F301="Stable Coin"),INDEX(_xlfn._xlws.FILTER(P$2:P300, D$2:D300=D301),COUNT(_xlfn._xlws.FILTER(P$2:P300, D$2:D300=D301))),(INDEX(_xlfn._xlws.FILTER(P$2:P300, D$2:D300=D301),COUNT(_xlfn._xlws.FILTER(P$2:P300, D$2:D300=D301)))*INDEX(_xlfn._xlws.FILTER(O$2:O300, D$2:D300=D301),COUNT(_xlfn._xlws.FILTER(O$2:O300, D$2:D300=D301)))-N301) / O301), J301))</f>
        <v>66.942399999999992</v>
      </c>
      <c r="Q301" s="1" t="str">
        <f t="shared" si="30"/>
        <v>USD</v>
      </c>
      <c r="R301" s="1" cm="1">
        <f t="array" ref="R301">IF(A301="", "",
    IFERROR(
        _xlfn.SWITCH(
            TRUE,
            AND(Q301="USD", $Q$2="USD"), K301,
            AND(Q301="USD", $Q$2="GBP"), K301*$Z$3,
            AND(Q301="USD", $Q$2="HKD"), K301*$Z$4,
            AND(Q301="USD", $Q$2="EUR"), K301*$Z$5,
            AND(Q301="GBP", $Q$2="GBP"), K301,
            AND(Q301="GBP", $Q$2="USD"), K301*$Z$6,
            AND(Q301="GBP", $Q$2="HKD"), K301*$Z$7,
            AND(Q301="HKG", $Q$2="HKG"), K301,
            AND(Q301="HKD", $Q$2="USD"), K301*$Z$9,
            AND(Q301="HKD", $Q$2="GBP"), K301*$Z$10,
            AND(Q301="HKD", $Q$2="EUR"), K301*$Z$11,
            AND(Q301="EUR", $Q$2="EUR"), K301,
            AND(Q301="EUR", $Q$2="USD"), K301*$Z$12,
            AND(Q301="EUR", $Q$2="GBP"), K301*$Z$13,
            AND(Q301="EUR", $Q$2="HKD"), K301*$Z$14,
        ),
        0
    )
)</f>
        <v>2.0099999999999998</v>
      </c>
      <c r="S301" s="1" cm="1">
        <f t="array" ref="S301">IF(A301="", "",
    IFERROR(
        _xlfn.SWITCH(
            TRUE,
            AND(Q301="USD", $Q$2="USD"), M301,
            AND(Q301="USD", $Q$2="GBP"), M301*$Z$3,
            AND(Q301="USD", $Q$2="HKD"), M301*$Z$4,
            AND(Q301="USD", $Q$2="EUR"), M301*$Z$5,
            AND(Q301="GBP", $Q$2="GBP"), M301,
            AND(Q301="GBP", $Q$2="USD"), M301*$Z$6,
            AND(Q301="GBP", $Q$2="HKD"), M301*$Z$7,
            AND(Q301="GBP", $Q$2="HKD"), M301*$Z$8,
            AND(Q301="HKG", $Q$2="HKG"), M301,
            AND(Q301="HKD", $Q$2="USD"), M301*$Z$9,
            AND(Q301="HKD", $Q$2="GBP"), M301*$Z$10,
            AND(Q301="HKD", $Q$2="EUR"), M301*$Z$11,
            AND(Q301="EUR", $Q$2="EUR"), M301,
            AND(Q301="EUR", $Q$2="USD"), M301*$Z$12,
            AND(Q301="EUR", $Q$2="GBP"), M301*$Z$13,
            AND(Q301="EUR", $Q$2="HKD"), M301*$Z$14,
        ),
        0
    )
)</f>
        <v>311</v>
      </c>
      <c r="T301" s="1" t="str">
        <f t="shared" si="31"/>
        <v>25</v>
      </c>
      <c r="U301" s="9" t="str">
        <f t="shared" si="32"/>
        <v>01</v>
      </c>
      <c r="V301" s="1" t="str">
        <f t="shared" si="33"/>
        <v>2024</v>
      </c>
      <c r="W301" s="18" t="str">
        <f t="shared" si="34"/>
        <v>星期四</v>
      </c>
    </row>
    <row r="302" spans="1:23">
      <c r="A302" s="17" t="s">
        <v>59</v>
      </c>
      <c r="B302" s="1" t="s">
        <v>348</v>
      </c>
      <c r="C302" s="9">
        <v>45321</v>
      </c>
      <c r="D302" s="1" t="s">
        <v>358</v>
      </c>
      <c r="E302" s="1" t="s">
        <v>66</v>
      </c>
      <c r="F302" s="1" t="s">
        <v>349</v>
      </c>
      <c r="H302" s="1" t="s">
        <v>359</v>
      </c>
      <c r="I302" s="37">
        <v>4.8156600000000003</v>
      </c>
      <c r="J302" s="27">
        <v>1.879</v>
      </c>
      <c r="M302" s="24">
        <f t="shared" si="28"/>
        <v>9.0486251400000004</v>
      </c>
      <c r="N302" s="36">
        <f t="shared" si="29"/>
        <v>0</v>
      </c>
      <c r="O302" s="34">
        <f>IF(ISBLANK(A302),"",SUMIFS(I$3:I302,D$3:D302,D302,H$3:H302,"Buy")+SUMIFS(I$3:I302,D$3:D302,D302,H$3:H302,"Cash Deposit")+SUMIFS(I$3:I302,D$3:D302,D302,H$3:H302,"Crypto Deposit")+SUMIFS(I$3:I302,D$3:D302,D302,H$3:H302,"Airdrop/Rewards")-SUMIFS(I$3:I302,D$3:D302,D302,H$3:H302,"Sell"))</f>
        <v>34.425660000000001</v>
      </c>
      <c r="P302" s="2" cm="1">
        <f t="array" ref="P302">IF(ISBLANK(A302),"",IFERROR(IF(OR(H302="Sell",F302="Stable Coin"),INDEX(_xlfn._xlws.FILTER(P$2:P301, D$2:D301=D302),COUNT(_xlfn._xlws.FILTER(P$2:P301, D$2:D301=D302))),(INDEX(_xlfn._xlws.FILTER(P$2:P301, D$2:D301=D302),COUNT(_xlfn._xlws.FILTER(P$2:P301, D$2:D301=D302)))*INDEX(_xlfn._xlws.FILTER(O$2:O301, D$2:D301=D302),COUNT(_xlfn._xlws.FILTER(O$2:O301, D$2:D301=D302)))-N302) / O302), J302))</f>
        <v>1.6170147500440077</v>
      </c>
      <c r="Q302" s="1" t="str">
        <f t="shared" si="30"/>
        <v>USD</v>
      </c>
      <c r="R302" s="1" cm="1">
        <f t="array" ref="R302">IF(A302="", "",
    IFERROR(
        _xlfn.SWITCH(
            TRUE,
            AND(Q302="USD", $Q$2="USD"), K302,
            AND(Q302="USD", $Q$2="GBP"), K302*$Z$3,
            AND(Q302="USD", $Q$2="HKD"), K302*$Z$4,
            AND(Q302="USD", $Q$2="EUR"), K302*$Z$5,
            AND(Q302="GBP", $Q$2="GBP"), K302,
            AND(Q302="GBP", $Q$2="USD"), K302*$Z$6,
            AND(Q302="GBP", $Q$2="HKD"), K302*$Z$7,
            AND(Q302="HKG", $Q$2="HKG"), K302,
            AND(Q302="HKD", $Q$2="USD"), K302*$Z$9,
            AND(Q302="HKD", $Q$2="GBP"), K302*$Z$10,
            AND(Q302="HKD", $Q$2="EUR"), K302*$Z$11,
            AND(Q302="EUR", $Q$2="EUR"), K302,
            AND(Q302="EUR", $Q$2="USD"), K302*$Z$12,
            AND(Q302="EUR", $Q$2="GBP"), K302*$Z$13,
            AND(Q302="EUR", $Q$2="HKD"), K302*$Z$14,
        ),
        0
    )
)</f>
        <v>0</v>
      </c>
      <c r="S302" s="1" cm="1">
        <f t="array" ref="S302">IF(A302="", "",
    IFERROR(
        _xlfn.SWITCH(
            TRUE,
            AND(Q302="USD", $Q$2="USD"), M302,
            AND(Q302="USD", $Q$2="GBP"), M302*$Z$3,
            AND(Q302="USD", $Q$2="HKD"), M302*$Z$4,
            AND(Q302="USD", $Q$2="EUR"), M302*$Z$5,
            AND(Q302="GBP", $Q$2="GBP"), M302,
            AND(Q302="GBP", $Q$2="USD"), M302*$Z$6,
            AND(Q302="GBP", $Q$2="HKD"), M302*$Z$7,
            AND(Q302="GBP", $Q$2="HKD"), M302*$Z$8,
            AND(Q302="HKG", $Q$2="HKG"), M302,
            AND(Q302="HKD", $Q$2="USD"), M302*$Z$9,
            AND(Q302="HKD", $Q$2="GBP"), M302*$Z$10,
            AND(Q302="HKD", $Q$2="EUR"), M302*$Z$11,
            AND(Q302="EUR", $Q$2="EUR"), M302,
            AND(Q302="EUR", $Q$2="USD"), M302*$Z$12,
            AND(Q302="EUR", $Q$2="GBP"), M302*$Z$13,
            AND(Q302="EUR", $Q$2="HKD"), M302*$Z$14,
        ),
        0
    )
)</f>
        <v>9.0486251400000004</v>
      </c>
      <c r="T302" s="1" t="str">
        <f t="shared" si="31"/>
        <v>30</v>
      </c>
      <c r="U302" s="9" t="str">
        <f t="shared" si="32"/>
        <v>01</v>
      </c>
      <c r="V302" s="1" t="str">
        <f t="shared" si="33"/>
        <v>2024</v>
      </c>
      <c r="W302" s="18" t="str">
        <f t="shared" si="34"/>
        <v>星期二</v>
      </c>
    </row>
    <row r="303" spans="1:23">
      <c r="A303" s="17" t="s">
        <v>399</v>
      </c>
      <c r="B303" s="1" t="s">
        <v>348</v>
      </c>
      <c r="C303" s="9">
        <v>45322</v>
      </c>
      <c r="D303" s="1" t="e" vm="15">
        <v>#VALUE!</v>
      </c>
      <c r="E303" s="1" t="s">
        <v>410</v>
      </c>
      <c r="F303" s="1" t="s">
        <v>411</v>
      </c>
      <c r="H303" s="1" t="s">
        <v>414</v>
      </c>
      <c r="I303" s="1">
        <v>1</v>
      </c>
      <c r="J303" s="27">
        <v>12.53</v>
      </c>
      <c r="K303" s="1">
        <v>3.76</v>
      </c>
      <c r="M303" s="24">
        <f t="shared" si="28"/>
        <v>12.53</v>
      </c>
      <c r="N303" s="36">
        <f t="shared" si="29"/>
        <v>0</v>
      </c>
      <c r="O303" s="34">
        <f>IF(ISBLANK(A303),"",SUMIFS(I$3:I303,D$3:D303,D303,H$3:H303,"Buy")+SUMIFS(I$3:I303,D$3:D303,D303,H$3:H303,"Cash Deposit")+SUMIFS(I$3:I303,D$3:D303,D303,H$3:H303,"Crypto Deposit")+SUMIFS(I$3:I303,D$3:D303,D303,H$3:H303,"Airdrop/Rewards")-SUMIFS(I$3:I303,D$3:D303,D303,H$3:H303,"Sell"))</f>
        <v>70</v>
      </c>
      <c r="P303" s="2" cm="1">
        <f t="array" ref="P303">IF(ISBLANK(A303),"",IFERROR(IF(OR(H303="Sell",F303="Stable Coin"),INDEX(_xlfn._xlws.FILTER(P$2:P302, D$2:D302=D303),COUNT(_xlfn._xlws.FILTER(P$2:P302, D$2:D302=D303))),(INDEX(_xlfn._xlws.FILTER(P$2:P302, D$2:D302=D303),COUNT(_xlfn._xlws.FILTER(P$2:P302, D$2:D302=D303)))*INDEX(_xlfn._xlws.FILTER(O$2:O302, D$2:D302=D303),COUNT(_xlfn._xlws.FILTER(O$2:O302, D$2:D302=D303)))-N303) / O303), J303))</f>
        <v>16.775714285714287</v>
      </c>
      <c r="Q303" s="1" t="str">
        <f t="shared" si="30"/>
        <v>USD</v>
      </c>
      <c r="R303" s="1" cm="1">
        <f t="array" ref="R303">IF(A303="", "",
    IFERROR(
        _xlfn.SWITCH(
            TRUE,
            AND(Q303="USD", $Q$2="USD"), K303,
            AND(Q303="USD", $Q$2="GBP"), K303*$Z$3,
            AND(Q303="USD", $Q$2="HKD"), K303*$Z$4,
            AND(Q303="USD", $Q$2="EUR"), K303*$Z$5,
            AND(Q303="GBP", $Q$2="GBP"), K303,
            AND(Q303="GBP", $Q$2="USD"), K303*$Z$6,
            AND(Q303="GBP", $Q$2="HKD"), K303*$Z$7,
            AND(Q303="HKG", $Q$2="HKG"), K303,
            AND(Q303="HKD", $Q$2="USD"), K303*$Z$9,
            AND(Q303="HKD", $Q$2="GBP"), K303*$Z$10,
            AND(Q303="HKD", $Q$2="EUR"), K303*$Z$11,
            AND(Q303="EUR", $Q$2="EUR"), K303,
            AND(Q303="EUR", $Q$2="USD"), K303*$Z$12,
            AND(Q303="EUR", $Q$2="GBP"), K303*$Z$13,
            AND(Q303="EUR", $Q$2="HKD"), K303*$Z$14,
        ),
        0
    )
)</f>
        <v>3.76</v>
      </c>
      <c r="S303" s="1" cm="1">
        <f t="array" ref="S303">IF(A303="", "",
    IFERROR(
        _xlfn.SWITCH(
            TRUE,
            AND(Q303="USD", $Q$2="USD"), M303,
            AND(Q303="USD", $Q$2="GBP"), M303*$Z$3,
            AND(Q303="USD", $Q$2="HKD"), M303*$Z$4,
            AND(Q303="USD", $Q$2="EUR"), M303*$Z$5,
            AND(Q303="GBP", $Q$2="GBP"), M303,
            AND(Q303="GBP", $Q$2="USD"), M303*$Z$6,
            AND(Q303="GBP", $Q$2="HKD"), M303*$Z$7,
            AND(Q303="GBP", $Q$2="HKD"), M303*$Z$8,
            AND(Q303="HKG", $Q$2="HKG"), M303,
            AND(Q303="HKD", $Q$2="USD"), M303*$Z$9,
            AND(Q303="HKD", $Q$2="GBP"), M303*$Z$10,
            AND(Q303="HKD", $Q$2="EUR"), M303*$Z$11,
            AND(Q303="EUR", $Q$2="EUR"), M303,
            AND(Q303="EUR", $Q$2="USD"), M303*$Z$12,
            AND(Q303="EUR", $Q$2="GBP"), M303*$Z$13,
            AND(Q303="EUR", $Q$2="HKD"), M303*$Z$14,
        ),
        0
    )
)</f>
        <v>12.53</v>
      </c>
      <c r="T303" s="1" t="str">
        <f t="shared" si="31"/>
        <v>31</v>
      </c>
      <c r="U303" s="9" t="str">
        <f t="shared" si="32"/>
        <v>01</v>
      </c>
      <c r="V303" s="1" t="str">
        <f t="shared" si="33"/>
        <v>2024</v>
      </c>
      <c r="W303" s="18" t="str">
        <f t="shared" si="34"/>
        <v>星期三</v>
      </c>
    </row>
    <row r="304" spans="1:23">
      <c r="A304" s="17" t="s">
        <v>6</v>
      </c>
      <c r="B304" s="1" t="s">
        <v>348</v>
      </c>
      <c r="C304" s="9">
        <v>45322</v>
      </c>
      <c r="D304" s="1" t="s">
        <v>364</v>
      </c>
      <c r="E304" s="1" t="s">
        <v>114</v>
      </c>
      <c r="F304" s="1" t="s">
        <v>346</v>
      </c>
      <c r="H304" s="1" t="s">
        <v>367</v>
      </c>
      <c r="I304" s="1">
        <v>88.5</v>
      </c>
      <c r="J304" s="27">
        <v>1</v>
      </c>
      <c r="M304" s="24">
        <f t="shared" si="28"/>
        <v>88.5</v>
      </c>
      <c r="N304" s="36">
        <f t="shared" si="29"/>
        <v>88.5</v>
      </c>
      <c r="O304" s="34">
        <f>IF(ISBLANK(A304),"",SUMIFS(I$3:I304,D$3:D304,D304,H$3:H304,"Buy")+SUMIFS(I$3:I304,D$3:D304,D304,H$3:H304,"Cash Deposit")+SUMIFS(I$3:I304,D$3:D304,D304,H$3:H304,"Crypto Deposit")+SUMIFS(I$3:I304,D$3:D304,D304,H$3:H304,"Airdrop/Rewards")-SUMIFS(I$3:I304,D$3:D304,D304,H$3:H304,"Sell"))</f>
        <v>4494.4364181803794</v>
      </c>
      <c r="P304" s="2" cm="1">
        <f t="array" ref="P304">IF(ISBLANK(A304),"",IFERROR(IF(OR(H304="Sell",F304="Stable Coin"),INDEX(_xlfn._xlws.FILTER(P$2:P303, D$2:D303=D304),COUNT(_xlfn._xlws.FILTER(P$2:P303, D$2:D303=D304))),(INDEX(_xlfn._xlws.FILTER(P$2:P303, D$2:D303=D304),COUNT(_xlfn._xlws.FILTER(P$2:P303, D$2:D303=D304)))*INDEX(_xlfn._xlws.FILTER(O$2:O303, D$2:D303=D304),COUNT(_xlfn._xlws.FILTER(O$2:O303, D$2:D303=D304)))-N304) / O304), J304))</f>
        <v>1</v>
      </c>
      <c r="Q304" s="1" t="str">
        <f t="shared" si="30"/>
        <v>USD</v>
      </c>
      <c r="R304" s="1" cm="1">
        <f t="array" ref="R304">IF(A304="", "",
    IFERROR(
        _xlfn.SWITCH(
            TRUE,
            AND(Q304="USD", $Q$2="USD"), K304,
            AND(Q304="USD", $Q$2="GBP"), K304*$Z$3,
            AND(Q304="USD", $Q$2="HKD"), K304*$Z$4,
            AND(Q304="USD", $Q$2="EUR"), K304*$Z$5,
            AND(Q304="GBP", $Q$2="GBP"), K304,
            AND(Q304="GBP", $Q$2="USD"), K304*$Z$6,
            AND(Q304="GBP", $Q$2="HKD"), K304*$Z$7,
            AND(Q304="HKG", $Q$2="HKG"), K304,
            AND(Q304="HKD", $Q$2="USD"), K304*$Z$9,
            AND(Q304="HKD", $Q$2="GBP"), K304*$Z$10,
            AND(Q304="HKD", $Q$2="EUR"), K304*$Z$11,
            AND(Q304="EUR", $Q$2="EUR"), K304,
            AND(Q304="EUR", $Q$2="USD"), K304*$Z$12,
            AND(Q304="EUR", $Q$2="GBP"), K304*$Z$13,
            AND(Q304="EUR", $Q$2="HKD"), K304*$Z$14,
        ),
        0
    )
)</f>
        <v>0</v>
      </c>
      <c r="S304" s="1" cm="1">
        <f t="array" ref="S304">IF(A304="", "",
    IFERROR(
        _xlfn.SWITCH(
            TRUE,
            AND(Q304="USD", $Q$2="USD"), M304,
            AND(Q304="USD", $Q$2="GBP"), M304*$Z$3,
            AND(Q304="USD", $Q$2="HKD"), M304*$Z$4,
            AND(Q304="USD", $Q$2="EUR"), M304*$Z$5,
            AND(Q304="GBP", $Q$2="GBP"), M304,
            AND(Q304="GBP", $Q$2="USD"), M304*$Z$6,
            AND(Q304="GBP", $Q$2="HKD"), M304*$Z$7,
            AND(Q304="GBP", $Q$2="HKD"), M304*$Z$8,
            AND(Q304="HKG", $Q$2="HKG"), M304,
            AND(Q304="HKD", $Q$2="USD"), M304*$Z$9,
            AND(Q304="HKD", $Q$2="GBP"), M304*$Z$10,
            AND(Q304="HKD", $Q$2="EUR"), M304*$Z$11,
            AND(Q304="EUR", $Q$2="EUR"), M304,
            AND(Q304="EUR", $Q$2="USD"), M304*$Z$12,
            AND(Q304="EUR", $Q$2="GBP"), M304*$Z$13,
            AND(Q304="EUR", $Q$2="HKD"), M304*$Z$14,
        ),
        0
    )
)</f>
        <v>88.5</v>
      </c>
      <c r="T304" s="1" t="str">
        <f t="shared" si="31"/>
        <v>31</v>
      </c>
      <c r="U304" s="9" t="str">
        <f t="shared" si="32"/>
        <v>01</v>
      </c>
      <c r="V304" s="1" t="str">
        <f t="shared" si="33"/>
        <v>2024</v>
      </c>
      <c r="W304" s="18" t="str">
        <f t="shared" si="34"/>
        <v>星期三</v>
      </c>
    </row>
    <row r="305" spans="1:23">
      <c r="A305" s="17" t="s">
        <v>6</v>
      </c>
      <c r="B305" s="1" t="s">
        <v>348</v>
      </c>
      <c r="C305" s="9">
        <v>45322</v>
      </c>
      <c r="D305" s="1" t="s">
        <v>475</v>
      </c>
      <c r="E305" s="1" t="s">
        <v>267</v>
      </c>
      <c r="F305" s="1" t="s">
        <v>349</v>
      </c>
      <c r="H305" s="1" t="s">
        <v>347</v>
      </c>
      <c r="I305" s="1">
        <v>150</v>
      </c>
      <c r="J305" s="27">
        <v>0.59</v>
      </c>
      <c r="K305" s="1">
        <v>0.06</v>
      </c>
      <c r="M305" s="24">
        <f t="shared" si="28"/>
        <v>88.5</v>
      </c>
      <c r="N305" s="36">
        <f t="shared" si="29"/>
        <v>-88.5</v>
      </c>
      <c r="O305" s="34">
        <f>IF(ISBLANK(A305),"",SUMIFS(I$3:I305,D$3:D305,D305,H$3:H305,"Buy")+SUMIFS(I$3:I305,D$3:D305,D305,H$3:H305,"Cash Deposit")+SUMIFS(I$3:I305,D$3:D305,D305,H$3:H305,"Crypto Deposit")+SUMIFS(I$3:I305,D$3:D305,D305,H$3:H305,"Airdrop/Rewards")-SUMIFS(I$3:I305,D$3:D305,D305,H$3:H305,"Sell"))</f>
        <v>150</v>
      </c>
      <c r="P305" s="2" cm="1">
        <f t="array" ref="P305">IF(ISBLANK(A305),"",IFERROR(IF(OR(H305="Sell",F305="Stable Coin"),INDEX(_xlfn._xlws.FILTER(P$2:P304, D$2:D304=D305),COUNT(_xlfn._xlws.FILTER(P$2:P304, D$2:D304=D305))),(INDEX(_xlfn._xlws.FILTER(P$2:P304, D$2:D304=D305),COUNT(_xlfn._xlws.FILTER(P$2:P304, D$2:D304=D305)))*INDEX(_xlfn._xlws.FILTER(O$2:O304, D$2:D304=D305),COUNT(_xlfn._xlws.FILTER(O$2:O304, D$2:D304=D305)))-N305) / O305), J305))</f>
        <v>0.59</v>
      </c>
      <c r="Q305" s="1" t="str">
        <f t="shared" si="30"/>
        <v>USD</v>
      </c>
      <c r="R305" s="1" cm="1">
        <f t="array" ref="R305">IF(A305="", "",
    IFERROR(
        _xlfn.SWITCH(
            TRUE,
            AND(Q305="USD", $Q$2="USD"), K305,
            AND(Q305="USD", $Q$2="GBP"), K305*$Z$3,
            AND(Q305="USD", $Q$2="HKD"), K305*$Z$4,
            AND(Q305="USD", $Q$2="EUR"), K305*$Z$5,
            AND(Q305="GBP", $Q$2="GBP"), K305,
            AND(Q305="GBP", $Q$2="USD"), K305*$Z$6,
            AND(Q305="GBP", $Q$2="HKD"), K305*$Z$7,
            AND(Q305="HKG", $Q$2="HKG"), K305,
            AND(Q305="HKD", $Q$2="USD"), K305*$Z$9,
            AND(Q305="HKD", $Q$2="GBP"), K305*$Z$10,
            AND(Q305="HKD", $Q$2="EUR"), K305*$Z$11,
            AND(Q305="EUR", $Q$2="EUR"), K305,
            AND(Q305="EUR", $Q$2="USD"), K305*$Z$12,
            AND(Q305="EUR", $Q$2="GBP"), K305*$Z$13,
            AND(Q305="EUR", $Q$2="HKD"), K305*$Z$14,
        ),
        0
    )
)</f>
        <v>0.06</v>
      </c>
      <c r="S305" s="1" cm="1">
        <f t="array" ref="S305">IF(A305="", "",
    IFERROR(
        _xlfn.SWITCH(
            TRUE,
            AND(Q305="USD", $Q$2="USD"), M305,
            AND(Q305="USD", $Q$2="GBP"), M305*$Z$3,
            AND(Q305="USD", $Q$2="HKD"), M305*$Z$4,
            AND(Q305="USD", $Q$2="EUR"), M305*$Z$5,
            AND(Q305="GBP", $Q$2="GBP"), M305,
            AND(Q305="GBP", $Q$2="USD"), M305*$Z$6,
            AND(Q305="GBP", $Q$2="HKD"), M305*$Z$7,
            AND(Q305="GBP", $Q$2="HKD"), M305*$Z$8,
            AND(Q305="HKG", $Q$2="HKG"), M305,
            AND(Q305="HKD", $Q$2="USD"), M305*$Z$9,
            AND(Q305="HKD", $Q$2="GBP"), M305*$Z$10,
            AND(Q305="HKD", $Q$2="EUR"), M305*$Z$11,
            AND(Q305="EUR", $Q$2="EUR"), M305,
            AND(Q305="EUR", $Q$2="USD"), M305*$Z$12,
            AND(Q305="EUR", $Q$2="GBP"), M305*$Z$13,
            AND(Q305="EUR", $Q$2="HKD"), M305*$Z$14,
        ),
        0
    )
)</f>
        <v>88.5</v>
      </c>
      <c r="T305" s="1" t="str">
        <f t="shared" si="31"/>
        <v>31</v>
      </c>
      <c r="U305" s="9" t="str">
        <f t="shared" si="32"/>
        <v>01</v>
      </c>
      <c r="V305" s="1" t="str">
        <f t="shared" si="33"/>
        <v>2024</v>
      </c>
      <c r="W305" s="18" t="str">
        <f t="shared" si="34"/>
        <v>星期三</v>
      </c>
    </row>
    <row r="306" spans="1:23">
      <c r="A306" s="17" t="s">
        <v>6</v>
      </c>
      <c r="B306" s="1" t="s">
        <v>348</v>
      </c>
      <c r="C306" s="9">
        <v>45324</v>
      </c>
      <c r="D306" s="1" t="s">
        <v>47</v>
      </c>
      <c r="E306" s="1" t="s">
        <v>4</v>
      </c>
      <c r="F306" s="1" t="s">
        <v>349</v>
      </c>
      <c r="H306" s="1" t="s">
        <v>367</v>
      </c>
      <c r="I306" s="1">
        <v>2.32E-3</v>
      </c>
      <c r="J306" s="27">
        <v>43088</v>
      </c>
      <c r="K306" s="1">
        <v>7.0000000000000007E-2</v>
      </c>
      <c r="M306" s="25">
        <f t="shared" si="28"/>
        <v>99.894160000000014</v>
      </c>
      <c r="N306" s="36">
        <f t="shared" si="29"/>
        <v>99.964160000000007</v>
      </c>
      <c r="O306" s="34">
        <f>IF(ISBLANK(A306),"",SUMIFS(I$3:I306,D$3:D306,D306,H$3:H306,"Buy")+SUMIFS(I$3:I306,D$3:D306,D306,H$3:H306,"Cash Deposit")+SUMIFS(I$3:I306,D$3:D306,D306,H$3:H306,"Crypto Deposit")+SUMIFS(I$3:I306,D$3:D306,D306,H$3:H306,"Airdrop/Rewards")-SUMIFS(I$3:I306,D$3:D306,D306,H$3:H306,"Sell"))</f>
        <v>0.31431981999999997</v>
      </c>
      <c r="P306" s="2" cm="1">
        <f t="array" ref="P306">IF(ISBLANK(A306),"",IFERROR(IF(OR(H306="Sell",F306="Stable Coin"),INDEX(_xlfn._xlws.FILTER(P$2:P305, D$2:D305=D306),COUNT(_xlfn._xlws.FILTER(P$2:P305, D$2:D305=D306))),(INDEX(_xlfn._xlws.FILTER(P$2:P305, D$2:D305=D306),COUNT(_xlfn._xlws.FILTER(P$2:P305, D$2:D305=D306)))*INDEX(_xlfn._xlws.FILTER(O$2:O305, D$2:D305=D306),COUNT(_xlfn._xlws.FILTER(O$2:O305, D$2:D305=D306)))-N306) / O306), J306))</f>
        <v>31594.208747720164</v>
      </c>
      <c r="Q306" s="1" t="str">
        <f t="shared" si="30"/>
        <v>USD</v>
      </c>
      <c r="R306" s="1" cm="1">
        <f t="array" ref="R306">IF(A306="", "",
    IFERROR(
        _xlfn.SWITCH(
            TRUE,
            AND(Q306="USD", $Q$2="USD"), K306,
            AND(Q306="USD", $Q$2="GBP"), K306*$Z$3,
            AND(Q306="USD", $Q$2="HKD"), K306*$Z$4,
            AND(Q306="USD", $Q$2="EUR"), K306*$Z$5,
            AND(Q306="GBP", $Q$2="GBP"), K306,
            AND(Q306="GBP", $Q$2="USD"), K306*$Z$6,
            AND(Q306="GBP", $Q$2="HKD"), K306*$Z$7,
            AND(Q306="HKG", $Q$2="HKG"), K306,
            AND(Q306="HKD", $Q$2="USD"), K306*$Z$9,
            AND(Q306="HKD", $Q$2="GBP"), K306*$Z$10,
            AND(Q306="HKD", $Q$2="EUR"), K306*$Z$11,
            AND(Q306="EUR", $Q$2="EUR"), K306,
            AND(Q306="EUR", $Q$2="USD"), K306*$Z$12,
            AND(Q306="EUR", $Q$2="GBP"), K306*$Z$13,
            AND(Q306="EUR", $Q$2="HKD"), K306*$Z$14,
        ),
        0
    )
)</f>
        <v>7.0000000000000007E-2</v>
      </c>
      <c r="S306" s="1" cm="1">
        <f t="array" ref="S306">IF(A306="", "",
    IFERROR(
        _xlfn.SWITCH(
            TRUE,
            AND(Q306="USD", $Q$2="USD"), M306,
            AND(Q306="USD", $Q$2="GBP"), M306*$Z$3,
            AND(Q306="USD", $Q$2="HKD"), M306*$Z$4,
            AND(Q306="USD", $Q$2="EUR"), M306*$Z$5,
            AND(Q306="GBP", $Q$2="GBP"), M306,
            AND(Q306="GBP", $Q$2="USD"), M306*$Z$6,
            AND(Q306="GBP", $Q$2="HKD"), M306*$Z$7,
            AND(Q306="GBP", $Q$2="HKD"), M306*$Z$8,
            AND(Q306="HKG", $Q$2="HKG"), M306,
            AND(Q306="HKD", $Q$2="USD"), M306*$Z$9,
            AND(Q306="HKD", $Q$2="GBP"), M306*$Z$10,
            AND(Q306="HKD", $Q$2="EUR"), M306*$Z$11,
            AND(Q306="EUR", $Q$2="EUR"), M306,
            AND(Q306="EUR", $Q$2="USD"), M306*$Z$12,
            AND(Q306="EUR", $Q$2="GBP"), M306*$Z$13,
            AND(Q306="EUR", $Q$2="HKD"), M306*$Z$14,
        ),
        0
    )
)</f>
        <v>99.894160000000014</v>
      </c>
      <c r="T306" s="1" t="str">
        <f t="shared" si="31"/>
        <v>2</v>
      </c>
      <c r="U306" s="8" t="str">
        <f t="shared" si="32"/>
        <v>02</v>
      </c>
      <c r="V306" s="1" t="str">
        <f t="shared" si="33"/>
        <v>2024</v>
      </c>
      <c r="W306" s="18" t="str">
        <f t="shared" si="34"/>
        <v>星期五</v>
      </c>
    </row>
    <row r="307" spans="1:23">
      <c r="A307" s="17" t="s">
        <v>6</v>
      </c>
      <c r="B307" s="1" t="s">
        <v>348</v>
      </c>
      <c r="C307" s="9">
        <v>45324</v>
      </c>
      <c r="D307" s="1" t="s">
        <v>364</v>
      </c>
      <c r="E307" s="1" t="s">
        <v>114</v>
      </c>
      <c r="F307" s="1" t="s">
        <v>346</v>
      </c>
      <c r="H307" s="1" t="s">
        <v>347</v>
      </c>
      <c r="I307" s="1">
        <v>99.964160000000007</v>
      </c>
      <c r="J307" s="27">
        <v>1</v>
      </c>
      <c r="M307" s="25">
        <f t="shared" si="28"/>
        <v>99.964160000000007</v>
      </c>
      <c r="N307" s="36">
        <f t="shared" si="29"/>
        <v>-99.964160000000007</v>
      </c>
      <c r="O307" s="34">
        <f>IF(ISBLANK(A307),"",SUMIFS(I$3:I307,D$3:D307,D307,H$3:H307,"Buy")+SUMIFS(I$3:I307,D$3:D307,D307,H$3:H307,"Cash Deposit")+SUMIFS(I$3:I307,D$3:D307,D307,H$3:H307,"Crypto Deposit")+SUMIFS(I$3:I307,D$3:D307,D307,H$3:H307,"Airdrop/Rewards")-SUMIFS(I$3:I307,D$3:D307,D307,H$3:H307,"Sell"))</f>
        <v>4594.4005781803789</v>
      </c>
      <c r="P307" s="2" cm="1">
        <f t="array" ref="P307">IF(ISBLANK(A307),"",IFERROR(IF(OR(H307="Sell",F307="Stable Coin"),INDEX(_xlfn._xlws.FILTER(P$2:P306, D$2:D306=D307),COUNT(_xlfn._xlws.FILTER(P$2:P306, D$2:D306=D307))),(INDEX(_xlfn._xlws.FILTER(P$2:P306, D$2:D306=D307),COUNT(_xlfn._xlws.FILTER(P$2:P306, D$2:D306=D307)))*INDEX(_xlfn._xlws.FILTER(O$2:O306, D$2:D306=D307),COUNT(_xlfn._xlws.FILTER(O$2:O306, D$2:D306=D307)))-N307) / O307), J307))</f>
        <v>1</v>
      </c>
      <c r="Q307" s="1" t="str">
        <f t="shared" si="30"/>
        <v>USD</v>
      </c>
      <c r="R307" s="1" cm="1">
        <f t="array" ref="R307">IF(A307="", "",
    IFERROR(
        _xlfn.SWITCH(
            TRUE,
            AND(Q307="USD", $Q$2="USD"), K307,
            AND(Q307="USD", $Q$2="GBP"), K307*$Z$3,
            AND(Q307="USD", $Q$2="HKD"), K307*$Z$4,
            AND(Q307="USD", $Q$2="EUR"), K307*$Z$5,
            AND(Q307="GBP", $Q$2="GBP"), K307,
            AND(Q307="GBP", $Q$2="USD"), K307*$Z$6,
            AND(Q307="GBP", $Q$2="HKD"), K307*$Z$7,
            AND(Q307="HKG", $Q$2="HKG"), K307,
            AND(Q307="HKD", $Q$2="USD"), K307*$Z$9,
            AND(Q307="HKD", $Q$2="GBP"), K307*$Z$10,
            AND(Q307="HKD", $Q$2="EUR"), K307*$Z$11,
            AND(Q307="EUR", $Q$2="EUR"), K307,
            AND(Q307="EUR", $Q$2="USD"), K307*$Z$12,
            AND(Q307="EUR", $Q$2="GBP"), K307*$Z$13,
            AND(Q307="EUR", $Q$2="HKD"), K307*$Z$14,
        ),
        0
    )
)</f>
        <v>0</v>
      </c>
      <c r="S307" s="1" cm="1">
        <f t="array" ref="S307">IF(A307="", "",
    IFERROR(
        _xlfn.SWITCH(
            TRUE,
            AND(Q307="USD", $Q$2="USD"), M307,
            AND(Q307="USD", $Q$2="GBP"), M307*$Z$3,
            AND(Q307="USD", $Q$2="HKD"), M307*$Z$4,
            AND(Q307="USD", $Q$2="EUR"), M307*$Z$5,
            AND(Q307="GBP", $Q$2="GBP"), M307,
            AND(Q307="GBP", $Q$2="USD"), M307*$Z$6,
            AND(Q307="GBP", $Q$2="HKD"), M307*$Z$7,
            AND(Q307="GBP", $Q$2="HKD"), M307*$Z$8,
            AND(Q307="HKG", $Q$2="HKG"), M307,
            AND(Q307="HKD", $Q$2="USD"), M307*$Z$9,
            AND(Q307="HKD", $Q$2="GBP"), M307*$Z$10,
            AND(Q307="HKD", $Q$2="EUR"), M307*$Z$11,
            AND(Q307="EUR", $Q$2="EUR"), M307,
            AND(Q307="EUR", $Q$2="USD"), M307*$Z$12,
            AND(Q307="EUR", $Q$2="GBP"), M307*$Z$13,
            AND(Q307="EUR", $Q$2="HKD"), M307*$Z$14,
        ),
        0
    )
)</f>
        <v>99.964160000000007</v>
      </c>
      <c r="T307" s="1" t="str">
        <f t="shared" si="31"/>
        <v>2</v>
      </c>
      <c r="U307" s="8" t="str">
        <f t="shared" si="32"/>
        <v>02</v>
      </c>
      <c r="V307" s="1" t="str">
        <f t="shared" si="33"/>
        <v>2024</v>
      </c>
      <c r="W307" s="18" t="str">
        <f t="shared" si="34"/>
        <v>星期五</v>
      </c>
    </row>
    <row r="308" spans="1:23">
      <c r="A308" s="17" t="s">
        <v>6</v>
      </c>
      <c r="B308" s="1" t="s">
        <v>348</v>
      </c>
      <c r="C308" s="9">
        <v>45324</v>
      </c>
      <c r="D308" s="1" t="s">
        <v>47</v>
      </c>
      <c r="E308" s="1" t="s">
        <v>4</v>
      </c>
      <c r="F308" s="1" t="s">
        <v>349</v>
      </c>
      <c r="H308" s="1" t="s">
        <v>367</v>
      </c>
      <c r="I308" s="1">
        <v>3.47E-3</v>
      </c>
      <c r="J308" s="27">
        <v>43188</v>
      </c>
      <c r="K308" s="1">
        <v>0.11</v>
      </c>
      <c r="M308" s="25">
        <f t="shared" si="28"/>
        <v>149.75235999999998</v>
      </c>
      <c r="N308" s="36">
        <f t="shared" si="29"/>
        <v>149.86236</v>
      </c>
      <c r="O308" s="34">
        <f>IF(ISBLANK(A308),"",SUMIFS(I$3:I308,D$3:D308,D308,H$3:H308,"Buy")+SUMIFS(I$3:I308,D$3:D308,D308,H$3:H308,"Cash Deposit")+SUMIFS(I$3:I308,D$3:D308,D308,H$3:H308,"Crypto Deposit")+SUMIFS(I$3:I308,D$3:D308,D308,H$3:H308,"Airdrop/Rewards")-SUMIFS(I$3:I308,D$3:D308,D308,H$3:H308,"Sell"))</f>
        <v>0.31084981999999994</v>
      </c>
      <c r="P308" s="2" cm="1">
        <f t="array" ref="P308">IF(ISBLANK(A308),"",IFERROR(IF(OR(H308="Sell",F308="Stable Coin"),INDEX(_xlfn._xlws.FILTER(P$2:P307, D$2:D307=D308),COUNT(_xlfn._xlws.FILTER(P$2:P307, D$2:D307=D308))),(INDEX(_xlfn._xlws.FILTER(P$2:P307, D$2:D307=D308),COUNT(_xlfn._xlws.FILTER(P$2:P307, D$2:D307=D308)))*INDEX(_xlfn._xlws.FILTER(O$2:O307, D$2:D307=D308),COUNT(_xlfn._xlws.FILTER(O$2:O307, D$2:D307=D308)))-N308) / O308), J308))</f>
        <v>31594.208747720164</v>
      </c>
      <c r="Q308" s="1" t="str">
        <f t="shared" si="30"/>
        <v>USD</v>
      </c>
      <c r="R308" s="1" cm="1">
        <f t="array" ref="R308">IF(A308="", "",
    IFERROR(
        _xlfn.SWITCH(
            TRUE,
            AND(Q308="USD", $Q$2="USD"), K308,
            AND(Q308="USD", $Q$2="GBP"), K308*$Z$3,
            AND(Q308="USD", $Q$2="HKD"), K308*$Z$4,
            AND(Q308="USD", $Q$2="EUR"), K308*$Z$5,
            AND(Q308="GBP", $Q$2="GBP"), K308,
            AND(Q308="GBP", $Q$2="USD"), K308*$Z$6,
            AND(Q308="GBP", $Q$2="HKD"), K308*$Z$7,
            AND(Q308="HKG", $Q$2="HKG"), K308,
            AND(Q308="HKD", $Q$2="USD"), K308*$Z$9,
            AND(Q308="HKD", $Q$2="GBP"), K308*$Z$10,
            AND(Q308="HKD", $Q$2="EUR"), K308*$Z$11,
            AND(Q308="EUR", $Q$2="EUR"), K308,
            AND(Q308="EUR", $Q$2="USD"), K308*$Z$12,
            AND(Q308="EUR", $Q$2="GBP"), K308*$Z$13,
            AND(Q308="EUR", $Q$2="HKD"), K308*$Z$14,
        ),
        0
    )
)</f>
        <v>0.11</v>
      </c>
      <c r="S308" s="1" cm="1">
        <f t="array" ref="S308">IF(A308="", "",
    IFERROR(
        _xlfn.SWITCH(
            TRUE,
            AND(Q308="USD", $Q$2="USD"), M308,
            AND(Q308="USD", $Q$2="GBP"), M308*$Z$3,
            AND(Q308="USD", $Q$2="HKD"), M308*$Z$4,
            AND(Q308="USD", $Q$2="EUR"), M308*$Z$5,
            AND(Q308="GBP", $Q$2="GBP"), M308,
            AND(Q308="GBP", $Q$2="USD"), M308*$Z$6,
            AND(Q308="GBP", $Q$2="HKD"), M308*$Z$7,
            AND(Q308="GBP", $Q$2="HKD"), M308*$Z$8,
            AND(Q308="HKG", $Q$2="HKG"), M308,
            AND(Q308="HKD", $Q$2="USD"), M308*$Z$9,
            AND(Q308="HKD", $Q$2="GBP"), M308*$Z$10,
            AND(Q308="HKD", $Q$2="EUR"), M308*$Z$11,
            AND(Q308="EUR", $Q$2="EUR"), M308,
            AND(Q308="EUR", $Q$2="USD"), M308*$Z$12,
            AND(Q308="EUR", $Q$2="GBP"), M308*$Z$13,
            AND(Q308="EUR", $Q$2="HKD"), M308*$Z$14,
        ),
        0
    )
)</f>
        <v>149.75235999999998</v>
      </c>
      <c r="T308" s="1" t="str">
        <f t="shared" si="31"/>
        <v>2</v>
      </c>
      <c r="U308" s="8" t="str">
        <f t="shared" si="32"/>
        <v>02</v>
      </c>
      <c r="V308" s="1" t="str">
        <f t="shared" si="33"/>
        <v>2024</v>
      </c>
      <c r="W308" s="18" t="str">
        <f t="shared" si="34"/>
        <v>星期五</v>
      </c>
    </row>
    <row r="309" spans="1:23">
      <c r="A309" s="17" t="s">
        <v>6</v>
      </c>
      <c r="B309" s="1" t="s">
        <v>348</v>
      </c>
      <c r="C309" s="9">
        <v>45324</v>
      </c>
      <c r="D309" s="1" t="s">
        <v>364</v>
      </c>
      <c r="E309" s="1" t="s">
        <v>114</v>
      </c>
      <c r="F309" s="1" t="s">
        <v>346</v>
      </c>
      <c r="H309" s="1" t="s">
        <v>347</v>
      </c>
      <c r="I309" s="1">
        <v>149.86236</v>
      </c>
      <c r="J309" s="27">
        <v>1</v>
      </c>
      <c r="M309" s="25">
        <f t="shared" si="28"/>
        <v>149.86236</v>
      </c>
      <c r="N309" s="36">
        <f t="shared" si="29"/>
        <v>-149.86236</v>
      </c>
      <c r="O309" s="34">
        <f>IF(ISBLANK(A309),"",SUMIFS(I$3:I309,D$3:D309,D309,H$3:H309,"Buy")+SUMIFS(I$3:I309,D$3:D309,D309,H$3:H309,"Cash Deposit")+SUMIFS(I$3:I309,D$3:D309,D309,H$3:H309,"Crypto Deposit")+SUMIFS(I$3:I309,D$3:D309,D309,H$3:H309,"Airdrop/Rewards")-SUMIFS(I$3:I309,D$3:D309,D309,H$3:H309,"Sell"))</f>
        <v>4744.2629381803781</v>
      </c>
      <c r="P309" s="2" cm="1">
        <f t="array" ref="P309">IF(ISBLANK(A309),"",IFERROR(IF(OR(H309="Sell",F309="Stable Coin"),INDEX(_xlfn._xlws.FILTER(P$2:P308, D$2:D308=D309),COUNT(_xlfn._xlws.FILTER(P$2:P308, D$2:D308=D309))),(INDEX(_xlfn._xlws.FILTER(P$2:P308, D$2:D308=D309),COUNT(_xlfn._xlws.FILTER(P$2:P308, D$2:D308=D309)))*INDEX(_xlfn._xlws.FILTER(O$2:O308, D$2:D308=D309),COUNT(_xlfn._xlws.FILTER(O$2:O308, D$2:D308=D309)))-N309) / O309), J309))</f>
        <v>1</v>
      </c>
      <c r="Q309" s="1" t="str">
        <f t="shared" si="30"/>
        <v>USD</v>
      </c>
      <c r="R309" s="1" cm="1">
        <f t="array" ref="R309">IF(A309="", "",
    IFERROR(
        _xlfn.SWITCH(
            TRUE,
            AND(Q309="USD", $Q$2="USD"), K309,
            AND(Q309="USD", $Q$2="GBP"), K309*$Z$3,
            AND(Q309="USD", $Q$2="HKD"), K309*$Z$4,
            AND(Q309="USD", $Q$2="EUR"), K309*$Z$5,
            AND(Q309="GBP", $Q$2="GBP"), K309,
            AND(Q309="GBP", $Q$2="USD"), K309*$Z$6,
            AND(Q309="GBP", $Q$2="HKD"), K309*$Z$7,
            AND(Q309="HKG", $Q$2="HKG"), K309,
            AND(Q309="HKD", $Q$2="USD"), K309*$Z$9,
            AND(Q309="HKD", $Q$2="GBP"), K309*$Z$10,
            AND(Q309="HKD", $Q$2="EUR"), K309*$Z$11,
            AND(Q309="EUR", $Q$2="EUR"), K309,
            AND(Q309="EUR", $Q$2="USD"), K309*$Z$12,
            AND(Q309="EUR", $Q$2="GBP"), K309*$Z$13,
            AND(Q309="EUR", $Q$2="HKD"), K309*$Z$14,
        ),
        0
    )
)</f>
        <v>0</v>
      </c>
      <c r="S309" s="1" cm="1">
        <f t="array" ref="S309">IF(A309="", "",
    IFERROR(
        _xlfn.SWITCH(
            TRUE,
            AND(Q309="USD", $Q$2="USD"), M309,
            AND(Q309="USD", $Q$2="GBP"), M309*$Z$3,
            AND(Q309="USD", $Q$2="HKD"), M309*$Z$4,
            AND(Q309="USD", $Q$2="EUR"), M309*$Z$5,
            AND(Q309="GBP", $Q$2="GBP"), M309,
            AND(Q309="GBP", $Q$2="USD"), M309*$Z$6,
            AND(Q309="GBP", $Q$2="HKD"), M309*$Z$7,
            AND(Q309="GBP", $Q$2="HKD"), M309*$Z$8,
            AND(Q309="HKG", $Q$2="HKG"), M309,
            AND(Q309="HKD", $Q$2="USD"), M309*$Z$9,
            AND(Q309="HKD", $Q$2="GBP"), M309*$Z$10,
            AND(Q309="HKD", $Q$2="EUR"), M309*$Z$11,
            AND(Q309="EUR", $Q$2="EUR"), M309,
            AND(Q309="EUR", $Q$2="USD"), M309*$Z$12,
            AND(Q309="EUR", $Q$2="GBP"), M309*$Z$13,
            AND(Q309="EUR", $Q$2="HKD"), M309*$Z$14,
        ),
        0
    )
)</f>
        <v>149.86236</v>
      </c>
      <c r="T309" s="1" t="str">
        <f t="shared" si="31"/>
        <v>2</v>
      </c>
      <c r="U309" s="8" t="str">
        <f t="shared" si="32"/>
        <v>02</v>
      </c>
      <c r="V309" s="1" t="str">
        <f t="shared" si="33"/>
        <v>2024</v>
      </c>
      <c r="W309" s="18" t="str">
        <f t="shared" si="34"/>
        <v>星期五</v>
      </c>
    </row>
    <row r="310" spans="1:23">
      <c r="A310" s="17" t="s">
        <v>59</v>
      </c>
      <c r="B310" s="1" t="s">
        <v>348</v>
      </c>
      <c r="C310" s="9">
        <v>45324</v>
      </c>
      <c r="D310" s="1" t="s">
        <v>27</v>
      </c>
      <c r="E310" s="1" t="s">
        <v>28</v>
      </c>
      <c r="F310" s="1" t="s">
        <v>349</v>
      </c>
      <c r="H310" s="1" t="s">
        <v>367</v>
      </c>
      <c r="I310" s="1">
        <v>2.222</v>
      </c>
      <c r="J310" s="27">
        <v>36.5796579657965</v>
      </c>
      <c r="M310" s="25">
        <f t="shared" si="28"/>
        <v>81.279999999999816</v>
      </c>
      <c r="N310" s="36">
        <f t="shared" si="29"/>
        <v>81.279999999999816</v>
      </c>
      <c r="O310" s="34">
        <f>IF(ISBLANK(A310),"",SUMIFS(I$3:I310,D$3:D310,D310,H$3:H310,"Buy")+SUMIFS(I$3:I310,D$3:D310,D310,H$3:H310,"Cash Deposit")+SUMIFS(I$3:I310,D$3:D310,D310,H$3:H310,"Crypto Deposit")+SUMIFS(I$3:I310,D$3:D310,D310,H$3:H310,"Airdrop/Rewards")-SUMIFS(I$3:I310,D$3:D310,D310,H$3:H310,"Sell"))</f>
        <v>84.548500000000004</v>
      </c>
      <c r="P310" s="2" cm="1">
        <f t="array" ref="P310">IF(ISBLANK(A310),"",IFERROR(IF(OR(H310="Sell",F310="Stable Coin"),INDEX(_xlfn._xlws.FILTER(P$2:P309, D$2:D309=D310),COUNT(_xlfn._xlws.FILTER(P$2:P309, D$2:D309=D310))),(INDEX(_xlfn._xlws.FILTER(P$2:P309, D$2:D309=D310),COUNT(_xlfn._xlws.FILTER(P$2:P309, D$2:D309=D310)))*INDEX(_xlfn._xlws.FILTER(O$2:O309, D$2:D309=D310),COUNT(_xlfn._xlws.FILTER(O$2:O309, D$2:D309=D310)))-N310) / O310), J310))</f>
        <v>24.34198627413695</v>
      </c>
      <c r="Q310" s="1" t="str">
        <f t="shared" si="30"/>
        <v>USD</v>
      </c>
      <c r="R310" s="1" cm="1">
        <f t="array" ref="R310">IF(A310="", "",
    IFERROR(
        _xlfn.SWITCH(
            TRUE,
            AND(Q310="USD", $Q$2="USD"), K310,
            AND(Q310="USD", $Q$2="GBP"), K310*$Z$3,
            AND(Q310="USD", $Q$2="HKD"), K310*$Z$4,
            AND(Q310="USD", $Q$2="EUR"), K310*$Z$5,
            AND(Q310="GBP", $Q$2="GBP"), K310,
            AND(Q310="GBP", $Q$2="USD"), K310*$Z$6,
            AND(Q310="GBP", $Q$2="HKD"), K310*$Z$7,
            AND(Q310="HKG", $Q$2="HKG"), K310,
            AND(Q310="HKD", $Q$2="USD"), K310*$Z$9,
            AND(Q310="HKD", $Q$2="GBP"), K310*$Z$10,
            AND(Q310="HKD", $Q$2="EUR"), K310*$Z$11,
            AND(Q310="EUR", $Q$2="EUR"), K310,
            AND(Q310="EUR", $Q$2="USD"), K310*$Z$12,
            AND(Q310="EUR", $Q$2="GBP"), K310*$Z$13,
            AND(Q310="EUR", $Q$2="HKD"), K310*$Z$14,
        ),
        0
    )
)</f>
        <v>0</v>
      </c>
      <c r="S310" s="1" cm="1">
        <f t="array" ref="S310">IF(A310="", "",
    IFERROR(
        _xlfn.SWITCH(
            TRUE,
            AND(Q310="USD", $Q$2="USD"), M310,
            AND(Q310="USD", $Q$2="GBP"), M310*$Z$3,
            AND(Q310="USD", $Q$2="HKD"), M310*$Z$4,
            AND(Q310="USD", $Q$2="EUR"), M310*$Z$5,
            AND(Q310="GBP", $Q$2="GBP"), M310,
            AND(Q310="GBP", $Q$2="USD"), M310*$Z$6,
            AND(Q310="GBP", $Q$2="HKD"), M310*$Z$7,
            AND(Q310="GBP", $Q$2="HKD"), M310*$Z$8,
            AND(Q310="HKG", $Q$2="HKG"), M310,
            AND(Q310="HKD", $Q$2="USD"), M310*$Z$9,
            AND(Q310="HKD", $Q$2="GBP"), M310*$Z$10,
            AND(Q310="HKD", $Q$2="EUR"), M310*$Z$11,
            AND(Q310="EUR", $Q$2="EUR"), M310,
            AND(Q310="EUR", $Q$2="USD"), M310*$Z$12,
            AND(Q310="EUR", $Q$2="GBP"), M310*$Z$13,
            AND(Q310="EUR", $Q$2="HKD"), M310*$Z$14,
        ),
        0
    )
)</f>
        <v>81.279999999999816</v>
      </c>
      <c r="T310" s="1" t="str">
        <f t="shared" si="31"/>
        <v>2</v>
      </c>
      <c r="U310" s="8" t="str">
        <f t="shared" si="32"/>
        <v>02</v>
      </c>
      <c r="V310" s="1" t="str">
        <f t="shared" si="33"/>
        <v>2024</v>
      </c>
      <c r="W310" s="18" t="str">
        <f t="shared" si="34"/>
        <v>星期五</v>
      </c>
    </row>
    <row r="311" spans="1:23">
      <c r="A311" s="17" t="s">
        <v>59</v>
      </c>
      <c r="B311" s="1" t="s">
        <v>348</v>
      </c>
      <c r="C311" s="9">
        <v>45324</v>
      </c>
      <c r="D311" s="1" t="s">
        <v>510</v>
      </c>
      <c r="E311" s="1" t="s">
        <v>511</v>
      </c>
      <c r="F311" s="1" t="s">
        <v>349</v>
      </c>
      <c r="H311" s="1" t="s">
        <v>347</v>
      </c>
      <c r="I311" s="1">
        <v>80000000</v>
      </c>
      <c r="J311" s="27">
        <v>1.0160000000000001E-6</v>
      </c>
      <c r="L311" s="1" t="s">
        <v>512</v>
      </c>
      <c r="M311" s="25">
        <f t="shared" si="28"/>
        <v>81.28</v>
      </c>
      <c r="N311" s="36">
        <f t="shared" si="29"/>
        <v>-81.28</v>
      </c>
      <c r="O311" s="34">
        <f>IF(ISBLANK(A311),"",SUMIFS(I$3:I311,D$3:D311,D311,H$3:H311,"Buy")+SUMIFS(I$3:I311,D$3:D311,D311,H$3:H311,"Cash Deposit")+SUMIFS(I$3:I311,D$3:D311,D311,H$3:H311,"Crypto Deposit")+SUMIFS(I$3:I311,D$3:D311,D311,H$3:H311,"Airdrop/Rewards")-SUMIFS(I$3:I311,D$3:D311,D311,H$3:H311,"Sell"))</f>
        <v>80000000</v>
      </c>
      <c r="P311" s="2" cm="1">
        <f t="array" ref="P311">IF(ISBLANK(A311),"",IFERROR(IF(OR(H311="Sell",F311="Stable Coin"),INDEX(_xlfn._xlws.FILTER(P$2:P310, D$2:D310=D311),COUNT(_xlfn._xlws.FILTER(P$2:P310, D$2:D310=D311))),(INDEX(_xlfn._xlws.FILTER(P$2:P310, D$2:D310=D311),COUNT(_xlfn._xlws.FILTER(P$2:P310, D$2:D310=D311)))*INDEX(_xlfn._xlws.FILTER(O$2:O310, D$2:D310=D311),COUNT(_xlfn._xlws.FILTER(O$2:O310, D$2:D310=D311)))-N311) / O311), J311))</f>
        <v>1.0160000000000001E-6</v>
      </c>
      <c r="Q311" s="1" t="str">
        <f t="shared" si="30"/>
        <v>USD</v>
      </c>
      <c r="R311" s="1" cm="1">
        <f t="array" ref="R311">IF(A311="", "",
    IFERROR(
        _xlfn.SWITCH(
            TRUE,
            AND(Q311="USD", $Q$2="USD"), K311,
            AND(Q311="USD", $Q$2="GBP"), K311*$Z$3,
            AND(Q311="USD", $Q$2="HKD"), K311*$Z$4,
            AND(Q311="USD", $Q$2="EUR"), K311*$Z$5,
            AND(Q311="GBP", $Q$2="GBP"), K311,
            AND(Q311="GBP", $Q$2="USD"), K311*$Z$6,
            AND(Q311="GBP", $Q$2="HKD"), K311*$Z$7,
            AND(Q311="HKG", $Q$2="HKG"), K311,
            AND(Q311="HKD", $Q$2="USD"), K311*$Z$9,
            AND(Q311="HKD", $Q$2="GBP"), K311*$Z$10,
            AND(Q311="HKD", $Q$2="EUR"), K311*$Z$11,
            AND(Q311="EUR", $Q$2="EUR"), K311,
            AND(Q311="EUR", $Q$2="USD"), K311*$Z$12,
            AND(Q311="EUR", $Q$2="GBP"), K311*$Z$13,
            AND(Q311="EUR", $Q$2="HKD"), K311*$Z$14,
        ),
        0
    )
)</f>
        <v>0</v>
      </c>
      <c r="S311" s="1" cm="1">
        <f t="array" ref="S311">IF(A311="", "",
    IFERROR(
        _xlfn.SWITCH(
            TRUE,
            AND(Q311="USD", $Q$2="USD"), M311,
            AND(Q311="USD", $Q$2="GBP"), M311*$Z$3,
            AND(Q311="USD", $Q$2="HKD"), M311*$Z$4,
            AND(Q311="USD", $Q$2="EUR"), M311*$Z$5,
            AND(Q311="GBP", $Q$2="GBP"), M311,
            AND(Q311="GBP", $Q$2="USD"), M311*$Z$6,
            AND(Q311="GBP", $Q$2="HKD"), M311*$Z$7,
            AND(Q311="GBP", $Q$2="HKD"), M311*$Z$8,
            AND(Q311="HKG", $Q$2="HKG"), M311,
            AND(Q311="HKD", $Q$2="USD"), M311*$Z$9,
            AND(Q311="HKD", $Q$2="GBP"), M311*$Z$10,
            AND(Q311="HKD", $Q$2="EUR"), M311*$Z$11,
            AND(Q311="EUR", $Q$2="EUR"), M311,
            AND(Q311="EUR", $Q$2="USD"), M311*$Z$12,
            AND(Q311="EUR", $Q$2="GBP"), M311*$Z$13,
            AND(Q311="EUR", $Q$2="HKD"), M311*$Z$14,
        ),
        0
    )
)</f>
        <v>81.28</v>
      </c>
      <c r="T311" s="1" t="str">
        <f t="shared" si="31"/>
        <v>2</v>
      </c>
      <c r="U311" s="8" t="str">
        <f t="shared" si="32"/>
        <v>02</v>
      </c>
      <c r="V311" s="1" t="str">
        <f t="shared" si="33"/>
        <v>2024</v>
      </c>
      <c r="W311" s="18" t="str">
        <f t="shared" si="34"/>
        <v>星期五</v>
      </c>
    </row>
    <row r="312" spans="1:23">
      <c r="A312" s="17" t="s">
        <v>59</v>
      </c>
      <c r="B312" s="1" t="s">
        <v>504</v>
      </c>
      <c r="C312" s="9">
        <v>45326</v>
      </c>
      <c r="D312" s="1" t="s">
        <v>345</v>
      </c>
      <c r="E312" s="1" t="s">
        <v>345</v>
      </c>
      <c r="F312" s="1" t="s">
        <v>345</v>
      </c>
      <c r="H312" s="1" t="s">
        <v>344</v>
      </c>
      <c r="I312" s="1">
        <v>1</v>
      </c>
      <c r="J312" s="27">
        <v>15570</v>
      </c>
      <c r="L312" s="1" t="s">
        <v>513</v>
      </c>
      <c r="M312" s="25">
        <f t="shared" si="28"/>
        <v>15570</v>
      </c>
      <c r="N312" s="36">
        <f t="shared" si="29"/>
        <v>-15570</v>
      </c>
      <c r="O312" s="34">
        <f>IF(ISBLANK(A312),"",SUMIFS(I$3:I312,D$3:D312,D312,H$3:H312,"Buy")+SUMIFS(I$3:I312,D$3:D312,D312,H$3:H312,"Cash Deposit")+SUMIFS(I$3:I312,D$3:D312,D312,H$3:H312,"Crypto Deposit")+SUMIFS(I$3:I312,D$3:D312,D312,H$3:H312,"Airdrop/Rewards")-SUMIFS(I$3:I312,D$3:D312,D312,H$3:H312,"Sell"))</f>
        <v>16</v>
      </c>
      <c r="P312" s="2" cm="1">
        <f t="array" ref="P312">IF(ISBLANK(A312),"",IFERROR(IF(OR(H312="Sell",F312="Stable Coin"),INDEX(_xlfn._xlws.FILTER(P$2:P311, D$2:D311=D312),COUNT(_xlfn._xlws.FILTER(P$2:P311, D$2:D311=D312))),(INDEX(_xlfn._xlws.FILTER(P$2:P311, D$2:D311=D312),COUNT(_xlfn._xlws.FILTER(P$2:P311, D$2:D311=D312)))*INDEX(_xlfn._xlws.FILTER(O$2:O311, D$2:D311=D312),COUNT(_xlfn._xlws.FILTER(O$2:O311, D$2:D311=D312)))-N312) / O312), J312))</f>
        <v>2128.125</v>
      </c>
      <c r="Q312" s="1" t="str">
        <f t="shared" si="30"/>
        <v>HKD</v>
      </c>
      <c r="R312" s="1" cm="1">
        <f t="array" ref="R312">IF(A312="", "",
    IFERROR(
        _xlfn.SWITCH(
            TRUE,
            AND(Q312="USD", $Q$2="USD"), K312,
            AND(Q312="USD", $Q$2="GBP"), K312*$Z$3,
            AND(Q312="USD", $Q$2="HKD"), K312*$Z$4,
            AND(Q312="USD", $Q$2="EUR"), K312*$Z$5,
            AND(Q312="GBP", $Q$2="GBP"), K312,
            AND(Q312="GBP", $Q$2="USD"), K312*$Z$6,
            AND(Q312="GBP", $Q$2="HKD"), K312*$Z$7,
            AND(Q312="HKG", $Q$2="HKG"), K312,
            AND(Q312="HKD", $Q$2="USD"), K312*$Z$9,
            AND(Q312="HKD", $Q$2="GBP"), K312*$Z$10,
            AND(Q312="HKD", $Q$2="EUR"), K312*$Z$11,
            AND(Q312="EUR", $Q$2="EUR"), K312,
            AND(Q312="EUR", $Q$2="USD"), K312*$Z$12,
            AND(Q312="EUR", $Q$2="GBP"), K312*$Z$13,
            AND(Q312="EUR", $Q$2="HKD"), K312*$Z$14,
        ),
        0
    )
)</f>
        <v>0</v>
      </c>
      <c r="S312" s="1" cm="1">
        <f t="array" ref="S312">IF(A312="", "",
    IFERROR(
        _xlfn.SWITCH(
            TRUE,
            AND(Q312="USD", $Q$2="USD"), M312,
            AND(Q312="USD", $Q$2="GBP"), M312*$Z$3,
            AND(Q312="USD", $Q$2="HKD"), M312*$Z$4,
            AND(Q312="USD", $Q$2="EUR"), M312*$Z$5,
            AND(Q312="GBP", $Q$2="GBP"), M312,
            AND(Q312="GBP", $Q$2="USD"), M312*$Z$6,
            AND(Q312="GBP", $Q$2="HKD"), M312*$Z$7,
            AND(Q312="GBP", $Q$2="HKD"), M312*$Z$8,
            AND(Q312="HKG", $Q$2="HKG"), M312,
            AND(Q312="HKD", $Q$2="USD"), M312*$Z$9,
            AND(Q312="HKD", $Q$2="GBP"), M312*$Z$10,
            AND(Q312="HKD", $Q$2="EUR"), M312*$Z$11,
            AND(Q312="EUR", $Q$2="EUR"), M312,
            AND(Q312="EUR", $Q$2="USD"), M312*$Z$12,
            AND(Q312="EUR", $Q$2="GBP"), M312*$Z$13,
            AND(Q312="EUR", $Q$2="HKD"), M312*$Z$14,
        ),
        0
    )
)</f>
        <v>1992.96</v>
      </c>
      <c r="T312" s="1" t="str">
        <f t="shared" si="31"/>
        <v>4</v>
      </c>
      <c r="U312" s="8" t="str">
        <f t="shared" si="32"/>
        <v>02</v>
      </c>
      <c r="V312" s="1" t="str">
        <f t="shared" si="33"/>
        <v>2024</v>
      </c>
      <c r="W312" s="18" t="str">
        <f t="shared" si="34"/>
        <v>星期日</v>
      </c>
    </row>
    <row r="313" spans="1:23">
      <c r="A313" s="17" t="s">
        <v>59</v>
      </c>
      <c r="B313" s="1" t="s">
        <v>348</v>
      </c>
      <c r="C313" s="9">
        <v>45326</v>
      </c>
      <c r="D313" s="1" t="s">
        <v>122</v>
      </c>
      <c r="E313" s="1" t="s">
        <v>122</v>
      </c>
      <c r="F313" s="1" t="s">
        <v>346</v>
      </c>
      <c r="H313" s="1" t="s">
        <v>347</v>
      </c>
      <c r="I313" s="1">
        <v>2000</v>
      </c>
      <c r="J313" s="27">
        <v>1</v>
      </c>
      <c r="M313" s="25">
        <f t="shared" si="28"/>
        <v>2000</v>
      </c>
      <c r="N313" s="36">
        <f t="shared" si="29"/>
        <v>-2000</v>
      </c>
      <c r="O313" s="34">
        <f>IF(ISBLANK(A313),"",SUMIFS(I$3:I313,D$3:D313,D313,H$3:H313,"Buy")+SUMIFS(I$3:I313,D$3:D313,D313,H$3:H313,"Cash Deposit")+SUMIFS(I$3:I313,D$3:D313,D313,H$3:H313,"Crypto Deposit")+SUMIFS(I$3:I313,D$3:D313,D313,H$3:H313,"Airdrop/Rewards")-SUMIFS(I$3:I313,D$3:D313,D313,H$3:H313,"Sell"))</f>
        <v>1999.9299999999998</v>
      </c>
      <c r="P313" s="2" cm="1">
        <f t="array" ref="P313">IF(ISBLANK(A313),"",IFERROR(IF(OR(H313="Sell",F313="Stable Coin"),INDEX(_xlfn._xlws.FILTER(P$2:P312, D$2:D312=D313),COUNT(_xlfn._xlws.FILTER(P$2:P312, D$2:D312=D313))),(INDEX(_xlfn._xlws.FILTER(P$2:P312, D$2:D312=D313),COUNT(_xlfn._xlws.FILTER(P$2:P312, D$2:D312=D313)))*INDEX(_xlfn._xlws.FILTER(O$2:O312, D$2:D312=D313),COUNT(_xlfn._xlws.FILTER(O$2:O312, D$2:D312=D313)))-N313) / O313), J313))</f>
        <v>1</v>
      </c>
      <c r="Q313" s="1" t="str">
        <f t="shared" si="30"/>
        <v>USD</v>
      </c>
      <c r="R313" s="1" cm="1">
        <f t="array" ref="R313">IF(A313="", "",
    IFERROR(
        _xlfn.SWITCH(
            TRUE,
            AND(Q313="USD", $Q$2="USD"), K313,
            AND(Q313="USD", $Q$2="GBP"), K313*$Z$3,
            AND(Q313="USD", $Q$2="HKD"), K313*$Z$4,
            AND(Q313="USD", $Q$2="EUR"), K313*$Z$5,
            AND(Q313="GBP", $Q$2="GBP"), K313,
            AND(Q313="GBP", $Q$2="USD"), K313*$Z$6,
            AND(Q313="GBP", $Q$2="HKD"), K313*$Z$7,
            AND(Q313="HKG", $Q$2="HKG"), K313,
            AND(Q313="HKD", $Q$2="USD"), K313*$Z$9,
            AND(Q313="HKD", $Q$2="GBP"), K313*$Z$10,
            AND(Q313="HKD", $Q$2="EUR"), K313*$Z$11,
            AND(Q313="EUR", $Q$2="EUR"), K313,
            AND(Q313="EUR", $Q$2="USD"), K313*$Z$12,
            AND(Q313="EUR", $Q$2="GBP"), K313*$Z$13,
            AND(Q313="EUR", $Q$2="HKD"), K313*$Z$14,
        ),
        0
    )
)</f>
        <v>0</v>
      </c>
      <c r="S313" s="1" cm="1">
        <f t="array" ref="S313">IF(A313="", "",
    IFERROR(
        _xlfn.SWITCH(
            TRUE,
            AND(Q313="USD", $Q$2="USD"), M313,
            AND(Q313="USD", $Q$2="GBP"), M313*$Z$3,
            AND(Q313="USD", $Q$2="HKD"), M313*$Z$4,
            AND(Q313="USD", $Q$2="EUR"), M313*$Z$5,
            AND(Q313="GBP", $Q$2="GBP"), M313,
            AND(Q313="GBP", $Q$2="USD"), M313*$Z$6,
            AND(Q313="GBP", $Q$2="HKD"), M313*$Z$7,
            AND(Q313="GBP", $Q$2="HKD"), M313*$Z$8,
            AND(Q313="HKG", $Q$2="HKG"), M313,
            AND(Q313="HKD", $Q$2="USD"), M313*$Z$9,
            AND(Q313="HKD", $Q$2="GBP"), M313*$Z$10,
            AND(Q313="HKD", $Q$2="EUR"), M313*$Z$11,
            AND(Q313="EUR", $Q$2="EUR"), M313,
            AND(Q313="EUR", $Q$2="USD"), M313*$Z$12,
            AND(Q313="EUR", $Q$2="GBP"), M313*$Z$13,
            AND(Q313="EUR", $Q$2="HKD"), M313*$Z$14,
        ),
        0
    )
)</f>
        <v>2000</v>
      </c>
      <c r="T313" s="1" t="str">
        <f t="shared" si="31"/>
        <v>4</v>
      </c>
      <c r="U313" s="8" t="str">
        <f t="shared" si="32"/>
        <v>02</v>
      </c>
      <c r="V313" s="1" t="str">
        <f t="shared" si="33"/>
        <v>2024</v>
      </c>
      <c r="W313" s="18" t="str">
        <f t="shared" si="34"/>
        <v>星期日</v>
      </c>
    </row>
    <row r="314" spans="1:23">
      <c r="A314" s="17" t="s">
        <v>6</v>
      </c>
      <c r="B314" s="1" t="s">
        <v>348</v>
      </c>
      <c r="C314" s="9">
        <v>45327</v>
      </c>
      <c r="D314" s="1" t="s">
        <v>47</v>
      </c>
      <c r="E314" s="1" t="s">
        <v>4</v>
      </c>
      <c r="F314" s="1" t="s">
        <v>349</v>
      </c>
      <c r="H314" s="1" t="s">
        <v>367</v>
      </c>
      <c r="I314" s="1">
        <v>2.31E-3</v>
      </c>
      <c r="J314" s="27">
        <v>43113.99</v>
      </c>
      <c r="M314" s="25">
        <f t="shared" si="28"/>
        <v>99.593316899999991</v>
      </c>
      <c r="N314" s="36">
        <f t="shared" si="29"/>
        <v>99.593316899999991</v>
      </c>
      <c r="O314" s="34">
        <f>IF(ISBLANK(A314),"",SUMIFS(I$3:I314,D$3:D314,D314,H$3:H314,"Buy")+SUMIFS(I$3:I314,D$3:D314,D314,H$3:H314,"Cash Deposit")+SUMIFS(I$3:I314,D$3:D314,D314,H$3:H314,"Crypto Deposit")+SUMIFS(I$3:I314,D$3:D314,D314,H$3:H314,"Airdrop/Rewards")-SUMIFS(I$3:I314,D$3:D314,D314,H$3:H314,"Sell"))</f>
        <v>0.30853981999999996</v>
      </c>
      <c r="P314" s="2" cm="1">
        <f t="array" ref="P314">IF(ISBLANK(A314),"",IFERROR(IF(OR(H314="Sell",F314="Stable Coin"),INDEX(_xlfn._xlws.FILTER(P$2:P313, D$2:D313=D314),COUNT(_xlfn._xlws.FILTER(P$2:P313, D$2:D313=D314))),(INDEX(_xlfn._xlws.FILTER(P$2:P313, D$2:D313=D314),COUNT(_xlfn._xlws.FILTER(P$2:P313, D$2:D313=D314)))*INDEX(_xlfn._xlws.FILTER(O$2:O313, D$2:D313=D314),COUNT(_xlfn._xlws.FILTER(O$2:O313, D$2:D313=D314)))-N314) / O314), J314))</f>
        <v>31594.208747720164</v>
      </c>
      <c r="Q314" s="1" t="str">
        <f t="shared" si="30"/>
        <v>USD</v>
      </c>
      <c r="R314" s="1" cm="1">
        <f t="array" ref="R314">IF(A314="", "",
    IFERROR(
        _xlfn.SWITCH(
            TRUE,
            AND(Q314="USD", $Q$2="USD"), K314,
            AND(Q314="USD", $Q$2="GBP"), K314*$Z$3,
            AND(Q314="USD", $Q$2="HKD"), K314*$Z$4,
            AND(Q314="USD", $Q$2="EUR"), K314*$Z$5,
            AND(Q314="GBP", $Q$2="GBP"), K314,
            AND(Q314="GBP", $Q$2="USD"), K314*$Z$6,
            AND(Q314="GBP", $Q$2="HKD"), K314*$Z$7,
            AND(Q314="HKG", $Q$2="HKG"), K314,
            AND(Q314="HKD", $Q$2="USD"), K314*$Z$9,
            AND(Q314="HKD", $Q$2="GBP"), K314*$Z$10,
            AND(Q314="HKD", $Q$2="EUR"), K314*$Z$11,
            AND(Q314="EUR", $Q$2="EUR"), K314,
            AND(Q314="EUR", $Q$2="USD"), K314*$Z$12,
            AND(Q314="EUR", $Q$2="GBP"), K314*$Z$13,
            AND(Q314="EUR", $Q$2="HKD"), K314*$Z$14,
        ),
        0
    )
)</f>
        <v>0</v>
      </c>
      <c r="S314" s="1" cm="1">
        <f t="array" ref="S314">IF(A314="", "",
    IFERROR(
        _xlfn.SWITCH(
            TRUE,
            AND(Q314="USD", $Q$2="USD"), M314,
            AND(Q314="USD", $Q$2="GBP"), M314*$Z$3,
            AND(Q314="USD", $Q$2="HKD"), M314*$Z$4,
            AND(Q314="USD", $Q$2="EUR"), M314*$Z$5,
            AND(Q314="GBP", $Q$2="GBP"), M314,
            AND(Q314="GBP", $Q$2="USD"), M314*$Z$6,
            AND(Q314="GBP", $Q$2="HKD"), M314*$Z$7,
            AND(Q314="GBP", $Q$2="HKD"), M314*$Z$8,
            AND(Q314="HKG", $Q$2="HKG"), M314,
            AND(Q314="HKD", $Q$2="USD"), M314*$Z$9,
            AND(Q314="HKD", $Q$2="GBP"), M314*$Z$10,
            AND(Q314="HKD", $Q$2="EUR"), M314*$Z$11,
            AND(Q314="EUR", $Q$2="EUR"), M314,
            AND(Q314="EUR", $Q$2="USD"), M314*$Z$12,
            AND(Q314="EUR", $Q$2="GBP"), M314*$Z$13,
            AND(Q314="EUR", $Q$2="HKD"), M314*$Z$14,
        ),
        0
    )
)</f>
        <v>99.593316899999991</v>
      </c>
      <c r="T314" s="1" t="str">
        <f t="shared" si="31"/>
        <v>5</v>
      </c>
      <c r="U314" s="8" t="str">
        <f t="shared" si="32"/>
        <v>02</v>
      </c>
      <c r="V314" s="1" t="str">
        <f t="shared" si="33"/>
        <v>2024</v>
      </c>
      <c r="W314" s="18" t="str">
        <f t="shared" si="34"/>
        <v>星期一</v>
      </c>
    </row>
    <row r="315" spans="1:23">
      <c r="A315" s="17" t="s">
        <v>6</v>
      </c>
      <c r="B315" s="1" t="s">
        <v>348</v>
      </c>
      <c r="C315" s="9">
        <v>45327</v>
      </c>
      <c r="D315" s="1" t="s">
        <v>364</v>
      </c>
      <c r="E315" s="1" t="s">
        <v>114</v>
      </c>
      <c r="F315" s="1" t="s">
        <v>346</v>
      </c>
      <c r="H315" s="1" t="s">
        <v>347</v>
      </c>
      <c r="I315" s="1">
        <v>99.593316900000005</v>
      </c>
      <c r="J315" s="27">
        <v>1</v>
      </c>
      <c r="K315" s="1">
        <v>0.05</v>
      </c>
      <c r="M315" s="25">
        <f t="shared" si="28"/>
        <v>99.593316900000005</v>
      </c>
      <c r="N315" s="36">
        <f t="shared" si="29"/>
        <v>-99.593316900000005</v>
      </c>
      <c r="O315" s="34">
        <f>IF(ISBLANK(A315),"",SUMIFS(I$3:I315,D$3:D315,D315,H$3:H315,"Buy")+SUMIFS(I$3:I315,D$3:D315,D315,H$3:H315,"Cash Deposit")+SUMIFS(I$3:I315,D$3:D315,D315,H$3:H315,"Crypto Deposit")+SUMIFS(I$3:I315,D$3:D315,D315,H$3:H315,"Airdrop/Rewards")-SUMIFS(I$3:I315,D$3:D315,D315,H$3:H315,"Sell"))</f>
        <v>4843.8562550803799</v>
      </c>
      <c r="P315" s="2" cm="1">
        <f t="array" ref="P315">IF(ISBLANK(A315),"",IFERROR(IF(OR(H315="Sell",F315="Stable Coin"),INDEX(_xlfn._xlws.FILTER(P$2:P314, D$2:D314=D315),COUNT(_xlfn._xlws.FILTER(P$2:P314, D$2:D314=D315))),(INDEX(_xlfn._xlws.FILTER(P$2:P314, D$2:D314=D315),COUNT(_xlfn._xlws.FILTER(P$2:P314, D$2:D314=D315)))*INDEX(_xlfn._xlws.FILTER(O$2:O314, D$2:D314=D315),COUNT(_xlfn._xlws.FILTER(O$2:O314, D$2:D314=D315)))-N315) / O315), J315))</f>
        <v>1</v>
      </c>
      <c r="Q315" s="1" t="str">
        <f t="shared" si="30"/>
        <v>USD</v>
      </c>
      <c r="R315" s="1" cm="1">
        <f t="array" ref="R315">IF(A315="", "",
    IFERROR(
        _xlfn.SWITCH(
            TRUE,
            AND(Q315="USD", $Q$2="USD"), K315,
            AND(Q315="USD", $Q$2="GBP"), K315*$Z$3,
            AND(Q315="USD", $Q$2="HKD"), K315*$Z$4,
            AND(Q315="USD", $Q$2="EUR"), K315*$Z$5,
            AND(Q315="GBP", $Q$2="GBP"), K315,
            AND(Q315="GBP", $Q$2="USD"), K315*$Z$6,
            AND(Q315="GBP", $Q$2="HKD"), K315*$Z$7,
            AND(Q315="HKG", $Q$2="HKG"), K315,
            AND(Q315="HKD", $Q$2="USD"), K315*$Z$9,
            AND(Q315="HKD", $Q$2="GBP"), K315*$Z$10,
            AND(Q315="HKD", $Q$2="EUR"), K315*$Z$11,
            AND(Q315="EUR", $Q$2="EUR"), K315,
            AND(Q315="EUR", $Q$2="USD"), K315*$Z$12,
            AND(Q315="EUR", $Q$2="GBP"), K315*$Z$13,
            AND(Q315="EUR", $Q$2="HKD"), K315*$Z$14,
        ),
        0
    )
)</f>
        <v>0.05</v>
      </c>
      <c r="S315" s="1" cm="1">
        <f t="array" ref="S315">IF(A315="", "",
    IFERROR(
        _xlfn.SWITCH(
            TRUE,
            AND(Q315="USD", $Q$2="USD"), M315,
            AND(Q315="USD", $Q$2="GBP"), M315*$Z$3,
            AND(Q315="USD", $Q$2="HKD"), M315*$Z$4,
            AND(Q315="USD", $Q$2="EUR"), M315*$Z$5,
            AND(Q315="GBP", $Q$2="GBP"), M315,
            AND(Q315="GBP", $Q$2="USD"), M315*$Z$6,
            AND(Q315="GBP", $Q$2="HKD"), M315*$Z$7,
            AND(Q315="GBP", $Q$2="HKD"), M315*$Z$8,
            AND(Q315="HKG", $Q$2="HKG"), M315,
            AND(Q315="HKD", $Q$2="USD"), M315*$Z$9,
            AND(Q315="HKD", $Q$2="GBP"), M315*$Z$10,
            AND(Q315="HKD", $Q$2="EUR"), M315*$Z$11,
            AND(Q315="EUR", $Q$2="EUR"), M315,
            AND(Q315="EUR", $Q$2="USD"), M315*$Z$12,
            AND(Q315="EUR", $Q$2="GBP"), M315*$Z$13,
            AND(Q315="EUR", $Q$2="HKD"), M315*$Z$14,
        ),
        0
    )
)</f>
        <v>99.593316900000005</v>
      </c>
      <c r="T315" s="1" t="str">
        <f t="shared" si="31"/>
        <v>5</v>
      </c>
      <c r="U315" s="8" t="str">
        <f t="shared" si="32"/>
        <v>02</v>
      </c>
      <c r="V315" s="1" t="str">
        <f t="shared" si="33"/>
        <v>2024</v>
      </c>
      <c r="W315" s="18" t="str">
        <f t="shared" si="34"/>
        <v>星期一</v>
      </c>
    </row>
    <row r="316" spans="1:23">
      <c r="A316" s="17" t="s">
        <v>59</v>
      </c>
      <c r="B316" s="1" t="s">
        <v>348</v>
      </c>
      <c r="C316" s="9">
        <v>45328</v>
      </c>
      <c r="D316" s="1" t="s">
        <v>122</v>
      </c>
      <c r="E316" s="1" t="s">
        <v>122</v>
      </c>
      <c r="F316" s="1" t="s">
        <v>346</v>
      </c>
      <c r="H316" s="1" t="s">
        <v>367</v>
      </c>
      <c r="I316" s="1">
        <v>900</v>
      </c>
      <c r="J316" s="27">
        <v>1</v>
      </c>
      <c r="K316" s="1">
        <v>0.9</v>
      </c>
      <c r="M316" s="25">
        <f t="shared" si="28"/>
        <v>899.1</v>
      </c>
      <c r="N316" s="36">
        <f t="shared" si="29"/>
        <v>900</v>
      </c>
      <c r="O316" s="34">
        <f>IF(ISBLANK(A316),"",SUMIFS(I$3:I316,D$3:D316,D316,H$3:H316,"Buy")+SUMIFS(I$3:I316,D$3:D316,D316,H$3:H316,"Cash Deposit")+SUMIFS(I$3:I316,D$3:D316,D316,H$3:H316,"Crypto Deposit")+SUMIFS(I$3:I316,D$3:D316,D316,H$3:H316,"Airdrop/Rewards")-SUMIFS(I$3:I316,D$3:D316,D316,H$3:H316,"Sell"))</f>
        <v>1099.9299999999998</v>
      </c>
      <c r="P316" s="2" cm="1">
        <f t="array" ref="P316">IF(ISBLANK(A316),"",IFERROR(IF(OR(H316="Sell",F316="Stable Coin"),INDEX(_xlfn._xlws.FILTER(P$2:P315, D$2:D315=D316),COUNT(_xlfn._xlws.FILTER(P$2:P315, D$2:D315=D316))),(INDEX(_xlfn._xlws.FILTER(P$2:P315, D$2:D315=D316),COUNT(_xlfn._xlws.FILTER(P$2:P315, D$2:D315=D316)))*INDEX(_xlfn._xlws.FILTER(O$2:O315, D$2:D315=D316),COUNT(_xlfn._xlws.FILTER(O$2:O315, D$2:D315=D316)))-N316) / O316), J316))</f>
        <v>1</v>
      </c>
      <c r="Q316" s="1" t="str">
        <f t="shared" si="30"/>
        <v>USD</v>
      </c>
      <c r="R316" s="1" cm="1">
        <f t="array" ref="R316">IF(A316="", "",
    IFERROR(
        _xlfn.SWITCH(
            TRUE,
            AND(Q316="USD", $Q$2="USD"), K316,
            AND(Q316="USD", $Q$2="GBP"), K316*$Z$3,
            AND(Q316="USD", $Q$2="HKD"), K316*$Z$4,
            AND(Q316="USD", $Q$2="EUR"), K316*$Z$5,
            AND(Q316="GBP", $Q$2="GBP"), K316,
            AND(Q316="GBP", $Q$2="USD"), K316*$Z$6,
            AND(Q316="GBP", $Q$2="HKD"), K316*$Z$7,
            AND(Q316="HKG", $Q$2="HKG"), K316,
            AND(Q316="HKD", $Q$2="USD"), K316*$Z$9,
            AND(Q316="HKD", $Q$2="GBP"), K316*$Z$10,
            AND(Q316="HKD", $Q$2="EUR"), K316*$Z$11,
            AND(Q316="EUR", $Q$2="EUR"), K316,
            AND(Q316="EUR", $Q$2="USD"), K316*$Z$12,
            AND(Q316="EUR", $Q$2="GBP"), K316*$Z$13,
            AND(Q316="EUR", $Q$2="HKD"), K316*$Z$14,
        ),
        0
    )
)</f>
        <v>0.9</v>
      </c>
      <c r="S316" s="1" cm="1">
        <f t="array" ref="S316">IF(A316="", "",
    IFERROR(
        _xlfn.SWITCH(
            TRUE,
            AND(Q316="USD", $Q$2="USD"), M316,
            AND(Q316="USD", $Q$2="GBP"), M316*$Z$3,
            AND(Q316="USD", $Q$2="HKD"), M316*$Z$4,
            AND(Q316="USD", $Q$2="EUR"), M316*$Z$5,
            AND(Q316="GBP", $Q$2="GBP"), M316,
            AND(Q316="GBP", $Q$2="USD"), M316*$Z$6,
            AND(Q316="GBP", $Q$2="HKD"), M316*$Z$7,
            AND(Q316="GBP", $Q$2="HKD"), M316*$Z$8,
            AND(Q316="HKG", $Q$2="HKG"), M316,
            AND(Q316="HKD", $Q$2="USD"), M316*$Z$9,
            AND(Q316="HKD", $Q$2="GBP"), M316*$Z$10,
            AND(Q316="HKD", $Q$2="EUR"), M316*$Z$11,
            AND(Q316="EUR", $Q$2="EUR"), M316,
            AND(Q316="EUR", $Q$2="USD"), M316*$Z$12,
            AND(Q316="EUR", $Q$2="GBP"), M316*$Z$13,
            AND(Q316="EUR", $Q$2="HKD"), M316*$Z$14,
        ),
        0
    )
)</f>
        <v>899.1</v>
      </c>
      <c r="T316" s="1" t="str">
        <f t="shared" si="31"/>
        <v>6</v>
      </c>
      <c r="U316" s="8" t="str">
        <f t="shared" si="32"/>
        <v>02</v>
      </c>
      <c r="V316" s="1" t="str">
        <f t="shared" si="33"/>
        <v>2024</v>
      </c>
      <c r="W316" s="18" t="str">
        <f t="shared" si="34"/>
        <v>星期二</v>
      </c>
    </row>
    <row r="317" spans="1:23">
      <c r="A317" s="17" t="s">
        <v>59</v>
      </c>
      <c r="B317" s="1" t="s">
        <v>348</v>
      </c>
      <c r="C317" s="9">
        <v>45328</v>
      </c>
      <c r="D317" s="1" t="s">
        <v>47</v>
      </c>
      <c r="E317" s="1" t="s">
        <v>4</v>
      </c>
      <c r="F317" s="1" t="s">
        <v>349</v>
      </c>
      <c r="H317" s="1" t="s">
        <v>347</v>
      </c>
      <c r="I317" s="1">
        <v>2.06E-2</v>
      </c>
      <c r="J317" s="27">
        <f>900/0.0206</f>
        <v>43689.320388349515</v>
      </c>
      <c r="M317" s="25">
        <f t="shared" si="28"/>
        <v>900</v>
      </c>
      <c r="N317" s="36">
        <f t="shared" si="29"/>
        <v>-900</v>
      </c>
      <c r="O317" s="34">
        <f>IF(ISBLANK(A317),"",SUMIFS(I$3:I317,D$3:D317,D317,H$3:H317,"Buy")+SUMIFS(I$3:I317,D$3:D317,D317,H$3:H317,"Cash Deposit")+SUMIFS(I$3:I317,D$3:D317,D317,H$3:H317,"Crypto Deposit")+SUMIFS(I$3:I317,D$3:D317,D317,H$3:H317,"Airdrop/Rewards")-SUMIFS(I$3:I317,D$3:D317,D317,H$3:H317,"Sell"))</f>
        <v>0.32913981999999997</v>
      </c>
      <c r="P317" s="2" cm="1">
        <f t="array" ref="P317">IF(ISBLANK(A317),"",IFERROR(IF(OR(H317="Sell",F317="Stable Coin"),INDEX(_xlfn._xlws.FILTER(P$2:P316, D$2:D316=D317),COUNT(_xlfn._xlws.FILTER(P$2:P316, D$2:D316=D317))),(INDEX(_xlfn._xlws.FILTER(P$2:P316, D$2:D316=D317),COUNT(_xlfn._xlws.FILTER(P$2:P316, D$2:D316=D317)))*INDEX(_xlfn._xlws.FILTER(O$2:O316, D$2:D316=D317),COUNT(_xlfn._xlws.FILTER(O$2:O316, D$2:D316=D317)))-N317) / O317), J317))</f>
        <v>32351.210133322686</v>
      </c>
      <c r="Q317" s="1" t="str">
        <f t="shared" si="30"/>
        <v>USD</v>
      </c>
      <c r="R317" s="1" cm="1">
        <f t="array" ref="R317">IF(A317="", "",
    IFERROR(
        _xlfn.SWITCH(
            TRUE,
            AND(Q317="USD", $Q$2="USD"), K317,
            AND(Q317="USD", $Q$2="GBP"), K317*$Z$3,
            AND(Q317="USD", $Q$2="HKD"), K317*$Z$4,
            AND(Q317="USD", $Q$2="EUR"), K317*$Z$5,
            AND(Q317="GBP", $Q$2="GBP"), K317,
            AND(Q317="GBP", $Q$2="USD"), K317*$Z$6,
            AND(Q317="GBP", $Q$2="HKD"), K317*$Z$7,
            AND(Q317="HKG", $Q$2="HKG"), K317,
            AND(Q317="HKD", $Q$2="USD"), K317*$Z$9,
            AND(Q317="HKD", $Q$2="GBP"), K317*$Z$10,
            AND(Q317="HKD", $Q$2="EUR"), K317*$Z$11,
            AND(Q317="EUR", $Q$2="EUR"), K317,
            AND(Q317="EUR", $Q$2="USD"), K317*$Z$12,
            AND(Q317="EUR", $Q$2="GBP"), K317*$Z$13,
            AND(Q317="EUR", $Q$2="HKD"), K317*$Z$14,
        ),
        0
    )
)</f>
        <v>0</v>
      </c>
      <c r="S317" s="1" cm="1">
        <f t="array" ref="S317">IF(A317="", "",
    IFERROR(
        _xlfn.SWITCH(
            TRUE,
            AND(Q317="USD", $Q$2="USD"), M317,
            AND(Q317="USD", $Q$2="GBP"), M317*$Z$3,
            AND(Q317="USD", $Q$2="HKD"), M317*$Z$4,
            AND(Q317="USD", $Q$2="EUR"), M317*$Z$5,
            AND(Q317="GBP", $Q$2="GBP"), M317,
            AND(Q317="GBP", $Q$2="USD"), M317*$Z$6,
            AND(Q317="GBP", $Q$2="HKD"), M317*$Z$7,
            AND(Q317="GBP", $Q$2="HKD"), M317*$Z$8,
            AND(Q317="HKG", $Q$2="HKG"), M317,
            AND(Q317="HKD", $Q$2="USD"), M317*$Z$9,
            AND(Q317="HKD", $Q$2="GBP"), M317*$Z$10,
            AND(Q317="HKD", $Q$2="EUR"), M317*$Z$11,
            AND(Q317="EUR", $Q$2="EUR"), M317,
            AND(Q317="EUR", $Q$2="USD"), M317*$Z$12,
            AND(Q317="EUR", $Q$2="GBP"), M317*$Z$13,
            AND(Q317="EUR", $Q$2="HKD"), M317*$Z$14,
        ),
        0
    )
)</f>
        <v>900</v>
      </c>
      <c r="T317" s="1" t="str">
        <f t="shared" si="31"/>
        <v>6</v>
      </c>
      <c r="U317" s="8" t="str">
        <f t="shared" si="32"/>
        <v>02</v>
      </c>
      <c r="V317" s="1" t="str">
        <f t="shared" si="33"/>
        <v>2024</v>
      </c>
      <c r="W317" s="18" t="str">
        <f t="shared" si="34"/>
        <v>星期二</v>
      </c>
    </row>
    <row r="318" spans="1:23">
      <c r="A318" s="17" t="s">
        <v>59</v>
      </c>
      <c r="B318" s="1" t="s">
        <v>348</v>
      </c>
      <c r="C318" s="9">
        <v>45328</v>
      </c>
      <c r="D318" s="1" t="s">
        <v>23</v>
      </c>
      <c r="E318" s="1" t="s">
        <v>24</v>
      </c>
      <c r="F318" s="1" t="s">
        <v>349</v>
      </c>
      <c r="H318" s="1" t="s">
        <v>359</v>
      </c>
      <c r="I318" s="1">
        <v>1.3350000000000001E-2</v>
      </c>
      <c r="J318" s="27">
        <v>2320</v>
      </c>
      <c r="K318" s="1">
        <v>0.7</v>
      </c>
      <c r="M318" s="25">
        <f t="shared" si="28"/>
        <v>30.972000000000001</v>
      </c>
      <c r="N318" s="36">
        <f t="shared" si="29"/>
        <v>0</v>
      </c>
      <c r="O318" s="34">
        <f>IF(ISBLANK(A318),"",SUMIFS(I$3:I318,D$3:D318,D318,H$3:H318,"Buy")+SUMIFS(I$3:I318,D$3:D318,D318,H$3:H318,"Cash Deposit")+SUMIFS(I$3:I318,D$3:D318,D318,H$3:H318,"Crypto Deposit")+SUMIFS(I$3:I318,D$3:D318,D318,H$3:H318,"Airdrop/Rewards")-SUMIFS(I$3:I318,D$3:D318,D318,H$3:H318,"Sell"))</f>
        <v>10.228801120000002</v>
      </c>
      <c r="P318" s="2" cm="1">
        <f t="array" ref="P318">IF(ISBLANK(A318),"",IFERROR(IF(OR(H318="Sell",F318="Stable Coin"),INDEX(_xlfn._xlws.FILTER(P$2:P317, D$2:D317=D318),COUNT(_xlfn._xlws.FILTER(P$2:P317, D$2:D317=D318))),(INDEX(_xlfn._xlws.FILTER(P$2:P317, D$2:D317=D318),COUNT(_xlfn._xlws.FILTER(P$2:P317, D$2:D317=D318)))*INDEX(_xlfn._xlws.FILTER(O$2:O317, D$2:D317=D318),COUNT(_xlfn._xlws.FILTER(O$2:O317, D$2:D317=D318)))-N318) / O318), J318))</f>
        <v>2359.8841118023483</v>
      </c>
      <c r="Q318" s="1" t="str">
        <f t="shared" si="30"/>
        <v>USD</v>
      </c>
      <c r="R318" s="1" cm="1">
        <f t="array" ref="R318">IF(A318="", "",
    IFERROR(
        _xlfn.SWITCH(
            TRUE,
            AND(Q318="USD", $Q$2="USD"), K318,
            AND(Q318="USD", $Q$2="GBP"), K318*$Z$3,
            AND(Q318="USD", $Q$2="HKD"), K318*$Z$4,
            AND(Q318="USD", $Q$2="EUR"), K318*$Z$5,
            AND(Q318="GBP", $Q$2="GBP"), K318,
            AND(Q318="GBP", $Q$2="USD"), K318*$Z$6,
            AND(Q318="GBP", $Q$2="HKD"), K318*$Z$7,
            AND(Q318="HKG", $Q$2="HKG"), K318,
            AND(Q318="HKD", $Q$2="USD"), K318*$Z$9,
            AND(Q318="HKD", $Q$2="GBP"), K318*$Z$10,
            AND(Q318="HKD", $Q$2="EUR"), K318*$Z$11,
            AND(Q318="EUR", $Q$2="EUR"), K318,
            AND(Q318="EUR", $Q$2="USD"), K318*$Z$12,
            AND(Q318="EUR", $Q$2="GBP"), K318*$Z$13,
            AND(Q318="EUR", $Q$2="HKD"), K318*$Z$14,
        ),
        0
    )
)</f>
        <v>0.7</v>
      </c>
      <c r="S318" s="1" cm="1">
        <f t="array" ref="S318">IF(A318="", "",
    IFERROR(
        _xlfn.SWITCH(
            TRUE,
            AND(Q318="USD", $Q$2="USD"), M318,
            AND(Q318="USD", $Q$2="GBP"), M318*$Z$3,
            AND(Q318="USD", $Q$2="HKD"), M318*$Z$4,
            AND(Q318="USD", $Q$2="EUR"), M318*$Z$5,
            AND(Q318="GBP", $Q$2="GBP"), M318,
            AND(Q318="GBP", $Q$2="USD"), M318*$Z$6,
            AND(Q318="GBP", $Q$2="HKD"), M318*$Z$7,
            AND(Q318="GBP", $Q$2="HKD"), M318*$Z$8,
            AND(Q318="HKG", $Q$2="HKG"), M318,
            AND(Q318="HKD", $Q$2="USD"), M318*$Z$9,
            AND(Q318="HKD", $Q$2="GBP"), M318*$Z$10,
            AND(Q318="HKD", $Q$2="EUR"), M318*$Z$11,
            AND(Q318="EUR", $Q$2="EUR"), M318,
            AND(Q318="EUR", $Q$2="USD"), M318*$Z$12,
            AND(Q318="EUR", $Q$2="GBP"), M318*$Z$13,
            AND(Q318="EUR", $Q$2="HKD"), M318*$Z$14,
        ),
        0
    )
)</f>
        <v>30.972000000000001</v>
      </c>
      <c r="T318" s="1" t="str">
        <f t="shared" si="31"/>
        <v>6</v>
      </c>
      <c r="U318" s="8" t="str">
        <f t="shared" si="32"/>
        <v>02</v>
      </c>
      <c r="V318" s="1" t="str">
        <f t="shared" si="33"/>
        <v>2024</v>
      </c>
      <c r="W318" s="18" t="str">
        <f t="shared" si="34"/>
        <v>星期二</v>
      </c>
    </row>
    <row r="319" spans="1:23">
      <c r="A319" s="17" t="s">
        <v>22</v>
      </c>
      <c r="B319" s="1" t="s">
        <v>348</v>
      </c>
      <c r="C319" s="9">
        <v>45328</v>
      </c>
      <c r="D319" s="1" t="s">
        <v>518</v>
      </c>
      <c r="E319" s="1" t="s">
        <v>286</v>
      </c>
      <c r="F319" s="1" t="s">
        <v>349</v>
      </c>
      <c r="H319" s="1" t="s">
        <v>359</v>
      </c>
      <c r="I319" s="1">
        <v>157</v>
      </c>
      <c r="J319" s="27">
        <v>5</v>
      </c>
      <c r="M319" s="25">
        <f t="shared" si="28"/>
        <v>785</v>
      </c>
      <c r="N319" s="36">
        <f t="shared" si="29"/>
        <v>0</v>
      </c>
      <c r="O319" s="34">
        <f>IF(ISBLANK(A319),"",SUMIFS(I$3:I319,D$3:D319,D319,H$3:H319,"Buy")+SUMIFS(I$3:I319,D$3:D319,D319,H$3:H319,"Cash Deposit")+SUMIFS(I$3:I319,D$3:D319,D319,H$3:H319,"Crypto Deposit")+SUMIFS(I$3:I319,D$3:D319,D319,H$3:H319,"Airdrop/Rewards")-SUMIFS(I$3:I319,D$3:D319,D319,H$3:H319,"Sell"))</f>
        <v>157</v>
      </c>
      <c r="P319" s="2" cm="1">
        <f t="array" ref="P319">IF(ISBLANK(A319),"",IFERROR(IF(OR(H319="Sell",F319="Stable Coin"),INDEX(_xlfn._xlws.FILTER(P$2:P318, D$2:D318=D319),COUNT(_xlfn._xlws.FILTER(P$2:P318, D$2:D318=D319))),(INDEX(_xlfn._xlws.FILTER(P$2:P318, D$2:D318=D319),COUNT(_xlfn._xlws.FILTER(P$2:P318, D$2:D318=D319)))*INDEX(_xlfn._xlws.FILTER(O$2:O318, D$2:D318=D319),COUNT(_xlfn._xlws.FILTER(O$2:O318, D$2:D318=D319)))-N319) / O319), J319))</f>
        <v>5</v>
      </c>
      <c r="Q319" s="1" t="str">
        <f t="shared" si="30"/>
        <v>USD</v>
      </c>
      <c r="R319" s="1" cm="1">
        <f t="array" ref="R319">IF(A319="", "",
    IFERROR(
        _xlfn.SWITCH(
            TRUE,
            AND(Q319="USD", $Q$2="USD"), K319,
            AND(Q319="USD", $Q$2="GBP"), K319*$Z$3,
            AND(Q319="USD", $Q$2="HKD"), K319*$Z$4,
            AND(Q319="USD", $Q$2="EUR"), K319*$Z$5,
            AND(Q319="GBP", $Q$2="GBP"), K319,
            AND(Q319="GBP", $Q$2="USD"), K319*$Z$6,
            AND(Q319="GBP", $Q$2="HKD"), K319*$Z$7,
            AND(Q319="HKG", $Q$2="HKG"), K319,
            AND(Q319="HKD", $Q$2="USD"), K319*$Z$9,
            AND(Q319="HKD", $Q$2="GBP"), K319*$Z$10,
            AND(Q319="HKD", $Q$2="EUR"), K319*$Z$11,
            AND(Q319="EUR", $Q$2="EUR"), K319,
            AND(Q319="EUR", $Q$2="USD"), K319*$Z$12,
            AND(Q319="EUR", $Q$2="GBP"), K319*$Z$13,
            AND(Q319="EUR", $Q$2="HKD"), K319*$Z$14,
        ),
        0
    )
)</f>
        <v>0</v>
      </c>
      <c r="S319" s="1" cm="1">
        <f t="array" ref="S319">IF(A319="", "",
    IFERROR(
        _xlfn.SWITCH(
            TRUE,
            AND(Q319="USD", $Q$2="USD"), M319,
            AND(Q319="USD", $Q$2="GBP"), M319*$Z$3,
            AND(Q319="USD", $Q$2="HKD"), M319*$Z$4,
            AND(Q319="USD", $Q$2="EUR"), M319*$Z$5,
            AND(Q319="GBP", $Q$2="GBP"), M319,
            AND(Q319="GBP", $Q$2="USD"), M319*$Z$6,
            AND(Q319="GBP", $Q$2="HKD"), M319*$Z$7,
            AND(Q319="GBP", $Q$2="HKD"), M319*$Z$8,
            AND(Q319="HKG", $Q$2="HKG"), M319,
            AND(Q319="HKD", $Q$2="USD"), M319*$Z$9,
            AND(Q319="HKD", $Q$2="GBP"), M319*$Z$10,
            AND(Q319="HKD", $Q$2="EUR"), M319*$Z$11,
            AND(Q319="EUR", $Q$2="EUR"), M319,
            AND(Q319="EUR", $Q$2="USD"), M319*$Z$12,
            AND(Q319="EUR", $Q$2="GBP"), M319*$Z$13,
            AND(Q319="EUR", $Q$2="HKD"), M319*$Z$14,
        ),
        0
    )
)</f>
        <v>785</v>
      </c>
      <c r="T319" s="1" t="str">
        <f t="shared" si="31"/>
        <v>6</v>
      </c>
      <c r="U319" s="8" t="str">
        <f t="shared" si="32"/>
        <v>02</v>
      </c>
      <c r="V319" s="1" t="str">
        <f t="shared" si="33"/>
        <v>2024</v>
      </c>
      <c r="W319" s="18" t="str">
        <f t="shared" si="34"/>
        <v>星期二</v>
      </c>
    </row>
    <row r="320" spans="1:23">
      <c r="A320" s="17" t="s">
        <v>22</v>
      </c>
      <c r="B320" s="1" t="s">
        <v>348</v>
      </c>
      <c r="C320" s="9">
        <v>45328</v>
      </c>
      <c r="D320" s="1" t="s">
        <v>518</v>
      </c>
      <c r="E320" s="1" t="s">
        <v>286</v>
      </c>
      <c r="F320" s="1" t="s">
        <v>349</v>
      </c>
      <c r="H320" s="1" t="s">
        <v>367</v>
      </c>
      <c r="I320" s="1">
        <v>30</v>
      </c>
      <c r="J320" s="27">
        <v>6.15</v>
      </c>
      <c r="K320" s="1">
        <v>0.183</v>
      </c>
      <c r="M320" s="25">
        <f t="shared" si="28"/>
        <v>184.31700000000001</v>
      </c>
      <c r="N320" s="36">
        <f t="shared" si="29"/>
        <v>184.5</v>
      </c>
      <c r="O320" s="34">
        <f>IF(ISBLANK(A320),"",SUMIFS(I$3:I320,D$3:D320,D320,H$3:H320,"Buy")+SUMIFS(I$3:I320,D$3:D320,D320,H$3:H320,"Cash Deposit")+SUMIFS(I$3:I320,D$3:D320,D320,H$3:H320,"Crypto Deposit")+SUMIFS(I$3:I320,D$3:D320,D320,H$3:H320,"Airdrop/Rewards")-SUMIFS(I$3:I320,D$3:D320,D320,H$3:H320,"Sell"))</f>
        <v>127</v>
      </c>
      <c r="P320" s="2" cm="1">
        <f t="array" ref="P320">IF(ISBLANK(A320),"",IFERROR(IF(OR(H320="Sell",F320="Stable Coin"),INDEX(_xlfn._xlws.FILTER(P$2:P319, D$2:D319=D320),COUNT(_xlfn._xlws.FILTER(P$2:P319, D$2:D319=D320))),(INDEX(_xlfn._xlws.FILTER(P$2:P319, D$2:D319=D320),COUNT(_xlfn._xlws.FILTER(P$2:P319, D$2:D319=D320)))*INDEX(_xlfn._xlws.FILTER(O$2:O319, D$2:D319=D320),COUNT(_xlfn._xlws.FILTER(O$2:O319, D$2:D319=D320)))-N320) / O320), J320))</f>
        <v>5</v>
      </c>
      <c r="Q320" s="1" t="str">
        <f t="shared" si="30"/>
        <v>USD</v>
      </c>
      <c r="R320" s="1" cm="1">
        <f t="array" ref="R320">IF(A320="", "",
    IFERROR(
        _xlfn.SWITCH(
            TRUE,
            AND(Q320="USD", $Q$2="USD"), K320,
            AND(Q320="USD", $Q$2="GBP"), K320*$Z$3,
            AND(Q320="USD", $Q$2="HKD"), K320*$Z$4,
            AND(Q320="USD", $Q$2="EUR"), K320*$Z$5,
            AND(Q320="GBP", $Q$2="GBP"), K320,
            AND(Q320="GBP", $Q$2="USD"), K320*$Z$6,
            AND(Q320="GBP", $Q$2="HKD"), K320*$Z$7,
            AND(Q320="HKG", $Q$2="HKG"), K320,
            AND(Q320="HKD", $Q$2="USD"), K320*$Z$9,
            AND(Q320="HKD", $Q$2="GBP"), K320*$Z$10,
            AND(Q320="HKD", $Q$2="EUR"), K320*$Z$11,
            AND(Q320="EUR", $Q$2="EUR"), K320,
            AND(Q320="EUR", $Q$2="USD"), K320*$Z$12,
            AND(Q320="EUR", $Q$2="GBP"), K320*$Z$13,
            AND(Q320="EUR", $Q$2="HKD"), K320*$Z$14,
        ),
        0
    )
)</f>
        <v>0.183</v>
      </c>
      <c r="S320" s="1" cm="1">
        <f t="array" ref="S320">IF(A320="", "",
    IFERROR(
        _xlfn.SWITCH(
            TRUE,
            AND(Q320="USD", $Q$2="USD"), M320,
            AND(Q320="USD", $Q$2="GBP"), M320*$Z$3,
            AND(Q320="USD", $Q$2="HKD"), M320*$Z$4,
            AND(Q320="USD", $Q$2="EUR"), M320*$Z$5,
            AND(Q320="GBP", $Q$2="GBP"), M320,
            AND(Q320="GBP", $Q$2="USD"), M320*$Z$6,
            AND(Q320="GBP", $Q$2="HKD"), M320*$Z$7,
            AND(Q320="GBP", $Q$2="HKD"), M320*$Z$8,
            AND(Q320="HKG", $Q$2="HKG"), M320,
            AND(Q320="HKD", $Q$2="USD"), M320*$Z$9,
            AND(Q320="HKD", $Q$2="GBP"), M320*$Z$10,
            AND(Q320="HKD", $Q$2="EUR"), M320*$Z$11,
            AND(Q320="EUR", $Q$2="EUR"), M320,
            AND(Q320="EUR", $Q$2="USD"), M320*$Z$12,
            AND(Q320="EUR", $Q$2="GBP"), M320*$Z$13,
            AND(Q320="EUR", $Q$2="HKD"), M320*$Z$14,
        ),
        0
    )
)</f>
        <v>184.31700000000001</v>
      </c>
      <c r="T320" s="1" t="str">
        <f t="shared" si="31"/>
        <v>6</v>
      </c>
      <c r="U320" s="8" t="str">
        <f t="shared" si="32"/>
        <v>02</v>
      </c>
      <c r="V320" s="1" t="str">
        <f t="shared" si="33"/>
        <v>2024</v>
      </c>
      <c r="W320" s="18" t="str">
        <f t="shared" si="34"/>
        <v>星期二</v>
      </c>
    </row>
    <row r="321" spans="1:23">
      <c r="A321" s="17" t="s">
        <v>59</v>
      </c>
      <c r="B321" s="1" t="s">
        <v>348</v>
      </c>
      <c r="C321" s="9">
        <v>45329</v>
      </c>
      <c r="D321" s="1" t="s">
        <v>122</v>
      </c>
      <c r="E321" s="1" t="s">
        <v>122</v>
      </c>
      <c r="F321" s="1" t="s">
        <v>346</v>
      </c>
      <c r="H321" s="1" t="s">
        <v>367</v>
      </c>
      <c r="I321" s="1">
        <v>100</v>
      </c>
      <c r="J321" s="27">
        <v>1</v>
      </c>
      <c r="M321" s="25">
        <f t="shared" si="28"/>
        <v>100</v>
      </c>
      <c r="N321" s="36">
        <f t="shared" si="29"/>
        <v>100</v>
      </c>
      <c r="O321" s="34">
        <f>IF(ISBLANK(A321),"",SUMIFS(I$3:I321,D$3:D321,D321,H$3:H321,"Buy")+SUMIFS(I$3:I321,D$3:D321,D321,H$3:H321,"Cash Deposit")+SUMIFS(I$3:I321,D$3:D321,D321,H$3:H321,"Crypto Deposit")+SUMIFS(I$3:I321,D$3:D321,D321,H$3:H321,"Airdrop/Rewards")-SUMIFS(I$3:I321,D$3:D321,D321,H$3:H321,"Sell"))</f>
        <v>999.92999999999984</v>
      </c>
      <c r="P321" s="2" cm="1">
        <f t="array" ref="P321">IF(ISBLANK(A321),"",IFERROR(IF(OR(H321="Sell",F321="Stable Coin"),INDEX(_xlfn._xlws.FILTER(P$2:P320, D$2:D320=D321),COUNT(_xlfn._xlws.FILTER(P$2:P320, D$2:D320=D321))),(INDEX(_xlfn._xlws.FILTER(P$2:P320, D$2:D320=D321),COUNT(_xlfn._xlws.FILTER(P$2:P320, D$2:D320=D321)))*INDEX(_xlfn._xlws.FILTER(O$2:O320, D$2:D320=D321),COUNT(_xlfn._xlws.FILTER(O$2:O320, D$2:D320=D321)))-N321) / O321), J321))</f>
        <v>1</v>
      </c>
      <c r="Q321" s="1" t="str">
        <f t="shared" si="30"/>
        <v>USD</v>
      </c>
      <c r="R321" s="1" cm="1">
        <f t="array" ref="R321">IF(A321="", "",
    IFERROR(
        _xlfn.SWITCH(
            TRUE,
            AND(Q321="USD", $Q$2="USD"), K321,
            AND(Q321="USD", $Q$2="GBP"), K321*$Z$3,
            AND(Q321="USD", $Q$2="HKD"), K321*$Z$4,
            AND(Q321="USD", $Q$2="EUR"), K321*$Z$5,
            AND(Q321="GBP", $Q$2="GBP"), K321,
            AND(Q321="GBP", $Q$2="USD"), K321*$Z$6,
            AND(Q321="GBP", $Q$2="HKD"), K321*$Z$7,
            AND(Q321="HKG", $Q$2="HKG"), K321,
            AND(Q321="HKD", $Q$2="USD"), K321*$Z$9,
            AND(Q321="HKD", $Q$2="GBP"), K321*$Z$10,
            AND(Q321="HKD", $Q$2="EUR"), K321*$Z$11,
            AND(Q321="EUR", $Q$2="EUR"), K321,
            AND(Q321="EUR", $Q$2="USD"), K321*$Z$12,
            AND(Q321="EUR", $Q$2="GBP"), K321*$Z$13,
            AND(Q321="EUR", $Q$2="HKD"), K321*$Z$14,
        ),
        0
    )
)</f>
        <v>0</v>
      </c>
      <c r="S321" s="1" cm="1">
        <f t="array" ref="S321">IF(A321="", "",
    IFERROR(
        _xlfn.SWITCH(
            TRUE,
            AND(Q321="USD", $Q$2="USD"), M321,
            AND(Q321="USD", $Q$2="GBP"), M321*$Z$3,
            AND(Q321="USD", $Q$2="HKD"), M321*$Z$4,
            AND(Q321="USD", $Q$2="EUR"), M321*$Z$5,
            AND(Q321="GBP", $Q$2="GBP"), M321,
            AND(Q321="GBP", $Q$2="USD"), M321*$Z$6,
            AND(Q321="GBP", $Q$2="HKD"), M321*$Z$7,
            AND(Q321="GBP", $Q$2="HKD"), M321*$Z$8,
            AND(Q321="HKG", $Q$2="HKG"), M321,
            AND(Q321="HKD", $Q$2="USD"), M321*$Z$9,
            AND(Q321="HKD", $Q$2="GBP"), M321*$Z$10,
            AND(Q321="HKD", $Q$2="EUR"), M321*$Z$11,
            AND(Q321="EUR", $Q$2="EUR"), M321,
            AND(Q321="EUR", $Q$2="USD"), M321*$Z$12,
            AND(Q321="EUR", $Q$2="GBP"), M321*$Z$13,
            AND(Q321="EUR", $Q$2="HKD"), M321*$Z$14,
        ),
        0
    )
)</f>
        <v>100</v>
      </c>
      <c r="T321" s="1" t="str">
        <f t="shared" si="31"/>
        <v>7</v>
      </c>
      <c r="U321" s="8" t="str">
        <f t="shared" si="32"/>
        <v>02</v>
      </c>
      <c r="V321" s="1" t="str">
        <f t="shared" si="33"/>
        <v>2024</v>
      </c>
      <c r="W321" s="18" t="str">
        <f t="shared" si="34"/>
        <v>星期三</v>
      </c>
    </row>
    <row r="322" spans="1:23">
      <c r="A322" s="17" t="s">
        <v>59</v>
      </c>
      <c r="B322" s="1" t="s">
        <v>348</v>
      </c>
      <c r="C322" s="9">
        <v>45329</v>
      </c>
      <c r="D322" s="1" t="s">
        <v>516</v>
      </c>
      <c r="E322" s="1" t="s">
        <v>516</v>
      </c>
      <c r="F322" s="1" t="s">
        <v>349</v>
      </c>
      <c r="H322" s="1" t="s">
        <v>347</v>
      </c>
      <c r="I322" s="1">
        <v>32.24</v>
      </c>
      <c r="J322" s="27">
        <f>I321/I322</f>
        <v>3.1017369727047144</v>
      </c>
      <c r="K322" s="1">
        <v>1.03</v>
      </c>
      <c r="M322" s="25">
        <f t="shared" si="28"/>
        <v>100</v>
      </c>
      <c r="N322" s="36">
        <f t="shared" si="29"/>
        <v>-100</v>
      </c>
      <c r="O322" s="34">
        <f>IF(ISBLANK(A322),"",SUMIFS(I$3:I322,D$3:D322,D322,H$3:H322,"Buy")+SUMIFS(I$3:I322,D$3:D322,D322,H$3:H322,"Cash Deposit")+SUMIFS(I$3:I322,D$3:D322,D322,H$3:H322,"Crypto Deposit")+SUMIFS(I$3:I322,D$3:D322,D322,H$3:H322,"Airdrop/Rewards")-SUMIFS(I$3:I322,D$3:D322,D322,H$3:H322,"Sell"))</f>
        <v>32.24</v>
      </c>
      <c r="P322" s="2" cm="1">
        <f t="array" ref="P322">IF(ISBLANK(A322),"",IFERROR(IF(OR(H322="Sell",F322="Stable Coin"),INDEX(_xlfn._xlws.FILTER(P$2:P321, D$2:D321=D322),COUNT(_xlfn._xlws.FILTER(P$2:P321, D$2:D321=D322))),(INDEX(_xlfn._xlws.FILTER(P$2:P321, D$2:D321=D322),COUNT(_xlfn._xlws.FILTER(P$2:P321, D$2:D321=D322)))*INDEX(_xlfn._xlws.FILTER(O$2:O321, D$2:D321=D322),COUNT(_xlfn._xlws.FILTER(O$2:O321, D$2:D321=D322)))-N322) / O322), J322))</f>
        <v>3.1017369727047144</v>
      </c>
      <c r="Q322" s="1" t="str">
        <f t="shared" si="30"/>
        <v>USD</v>
      </c>
      <c r="R322" s="1" cm="1">
        <f t="array" ref="R322">IF(A322="", "",
    IFERROR(
        _xlfn.SWITCH(
            TRUE,
            AND(Q322="USD", $Q$2="USD"), K322,
            AND(Q322="USD", $Q$2="GBP"), K322*$Z$3,
            AND(Q322="USD", $Q$2="HKD"), K322*$Z$4,
            AND(Q322="USD", $Q$2="EUR"), K322*$Z$5,
            AND(Q322="GBP", $Q$2="GBP"), K322,
            AND(Q322="GBP", $Q$2="USD"), K322*$Z$6,
            AND(Q322="GBP", $Q$2="HKD"), K322*$Z$7,
            AND(Q322="HKG", $Q$2="HKG"), K322,
            AND(Q322="HKD", $Q$2="USD"), K322*$Z$9,
            AND(Q322="HKD", $Q$2="GBP"), K322*$Z$10,
            AND(Q322="HKD", $Q$2="EUR"), K322*$Z$11,
            AND(Q322="EUR", $Q$2="EUR"), K322,
            AND(Q322="EUR", $Q$2="USD"), K322*$Z$12,
            AND(Q322="EUR", $Q$2="GBP"), K322*$Z$13,
            AND(Q322="EUR", $Q$2="HKD"), K322*$Z$14,
        ),
        0
    )
)</f>
        <v>1.03</v>
      </c>
      <c r="S322" s="1" cm="1">
        <f t="array" ref="S322">IF(A322="", "",
    IFERROR(
        _xlfn.SWITCH(
            TRUE,
            AND(Q322="USD", $Q$2="USD"), M322,
            AND(Q322="USD", $Q$2="GBP"), M322*$Z$3,
            AND(Q322="USD", $Q$2="HKD"), M322*$Z$4,
            AND(Q322="USD", $Q$2="EUR"), M322*$Z$5,
            AND(Q322="GBP", $Q$2="GBP"), M322,
            AND(Q322="GBP", $Q$2="USD"), M322*$Z$6,
            AND(Q322="GBP", $Q$2="HKD"), M322*$Z$7,
            AND(Q322="GBP", $Q$2="HKD"), M322*$Z$8,
            AND(Q322="HKG", $Q$2="HKG"), M322,
            AND(Q322="HKD", $Q$2="USD"), M322*$Z$9,
            AND(Q322="HKD", $Q$2="GBP"), M322*$Z$10,
            AND(Q322="HKD", $Q$2="EUR"), M322*$Z$11,
            AND(Q322="EUR", $Q$2="EUR"), M322,
            AND(Q322="EUR", $Q$2="USD"), M322*$Z$12,
            AND(Q322="EUR", $Q$2="GBP"), M322*$Z$13,
            AND(Q322="EUR", $Q$2="HKD"), M322*$Z$14,
        ),
        0
    )
)</f>
        <v>100</v>
      </c>
      <c r="T322" s="1" t="str">
        <f t="shared" si="31"/>
        <v>7</v>
      </c>
      <c r="U322" s="8" t="str">
        <f t="shared" si="32"/>
        <v>02</v>
      </c>
      <c r="V322" s="1" t="str">
        <f t="shared" si="33"/>
        <v>2024</v>
      </c>
      <c r="W322" s="18" t="str">
        <f t="shared" si="34"/>
        <v>星期三</v>
      </c>
    </row>
    <row r="323" spans="1:23">
      <c r="A323" s="17" t="s">
        <v>6</v>
      </c>
      <c r="B323" s="1" t="s">
        <v>348</v>
      </c>
      <c r="C323" s="9">
        <v>45329</v>
      </c>
      <c r="D323" s="1" t="s">
        <v>364</v>
      </c>
      <c r="E323" s="1" t="s">
        <v>114</v>
      </c>
      <c r="F323" s="1" t="s">
        <v>346</v>
      </c>
      <c r="H323" s="1" t="s">
        <v>367</v>
      </c>
      <c r="I323" s="1">
        <v>99.6</v>
      </c>
      <c r="J323" s="27">
        <v>1</v>
      </c>
      <c r="M323" s="25">
        <f t="shared" si="28"/>
        <v>99.6</v>
      </c>
      <c r="N323" s="36">
        <f t="shared" si="29"/>
        <v>99.6</v>
      </c>
      <c r="O323" s="34">
        <f>IF(ISBLANK(A323),"",SUMIFS(I$3:I323,D$3:D323,D323,H$3:H323,"Buy")+SUMIFS(I$3:I323,D$3:D323,D323,H$3:H323,"Cash Deposit")+SUMIFS(I$3:I323,D$3:D323,D323,H$3:H323,"Crypto Deposit")+SUMIFS(I$3:I323,D$3:D323,D323,H$3:H323,"Airdrop/Rewards")-SUMIFS(I$3:I323,D$3:D323,D323,H$3:H323,"Sell"))</f>
        <v>4744.2562550803814</v>
      </c>
      <c r="P323" s="2" cm="1">
        <f t="array" ref="P323">IF(ISBLANK(A323),"",IFERROR(IF(OR(H323="Sell",F323="Stable Coin"),INDEX(_xlfn._xlws.FILTER(P$2:P322, D$2:D322=D323),COUNT(_xlfn._xlws.FILTER(P$2:P322, D$2:D322=D323))),(INDEX(_xlfn._xlws.FILTER(P$2:P322, D$2:D322=D323),COUNT(_xlfn._xlws.FILTER(P$2:P322, D$2:D322=D323)))*INDEX(_xlfn._xlws.FILTER(O$2:O322, D$2:D322=D323),COUNT(_xlfn._xlws.FILTER(O$2:O322, D$2:D322=D323)))-N323) / O323), J323))</f>
        <v>1</v>
      </c>
      <c r="Q323" s="1" t="str">
        <f t="shared" si="30"/>
        <v>USD</v>
      </c>
      <c r="R323" s="1" cm="1">
        <f t="array" ref="R323">IF(A323="", "",
    IFERROR(
        _xlfn.SWITCH(
            TRUE,
            AND(Q323="USD", $Q$2="USD"), K323,
            AND(Q323="USD", $Q$2="GBP"), K323*$Z$3,
            AND(Q323="USD", $Q$2="HKD"), K323*$Z$4,
            AND(Q323="USD", $Q$2="EUR"), K323*$Z$5,
            AND(Q323="GBP", $Q$2="GBP"), K323,
            AND(Q323="GBP", $Q$2="USD"), K323*$Z$6,
            AND(Q323="GBP", $Q$2="HKD"), K323*$Z$7,
            AND(Q323="HKG", $Q$2="HKG"), K323,
            AND(Q323="HKD", $Q$2="USD"), K323*$Z$9,
            AND(Q323="HKD", $Q$2="GBP"), K323*$Z$10,
            AND(Q323="HKD", $Q$2="EUR"), K323*$Z$11,
            AND(Q323="EUR", $Q$2="EUR"), K323,
            AND(Q323="EUR", $Q$2="USD"), K323*$Z$12,
            AND(Q323="EUR", $Q$2="GBP"), K323*$Z$13,
            AND(Q323="EUR", $Q$2="HKD"), K323*$Z$14,
        ),
        0
    )
)</f>
        <v>0</v>
      </c>
      <c r="S323" s="1" cm="1">
        <f t="array" ref="S323">IF(A323="", "",
    IFERROR(
        _xlfn.SWITCH(
            TRUE,
            AND(Q323="USD", $Q$2="USD"), M323,
            AND(Q323="USD", $Q$2="GBP"), M323*$Z$3,
            AND(Q323="USD", $Q$2="HKD"), M323*$Z$4,
            AND(Q323="USD", $Q$2="EUR"), M323*$Z$5,
            AND(Q323="GBP", $Q$2="GBP"), M323,
            AND(Q323="GBP", $Q$2="USD"), M323*$Z$6,
            AND(Q323="GBP", $Q$2="HKD"), M323*$Z$7,
            AND(Q323="GBP", $Q$2="HKD"), M323*$Z$8,
            AND(Q323="HKG", $Q$2="HKG"), M323,
            AND(Q323="HKD", $Q$2="USD"), M323*$Z$9,
            AND(Q323="HKD", $Q$2="GBP"), M323*$Z$10,
            AND(Q323="HKD", $Q$2="EUR"), M323*$Z$11,
            AND(Q323="EUR", $Q$2="EUR"), M323,
            AND(Q323="EUR", $Q$2="USD"), M323*$Z$12,
            AND(Q323="EUR", $Q$2="GBP"), M323*$Z$13,
            AND(Q323="EUR", $Q$2="HKD"), M323*$Z$14,
        ),
        0
    )
)</f>
        <v>99.6</v>
      </c>
      <c r="T323" s="1" t="str">
        <f t="shared" si="31"/>
        <v>7</v>
      </c>
      <c r="U323" s="8" t="str">
        <f t="shared" si="32"/>
        <v>02</v>
      </c>
      <c r="V323" s="1" t="str">
        <f t="shared" si="33"/>
        <v>2024</v>
      </c>
      <c r="W323" s="18" t="str">
        <f t="shared" si="34"/>
        <v>星期三</v>
      </c>
    </row>
    <row r="324" spans="1:23">
      <c r="A324" s="17" t="s">
        <v>6</v>
      </c>
      <c r="B324" s="1" t="s">
        <v>348</v>
      </c>
      <c r="C324" s="9">
        <v>45329</v>
      </c>
      <c r="D324" s="1" t="s">
        <v>55</v>
      </c>
      <c r="E324" s="1" t="s">
        <v>31</v>
      </c>
      <c r="F324" s="1" t="s">
        <v>349</v>
      </c>
      <c r="H324" s="1" t="s">
        <v>347</v>
      </c>
      <c r="I324" s="1">
        <v>200</v>
      </c>
      <c r="J324" s="27">
        <v>0.498</v>
      </c>
      <c r="K324" s="1">
        <v>0.05</v>
      </c>
      <c r="M324" s="25">
        <f t="shared" si="28"/>
        <v>99.6</v>
      </c>
      <c r="N324" s="36">
        <f t="shared" ref="N324:N427" si="35">IF(ISBLANK(A324),"",IF(OR(H324="Buy",H324="Cash Deposit",H324="Crypto Deposit"),-I324*J324,IF(H324="Sell",I324*J324,0)))</f>
        <v>-99.6</v>
      </c>
      <c r="O324" s="34">
        <f>IF(ISBLANK(A324),"",SUMIFS(I$3:I324,D$3:D324,D324,H$3:H324,"Buy")+SUMIFS(I$3:I324,D$3:D324,D324,H$3:H324,"Cash Deposit")+SUMIFS(I$3:I324,D$3:D324,D324,H$3:H324,"Crypto Deposit")+SUMIFS(I$3:I324,D$3:D324,D324,H$3:H324,"Airdrop/Rewards")-SUMIFS(I$3:I324,D$3:D324,D324,H$3:H324,"Sell"))</f>
        <v>4121.21</v>
      </c>
      <c r="P324" s="2" cm="1">
        <f t="array" ref="P324">IF(ISBLANK(A324),"",IFERROR(IF(OR(H324="Sell",F324="Stable Coin"),INDEX(_xlfn._xlws.FILTER(P$2:P323, D$2:D323=D324),COUNT(_xlfn._xlws.FILTER(P$2:P323, D$2:D323=D324))),(INDEX(_xlfn._xlws.FILTER(P$2:P323, D$2:D323=D324),COUNT(_xlfn._xlws.FILTER(P$2:P323, D$2:D323=D324)))*INDEX(_xlfn._xlws.FILTER(O$2:O323, D$2:D323=D324),COUNT(_xlfn._xlws.FILTER(O$2:O323, D$2:D323=D324)))-N324) / O324), J324))</f>
        <v>0.41798161218603241</v>
      </c>
      <c r="Q324" s="1" t="str">
        <f t="shared" si="30"/>
        <v>USD</v>
      </c>
      <c r="R324" s="1" cm="1">
        <f t="array" ref="R324">IF(A324="", "",
    IFERROR(
        _xlfn.SWITCH(
            TRUE,
            AND(Q324="USD", $Q$2="USD"), K324,
            AND(Q324="USD", $Q$2="GBP"), K324*$Z$3,
            AND(Q324="USD", $Q$2="HKD"), K324*$Z$4,
            AND(Q324="USD", $Q$2="EUR"), K324*$Z$5,
            AND(Q324="GBP", $Q$2="GBP"), K324,
            AND(Q324="GBP", $Q$2="USD"), K324*$Z$6,
            AND(Q324="GBP", $Q$2="HKD"), K324*$Z$7,
            AND(Q324="HKG", $Q$2="HKG"), K324,
            AND(Q324="HKD", $Q$2="USD"), K324*$Z$9,
            AND(Q324="HKD", $Q$2="GBP"), K324*$Z$10,
            AND(Q324="HKD", $Q$2="EUR"), K324*$Z$11,
            AND(Q324="EUR", $Q$2="EUR"), K324,
            AND(Q324="EUR", $Q$2="USD"), K324*$Z$12,
            AND(Q324="EUR", $Q$2="GBP"), K324*$Z$13,
            AND(Q324="EUR", $Q$2="HKD"), K324*$Z$14,
        ),
        0
    )
)</f>
        <v>0.05</v>
      </c>
      <c r="S324" s="1" cm="1">
        <f t="array" ref="S324">IF(A324="", "",
    IFERROR(
        _xlfn.SWITCH(
            TRUE,
            AND(Q324="USD", $Q$2="USD"), M324,
            AND(Q324="USD", $Q$2="GBP"), M324*$Z$3,
            AND(Q324="USD", $Q$2="HKD"), M324*$Z$4,
            AND(Q324="USD", $Q$2="EUR"), M324*$Z$5,
            AND(Q324="GBP", $Q$2="GBP"), M324,
            AND(Q324="GBP", $Q$2="USD"), M324*$Z$6,
            AND(Q324="GBP", $Q$2="HKD"), M324*$Z$7,
            AND(Q324="GBP", $Q$2="HKD"), M324*$Z$8,
            AND(Q324="HKG", $Q$2="HKG"), M324,
            AND(Q324="HKD", $Q$2="USD"), M324*$Z$9,
            AND(Q324="HKD", $Q$2="GBP"), M324*$Z$10,
            AND(Q324="HKD", $Q$2="EUR"), M324*$Z$11,
            AND(Q324="EUR", $Q$2="EUR"), M324,
            AND(Q324="EUR", $Q$2="USD"), M324*$Z$12,
            AND(Q324="EUR", $Q$2="GBP"), M324*$Z$13,
            AND(Q324="EUR", $Q$2="HKD"), M324*$Z$14,
        ),
        0
    )
)</f>
        <v>99.6</v>
      </c>
      <c r="T324" s="1" t="str">
        <f t="shared" si="31"/>
        <v>7</v>
      </c>
      <c r="U324" s="8" t="str">
        <f t="shared" si="32"/>
        <v>02</v>
      </c>
      <c r="V324" s="1" t="str">
        <f t="shared" si="33"/>
        <v>2024</v>
      </c>
      <c r="W324" s="18" t="str">
        <f t="shared" si="34"/>
        <v>星期三</v>
      </c>
    </row>
    <row r="325" spans="1:23">
      <c r="A325" s="17" t="s">
        <v>6</v>
      </c>
      <c r="B325" s="1" t="s">
        <v>348</v>
      </c>
      <c r="C325" s="9">
        <v>45329</v>
      </c>
      <c r="D325" s="1" t="s">
        <v>364</v>
      </c>
      <c r="E325" s="1" t="s">
        <v>114</v>
      </c>
      <c r="F325" s="1" t="s">
        <v>346</v>
      </c>
      <c r="H325" s="1" t="s">
        <v>367</v>
      </c>
      <c r="I325" s="1">
        <v>89.85</v>
      </c>
      <c r="J325" s="27">
        <v>1</v>
      </c>
      <c r="M325" s="25">
        <f t="shared" si="28"/>
        <v>89.85</v>
      </c>
      <c r="N325" s="36">
        <f t="shared" si="35"/>
        <v>89.85</v>
      </c>
      <c r="O325" s="34">
        <f>IF(ISBLANK(A325),"",SUMIFS(I$3:I325,D$3:D325,D325,H$3:H325,"Buy")+SUMIFS(I$3:I325,D$3:D325,D325,H$3:H325,"Cash Deposit")+SUMIFS(I$3:I325,D$3:D325,D325,H$3:H325,"Crypto Deposit")+SUMIFS(I$3:I325,D$3:D325,D325,H$3:H325,"Airdrop/Rewards")-SUMIFS(I$3:I325,D$3:D325,D325,H$3:H325,"Sell"))</f>
        <v>4654.4062550803828</v>
      </c>
      <c r="P325" s="2" cm="1">
        <f t="array" ref="P325">IF(ISBLANK(A325),"",IFERROR(IF(OR(H325="Sell",F325="Stable Coin"),INDEX(_xlfn._xlws.FILTER(P$2:P324, D$2:D324=D325),COUNT(_xlfn._xlws.FILTER(P$2:P324, D$2:D324=D325))),(INDEX(_xlfn._xlws.FILTER(P$2:P324, D$2:D324=D325),COUNT(_xlfn._xlws.FILTER(P$2:P324, D$2:D324=D325)))*INDEX(_xlfn._xlws.FILTER(O$2:O324, D$2:D324=D325),COUNT(_xlfn._xlws.FILTER(O$2:O324, D$2:D324=D325)))-N325) / O325), J325))</f>
        <v>1</v>
      </c>
      <c r="Q325" s="1" t="str">
        <f t="shared" si="30"/>
        <v>USD</v>
      </c>
      <c r="R325" s="1" cm="1">
        <f t="array" ref="R325">IF(A325="", "",
    IFERROR(
        _xlfn.SWITCH(
            TRUE,
            AND(Q325="USD", $Q$2="USD"), K325,
            AND(Q325="USD", $Q$2="GBP"), K325*$Z$3,
            AND(Q325="USD", $Q$2="HKD"), K325*$Z$4,
            AND(Q325="USD", $Q$2="EUR"), K325*$Z$5,
            AND(Q325="GBP", $Q$2="GBP"), K325,
            AND(Q325="GBP", $Q$2="USD"), K325*$Z$6,
            AND(Q325="GBP", $Q$2="HKD"), K325*$Z$7,
            AND(Q325="HKG", $Q$2="HKG"), K325,
            AND(Q325="HKD", $Q$2="USD"), K325*$Z$9,
            AND(Q325="HKD", $Q$2="GBP"), K325*$Z$10,
            AND(Q325="HKD", $Q$2="EUR"), K325*$Z$11,
            AND(Q325="EUR", $Q$2="EUR"), K325,
            AND(Q325="EUR", $Q$2="USD"), K325*$Z$12,
            AND(Q325="EUR", $Q$2="GBP"), K325*$Z$13,
            AND(Q325="EUR", $Q$2="HKD"), K325*$Z$14,
        ),
        0
    )
)</f>
        <v>0</v>
      </c>
      <c r="S325" s="1" cm="1">
        <f t="array" ref="S325">IF(A325="", "",
    IFERROR(
        _xlfn.SWITCH(
            TRUE,
            AND(Q325="USD", $Q$2="USD"), M325,
            AND(Q325="USD", $Q$2="GBP"), M325*$Z$3,
            AND(Q325="USD", $Q$2="HKD"), M325*$Z$4,
            AND(Q325="USD", $Q$2="EUR"), M325*$Z$5,
            AND(Q325="GBP", $Q$2="GBP"), M325,
            AND(Q325="GBP", $Q$2="USD"), M325*$Z$6,
            AND(Q325="GBP", $Q$2="HKD"), M325*$Z$7,
            AND(Q325="GBP", $Q$2="HKD"), M325*$Z$8,
            AND(Q325="HKG", $Q$2="HKG"), M325,
            AND(Q325="HKD", $Q$2="USD"), M325*$Z$9,
            AND(Q325="HKD", $Q$2="GBP"), M325*$Z$10,
            AND(Q325="HKD", $Q$2="EUR"), M325*$Z$11,
            AND(Q325="EUR", $Q$2="EUR"), M325,
            AND(Q325="EUR", $Q$2="USD"), M325*$Z$12,
            AND(Q325="EUR", $Q$2="GBP"), M325*$Z$13,
            AND(Q325="EUR", $Q$2="HKD"), M325*$Z$14,
        ),
        0
    )
)</f>
        <v>89.85</v>
      </c>
      <c r="T325" s="1" t="str">
        <f t="shared" si="31"/>
        <v>7</v>
      </c>
      <c r="U325" s="8" t="str">
        <f t="shared" si="32"/>
        <v>02</v>
      </c>
      <c r="V325" s="1" t="str">
        <f t="shared" si="33"/>
        <v>2024</v>
      </c>
      <c r="W325" s="18" t="str">
        <f t="shared" si="34"/>
        <v>星期三</v>
      </c>
    </row>
    <row r="326" spans="1:23">
      <c r="A326" s="17" t="s">
        <v>6</v>
      </c>
      <c r="B326" s="1" t="s">
        <v>348</v>
      </c>
      <c r="C326" s="9">
        <v>45329</v>
      </c>
      <c r="D326" s="1" t="s">
        <v>475</v>
      </c>
      <c r="E326" s="1" t="s">
        <v>267</v>
      </c>
      <c r="F326" s="1" t="s">
        <v>349</v>
      </c>
      <c r="H326" s="1" t="s">
        <v>347</v>
      </c>
      <c r="I326" s="1">
        <v>150</v>
      </c>
      <c r="J326" s="27">
        <v>0.59899999999999998</v>
      </c>
      <c r="K326" s="1">
        <v>0.05</v>
      </c>
      <c r="M326" s="25">
        <f t="shared" ref="M326:M331" si="36">IF(ISBLANK(A326),"",IF(OR(H326="Sell", H326="Cash Withdrawal"), (I326*J326)-K326, I326*J326))</f>
        <v>89.85</v>
      </c>
      <c r="N326" s="36">
        <f t="shared" si="35"/>
        <v>-89.85</v>
      </c>
      <c r="O326" s="34">
        <f>IF(ISBLANK(A326),"",SUMIFS(I$3:I326,D$3:D326,D326,H$3:H326,"Buy")+SUMIFS(I$3:I326,D$3:D326,D326,H$3:H326,"Cash Deposit")+SUMIFS(I$3:I326,D$3:D326,D326,H$3:H326,"Crypto Deposit")+SUMIFS(I$3:I326,D$3:D326,D326,H$3:H326,"Airdrop/Rewards")-SUMIFS(I$3:I326,D$3:D326,D326,H$3:H326,"Sell"))</f>
        <v>300</v>
      </c>
      <c r="P326" s="2" cm="1">
        <f t="array" ref="P326">IF(ISBLANK(A326),"",IFERROR(IF(OR(H326="Sell",F326="Stable Coin"),INDEX(_xlfn._xlws.FILTER(P$2:P325, D$2:D325=D326),COUNT(_xlfn._xlws.FILTER(P$2:P325, D$2:D325=D326))),(INDEX(_xlfn._xlws.FILTER(P$2:P325, D$2:D325=D326),COUNT(_xlfn._xlws.FILTER(P$2:P325, D$2:D325=D326)))*INDEX(_xlfn._xlws.FILTER(O$2:O325, D$2:D325=D326),COUNT(_xlfn._xlws.FILTER(O$2:O325, D$2:D325=D326)))-N326) / O326), J326))</f>
        <v>0.59450000000000003</v>
      </c>
      <c r="Q326" s="1" t="str">
        <f t="shared" si="30"/>
        <v>USD</v>
      </c>
      <c r="R326" s="1" cm="1">
        <f t="array" ref="R326">IF(A326="", "",
    IFERROR(
        _xlfn.SWITCH(
            TRUE,
            AND(Q326="USD", $Q$2="USD"), K326,
            AND(Q326="USD", $Q$2="GBP"), K326*$Z$3,
            AND(Q326="USD", $Q$2="HKD"), K326*$Z$4,
            AND(Q326="USD", $Q$2="EUR"), K326*$Z$5,
            AND(Q326="GBP", $Q$2="GBP"), K326,
            AND(Q326="GBP", $Q$2="USD"), K326*$Z$6,
            AND(Q326="GBP", $Q$2="HKD"), K326*$Z$7,
            AND(Q326="HKG", $Q$2="HKG"), K326,
            AND(Q326="HKD", $Q$2="USD"), K326*$Z$9,
            AND(Q326="HKD", $Q$2="GBP"), K326*$Z$10,
            AND(Q326="HKD", $Q$2="EUR"), K326*$Z$11,
            AND(Q326="EUR", $Q$2="EUR"), K326,
            AND(Q326="EUR", $Q$2="USD"), K326*$Z$12,
            AND(Q326="EUR", $Q$2="GBP"), K326*$Z$13,
            AND(Q326="EUR", $Q$2="HKD"), K326*$Z$14,
        ),
        0
    )
)</f>
        <v>0.05</v>
      </c>
      <c r="S326" s="1" cm="1">
        <f t="array" ref="S326">IF(A326="", "",
    IFERROR(
        _xlfn.SWITCH(
            TRUE,
            AND(Q326="USD", $Q$2="USD"), M326,
            AND(Q326="USD", $Q$2="GBP"), M326*$Z$3,
            AND(Q326="USD", $Q$2="HKD"), M326*$Z$4,
            AND(Q326="USD", $Q$2="EUR"), M326*$Z$5,
            AND(Q326="GBP", $Q$2="GBP"), M326,
            AND(Q326="GBP", $Q$2="USD"), M326*$Z$6,
            AND(Q326="GBP", $Q$2="HKD"), M326*$Z$7,
            AND(Q326="GBP", $Q$2="HKD"), M326*$Z$8,
            AND(Q326="HKG", $Q$2="HKG"), M326,
            AND(Q326="HKD", $Q$2="USD"), M326*$Z$9,
            AND(Q326="HKD", $Q$2="GBP"), M326*$Z$10,
            AND(Q326="HKD", $Q$2="EUR"), M326*$Z$11,
            AND(Q326="EUR", $Q$2="EUR"), M326,
            AND(Q326="EUR", $Q$2="USD"), M326*$Z$12,
            AND(Q326="EUR", $Q$2="GBP"), M326*$Z$13,
            AND(Q326="EUR", $Q$2="HKD"), M326*$Z$14,
        ),
        0
    )
)</f>
        <v>89.85</v>
      </c>
      <c r="T326" s="1" t="str">
        <f t="shared" ref="T326:T354" si="37">IF(ISBLANK(A326),"",TEXT(C326,"D"))</f>
        <v>7</v>
      </c>
      <c r="U326" s="8" t="str">
        <f t="shared" ref="U326:U354" si="38">IF(ISBLANK(A326),"",TEXT(C326,"MM"))</f>
        <v>02</v>
      </c>
      <c r="V326" s="1" t="str">
        <f t="shared" ref="V326:V354" si="39">IF(ISBLANK(A326),"",TEXT(C326,"YYYY"))</f>
        <v>2024</v>
      </c>
      <c r="W326" s="18" t="str">
        <f t="shared" ref="W326:W354" si="40">IF(ISBLANK(A326),"",TEXT(WEEKDAY(C326,1),"dddd"))</f>
        <v>星期三</v>
      </c>
    </row>
    <row r="327" spans="1:23">
      <c r="A327" s="17" t="s">
        <v>6</v>
      </c>
      <c r="B327" s="1" t="s">
        <v>348</v>
      </c>
      <c r="C327" s="9">
        <v>45329</v>
      </c>
      <c r="D327" s="1" t="s">
        <v>364</v>
      </c>
      <c r="E327" s="1" t="s">
        <v>114</v>
      </c>
      <c r="F327" s="1" t="s">
        <v>346</v>
      </c>
      <c r="H327" s="1" t="s">
        <v>367</v>
      </c>
      <c r="I327" s="1">
        <v>99.845600000000005</v>
      </c>
      <c r="J327" s="27">
        <v>1</v>
      </c>
      <c r="M327" s="25">
        <f t="shared" si="36"/>
        <v>99.845600000000005</v>
      </c>
      <c r="N327" s="36">
        <f t="shared" si="35"/>
        <v>99.845600000000005</v>
      </c>
      <c r="O327" s="34">
        <f>IF(ISBLANK(A327),"",SUMIFS(I$3:I327,D$3:D327,D327,H$3:H327,"Buy")+SUMIFS(I$3:I327,D$3:D327,D327,H$3:H327,"Cash Deposit")+SUMIFS(I$3:I327,D$3:D327,D327,H$3:H327,"Crypto Deposit")+SUMIFS(I$3:I327,D$3:D327,D327,H$3:H327,"Airdrop/Rewards")-SUMIFS(I$3:I327,D$3:D327,D327,H$3:H327,"Sell"))</f>
        <v>4554.5606550803823</v>
      </c>
      <c r="P327" s="2" cm="1">
        <f t="array" ref="P327">IF(ISBLANK(A327),"",IFERROR(IF(OR(H327="Sell",F327="Stable Coin"),INDEX(_xlfn._xlws.FILTER(P$2:P326, D$2:D326=D327),COUNT(_xlfn._xlws.FILTER(P$2:P326, D$2:D326=D327))),(INDEX(_xlfn._xlws.FILTER(P$2:P326, D$2:D326=D327),COUNT(_xlfn._xlws.FILTER(P$2:P326, D$2:D326=D327)))*INDEX(_xlfn._xlws.FILTER(O$2:O326, D$2:D326=D327),COUNT(_xlfn._xlws.FILTER(O$2:O326, D$2:D326=D327)))-N327) / O327), J327))</f>
        <v>1</v>
      </c>
      <c r="Q327" s="1" t="str">
        <f t="shared" si="30"/>
        <v>USD</v>
      </c>
      <c r="R327" s="1" cm="1">
        <f t="array" ref="R327">IF(A327="", "",
    IFERROR(
        _xlfn.SWITCH(
            TRUE,
            AND(Q327="USD", $Q$2="USD"), K327,
            AND(Q327="USD", $Q$2="GBP"), K327*$Z$3,
            AND(Q327="USD", $Q$2="HKD"), K327*$Z$4,
            AND(Q327="USD", $Q$2="EUR"), K327*$Z$5,
            AND(Q327="GBP", $Q$2="GBP"), K327,
            AND(Q327="GBP", $Q$2="USD"), K327*$Z$6,
            AND(Q327="GBP", $Q$2="HKD"), K327*$Z$7,
            AND(Q327="HKG", $Q$2="HKG"), K327,
            AND(Q327="HKD", $Q$2="USD"), K327*$Z$9,
            AND(Q327="HKD", $Q$2="GBP"), K327*$Z$10,
            AND(Q327="HKD", $Q$2="EUR"), K327*$Z$11,
            AND(Q327="EUR", $Q$2="EUR"), K327,
            AND(Q327="EUR", $Q$2="USD"), K327*$Z$12,
            AND(Q327="EUR", $Q$2="GBP"), K327*$Z$13,
            AND(Q327="EUR", $Q$2="HKD"), K327*$Z$14,
        ),
        0
    )
)</f>
        <v>0</v>
      </c>
      <c r="S327" s="1" cm="1">
        <f t="array" ref="S327">IF(A327="", "",
    IFERROR(
        _xlfn.SWITCH(
            TRUE,
            AND(Q327="USD", $Q$2="USD"), M327,
            AND(Q327="USD", $Q$2="GBP"), M327*$Z$3,
            AND(Q327="USD", $Q$2="HKD"), M327*$Z$4,
            AND(Q327="USD", $Q$2="EUR"), M327*$Z$5,
            AND(Q327="GBP", $Q$2="GBP"), M327,
            AND(Q327="GBP", $Q$2="USD"), M327*$Z$6,
            AND(Q327="GBP", $Q$2="HKD"), M327*$Z$7,
            AND(Q327="GBP", $Q$2="HKD"), M327*$Z$8,
            AND(Q327="HKG", $Q$2="HKG"), M327,
            AND(Q327="HKD", $Q$2="USD"), M327*$Z$9,
            AND(Q327="HKD", $Q$2="GBP"), M327*$Z$10,
            AND(Q327="HKD", $Q$2="EUR"), M327*$Z$11,
            AND(Q327="EUR", $Q$2="EUR"), M327,
            AND(Q327="EUR", $Q$2="USD"), M327*$Z$12,
            AND(Q327="EUR", $Q$2="GBP"), M327*$Z$13,
            AND(Q327="EUR", $Q$2="HKD"), M327*$Z$14,
        ),
        0
    )
)</f>
        <v>99.845600000000005</v>
      </c>
      <c r="T327" s="1" t="str">
        <f t="shared" si="37"/>
        <v>7</v>
      </c>
      <c r="U327" s="8" t="str">
        <f t="shared" si="38"/>
        <v>02</v>
      </c>
      <c r="V327" s="1" t="str">
        <f t="shared" si="39"/>
        <v>2024</v>
      </c>
      <c r="W327" s="18" t="str">
        <f t="shared" si="40"/>
        <v>星期三</v>
      </c>
    </row>
    <row r="328" spans="1:23">
      <c r="A328" s="17" t="s">
        <v>6</v>
      </c>
      <c r="B328" s="1" t="s">
        <v>348</v>
      </c>
      <c r="C328" s="9">
        <v>45329</v>
      </c>
      <c r="D328" s="1" t="s">
        <v>49</v>
      </c>
      <c r="E328" s="1" t="s">
        <v>38</v>
      </c>
      <c r="F328" s="1" t="s">
        <v>349</v>
      </c>
      <c r="H328" s="1" t="s">
        <v>347</v>
      </c>
      <c r="I328" s="1">
        <v>5.48</v>
      </c>
      <c r="J328" s="27">
        <v>18.22</v>
      </c>
      <c r="K328" s="1">
        <v>0.05</v>
      </c>
      <c r="M328" s="25">
        <f t="shared" si="36"/>
        <v>99.845600000000005</v>
      </c>
      <c r="N328" s="36">
        <f t="shared" si="35"/>
        <v>-99.845600000000005</v>
      </c>
      <c r="O328" s="34">
        <f>IF(ISBLANK(A328),"",SUMIFS(I$3:I328,D$3:D328,D328,H$3:H328,"Buy")+SUMIFS(I$3:I328,D$3:D328,D328,H$3:H328,"Cash Deposit")+SUMIFS(I$3:I328,D$3:D328,D328,H$3:H328,"Crypto Deposit")+SUMIFS(I$3:I328,D$3:D328,D328,H$3:H328,"Airdrop/Rewards")-SUMIFS(I$3:I328,D$3:D328,D328,H$3:H328,"Sell"))</f>
        <v>55.46181</v>
      </c>
      <c r="P328" s="2" cm="1">
        <f t="array" ref="P328">IF(ISBLANK(A328),"",IFERROR(IF(OR(H328="Sell",F328="Stable Coin"),INDEX(_xlfn._xlws.FILTER(P$2:P327, D$2:D327=D328),COUNT(_xlfn._xlws.FILTER(P$2:P327, D$2:D327=D328))),(INDEX(_xlfn._xlws.FILTER(P$2:P327, D$2:D327=D328),COUNT(_xlfn._xlws.FILTER(P$2:P327, D$2:D327=D328)))*INDEX(_xlfn._xlws.FILTER(O$2:O327, D$2:D327=D328),COUNT(_xlfn._xlws.FILTER(O$2:O327, D$2:D327=D328)))-N328) / O328), J328))</f>
        <v>18.183649328955781</v>
      </c>
      <c r="Q328" s="1" t="str">
        <f t="shared" si="30"/>
        <v>USD</v>
      </c>
      <c r="R328" s="1" cm="1">
        <f t="array" ref="R328">IF(A328="", "",
    IFERROR(
        _xlfn.SWITCH(
            TRUE,
            AND(Q328="USD", $Q$2="USD"), K328,
            AND(Q328="USD", $Q$2="GBP"), K328*$Z$3,
            AND(Q328="USD", $Q$2="HKD"), K328*$Z$4,
            AND(Q328="USD", $Q$2="EUR"), K328*$Z$5,
            AND(Q328="GBP", $Q$2="GBP"), K328,
            AND(Q328="GBP", $Q$2="USD"), K328*$Z$6,
            AND(Q328="GBP", $Q$2="HKD"), K328*$Z$7,
            AND(Q328="HKG", $Q$2="HKG"), K328,
            AND(Q328="HKD", $Q$2="USD"), K328*$Z$9,
            AND(Q328="HKD", $Q$2="GBP"), K328*$Z$10,
            AND(Q328="HKD", $Q$2="EUR"), K328*$Z$11,
            AND(Q328="EUR", $Q$2="EUR"), K328,
            AND(Q328="EUR", $Q$2="USD"), K328*$Z$12,
            AND(Q328="EUR", $Q$2="GBP"), K328*$Z$13,
            AND(Q328="EUR", $Q$2="HKD"), K328*$Z$14,
        ),
        0
    )
)</f>
        <v>0.05</v>
      </c>
      <c r="S328" s="1" cm="1">
        <f t="array" ref="S328">IF(A328="", "",
    IFERROR(
        _xlfn.SWITCH(
            TRUE,
            AND(Q328="USD", $Q$2="USD"), M328,
            AND(Q328="USD", $Q$2="GBP"), M328*$Z$3,
            AND(Q328="USD", $Q$2="HKD"), M328*$Z$4,
            AND(Q328="USD", $Q$2="EUR"), M328*$Z$5,
            AND(Q328="GBP", $Q$2="GBP"), M328,
            AND(Q328="GBP", $Q$2="USD"), M328*$Z$6,
            AND(Q328="GBP", $Q$2="HKD"), M328*$Z$7,
            AND(Q328="GBP", $Q$2="HKD"), M328*$Z$8,
            AND(Q328="HKG", $Q$2="HKG"), M328,
            AND(Q328="HKD", $Q$2="USD"), M328*$Z$9,
            AND(Q328="HKD", $Q$2="GBP"), M328*$Z$10,
            AND(Q328="HKD", $Q$2="EUR"), M328*$Z$11,
            AND(Q328="EUR", $Q$2="EUR"), M328,
            AND(Q328="EUR", $Q$2="USD"), M328*$Z$12,
            AND(Q328="EUR", $Q$2="GBP"), M328*$Z$13,
            AND(Q328="EUR", $Q$2="HKD"), M328*$Z$14,
        ),
        0
    )
)</f>
        <v>99.845600000000005</v>
      </c>
      <c r="T328" s="1" t="str">
        <f t="shared" si="37"/>
        <v>7</v>
      </c>
      <c r="U328" s="8" t="str">
        <f t="shared" si="38"/>
        <v>02</v>
      </c>
      <c r="V328" s="1" t="str">
        <f t="shared" si="39"/>
        <v>2024</v>
      </c>
      <c r="W328" s="18" t="str">
        <f t="shared" si="40"/>
        <v>星期三</v>
      </c>
    </row>
    <row r="329" spans="1:23">
      <c r="A329" s="17" t="s">
        <v>22</v>
      </c>
      <c r="B329" s="1" t="s">
        <v>348</v>
      </c>
      <c r="C329" s="9">
        <v>45330</v>
      </c>
      <c r="D329" s="1" t="s">
        <v>518</v>
      </c>
      <c r="E329" s="1" t="s">
        <v>286</v>
      </c>
      <c r="F329" s="1" t="s">
        <v>349</v>
      </c>
      <c r="H329" s="1" t="s">
        <v>367</v>
      </c>
      <c r="I329" s="1">
        <v>20</v>
      </c>
      <c r="J329" s="27">
        <v>7.6</v>
      </c>
      <c r="K329" s="1">
        <v>0.152</v>
      </c>
      <c r="M329" s="25">
        <f t="shared" si="36"/>
        <v>151.84800000000001</v>
      </c>
      <c r="N329" s="36">
        <f t="shared" si="35"/>
        <v>152</v>
      </c>
      <c r="O329" s="34">
        <f>IF(ISBLANK(A329),"",SUMIFS(I$3:I329,D$3:D329,D329,H$3:H329,"Buy")+SUMIFS(I$3:I329,D$3:D329,D329,H$3:H329,"Cash Deposit")+SUMIFS(I$3:I329,D$3:D329,D329,H$3:H329,"Crypto Deposit")+SUMIFS(I$3:I329,D$3:D329,D329,H$3:H329,"Airdrop/Rewards")-SUMIFS(I$3:I329,D$3:D329,D329,H$3:H329,"Sell"))</f>
        <v>107</v>
      </c>
      <c r="P329" s="2" cm="1">
        <f t="array" ref="P329">IF(ISBLANK(A329),"",IFERROR(IF(OR(H329="Sell",F329="Stable Coin"),INDEX(_xlfn._xlws.FILTER(P$2:P328, D$2:D328=D329),COUNT(_xlfn._xlws.FILTER(P$2:P328, D$2:D328=D329))),(INDEX(_xlfn._xlws.FILTER(P$2:P328, D$2:D328=D329),COUNT(_xlfn._xlws.FILTER(P$2:P328, D$2:D328=D329)))*INDEX(_xlfn._xlws.FILTER(O$2:O328, D$2:D328=D329),COUNT(_xlfn._xlws.FILTER(O$2:O328, D$2:D328=D329)))-N329) / O329), J329))</f>
        <v>5</v>
      </c>
      <c r="Q329" s="1" t="str">
        <f t="shared" si="30"/>
        <v>USD</v>
      </c>
      <c r="R329" s="1" cm="1">
        <f t="array" ref="R329">IF(A329="", "",
    IFERROR(
        _xlfn.SWITCH(
            TRUE,
            AND(Q329="USD", $Q$2="USD"), K329,
            AND(Q329="USD", $Q$2="GBP"), K329*$Z$3,
            AND(Q329="USD", $Q$2="HKD"), K329*$Z$4,
            AND(Q329="USD", $Q$2="EUR"), K329*$Z$5,
            AND(Q329="GBP", $Q$2="GBP"), K329,
            AND(Q329="GBP", $Q$2="USD"), K329*$Z$6,
            AND(Q329="GBP", $Q$2="HKD"), K329*$Z$7,
            AND(Q329="HKG", $Q$2="HKG"), K329,
            AND(Q329="HKD", $Q$2="USD"), K329*$Z$9,
            AND(Q329="HKD", $Q$2="GBP"), K329*$Z$10,
            AND(Q329="HKD", $Q$2="EUR"), K329*$Z$11,
            AND(Q329="EUR", $Q$2="EUR"), K329,
            AND(Q329="EUR", $Q$2="USD"), K329*$Z$12,
            AND(Q329="EUR", $Q$2="GBP"), K329*$Z$13,
            AND(Q329="EUR", $Q$2="HKD"), K329*$Z$14,
        ),
        0
    )
)</f>
        <v>0.152</v>
      </c>
      <c r="S329" s="1" cm="1">
        <f t="array" ref="S329">IF(A329="", "",
    IFERROR(
        _xlfn.SWITCH(
            TRUE,
            AND(Q329="USD", $Q$2="USD"), M329,
            AND(Q329="USD", $Q$2="GBP"), M329*$Z$3,
            AND(Q329="USD", $Q$2="HKD"), M329*$Z$4,
            AND(Q329="USD", $Q$2="EUR"), M329*$Z$5,
            AND(Q329="GBP", $Q$2="GBP"), M329,
            AND(Q329="GBP", $Q$2="USD"), M329*$Z$6,
            AND(Q329="GBP", $Q$2="HKD"), M329*$Z$7,
            AND(Q329="GBP", $Q$2="HKD"), M329*$Z$8,
            AND(Q329="HKG", $Q$2="HKG"), M329,
            AND(Q329="HKD", $Q$2="USD"), M329*$Z$9,
            AND(Q329="HKD", $Q$2="GBP"), M329*$Z$10,
            AND(Q329="HKD", $Q$2="EUR"), M329*$Z$11,
            AND(Q329="EUR", $Q$2="EUR"), M329,
            AND(Q329="EUR", $Q$2="USD"), M329*$Z$12,
            AND(Q329="EUR", $Q$2="GBP"), M329*$Z$13,
            AND(Q329="EUR", $Q$2="HKD"), M329*$Z$14,
        ),
        0
    )
)</f>
        <v>151.84800000000001</v>
      </c>
      <c r="T329" s="1" t="str">
        <f t="shared" si="37"/>
        <v>8</v>
      </c>
      <c r="U329" s="8" t="str">
        <f t="shared" si="38"/>
        <v>02</v>
      </c>
      <c r="V329" s="1" t="str">
        <f t="shared" si="39"/>
        <v>2024</v>
      </c>
      <c r="W329" s="18" t="str">
        <f t="shared" si="40"/>
        <v>星期四</v>
      </c>
    </row>
    <row r="330" spans="1:23">
      <c r="A330" s="17" t="s">
        <v>59</v>
      </c>
      <c r="B330" s="1" t="s">
        <v>348</v>
      </c>
      <c r="C330" s="9">
        <v>45332</v>
      </c>
      <c r="D330" s="1" t="s">
        <v>23</v>
      </c>
      <c r="E330" s="1" t="s">
        <v>357</v>
      </c>
      <c r="F330" s="1" t="s">
        <v>349</v>
      </c>
      <c r="H330" s="1" t="s">
        <v>359</v>
      </c>
      <c r="I330" s="1">
        <v>4.1099999999999998E-2</v>
      </c>
      <c r="J330" s="27">
        <v>2500</v>
      </c>
      <c r="M330" s="25">
        <f t="shared" si="36"/>
        <v>102.75</v>
      </c>
      <c r="N330" s="36">
        <f t="shared" si="35"/>
        <v>0</v>
      </c>
      <c r="O330" s="34">
        <f>IF(ISBLANK(A330),"",SUMIFS(I$3:I330,D$3:D330,D330,H$3:H330,"Buy")+SUMIFS(I$3:I330,D$3:D330,D330,H$3:H330,"Cash Deposit")+SUMIFS(I$3:I330,D$3:D330,D330,H$3:H330,"Crypto Deposit")+SUMIFS(I$3:I330,D$3:D330,D330,H$3:H330,"Airdrop/Rewards")-SUMIFS(I$3:I330,D$3:D330,D330,H$3:H330,"Sell"))</f>
        <v>10.26990112</v>
      </c>
      <c r="P330" s="2" cm="1">
        <f t="array" ref="P330">IF(ISBLANK(A330),"",IFERROR(IF(OR(H330="Sell",F330="Stable Coin"),INDEX(_xlfn._xlws.FILTER(P$2:P329, D$2:D329=D330),COUNT(_xlfn._xlws.FILTER(P$2:P329, D$2:D329=D330))),(INDEX(_xlfn._xlws.FILTER(P$2:P329, D$2:D329=D330),COUNT(_xlfn._xlws.FILTER(P$2:P329, D$2:D329=D330)))*INDEX(_xlfn._xlws.FILTER(O$2:O329, D$2:D329=D330),COUNT(_xlfn._xlws.FILTER(O$2:O329, D$2:D329=D330)))-N330) / O330), J330))</f>
        <v>2350.4398887410193</v>
      </c>
      <c r="Q330" s="1" t="str">
        <f t="shared" si="30"/>
        <v>USD</v>
      </c>
      <c r="R330" s="1" cm="1">
        <f t="array" ref="R330">IF(A330="", "",
    IFERROR(
        _xlfn.SWITCH(
            TRUE,
            AND(Q330="USD", $Q$2="USD"), K330,
            AND(Q330="USD", $Q$2="GBP"), K330*$Z$3,
            AND(Q330="USD", $Q$2="HKD"), K330*$Z$4,
            AND(Q330="USD", $Q$2="EUR"), K330*$Z$5,
            AND(Q330="GBP", $Q$2="GBP"), K330,
            AND(Q330="GBP", $Q$2="USD"), K330*$Z$6,
            AND(Q330="GBP", $Q$2="HKD"), K330*$Z$7,
            AND(Q330="HKG", $Q$2="HKG"), K330,
            AND(Q330="HKD", $Q$2="USD"), K330*$Z$9,
            AND(Q330="HKD", $Q$2="GBP"), K330*$Z$10,
            AND(Q330="HKD", $Q$2="EUR"), K330*$Z$11,
            AND(Q330="EUR", $Q$2="EUR"), K330,
            AND(Q330="EUR", $Q$2="USD"), K330*$Z$12,
            AND(Q330="EUR", $Q$2="GBP"), K330*$Z$13,
            AND(Q330="EUR", $Q$2="HKD"), K330*$Z$14,
        ),
        0
    )
)</f>
        <v>0</v>
      </c>
      <c r="S330" s="1" cm="1">
        <f t="array" ref="S330">IF(A330="", "",
    IFERROR(
        _xlfn.SWITCH(
            TRUE,
            AND(Q330="USD", $Q$2="USD"), M330,
            AND(Q330="USD", $Q$2="GBP"), M330*$Z$3,
            AND(Q330="USD", $Q$2="HKD"), M330*$Z$4,
            AND(Q330="USD", $Q$2="EUR"), M330*$Z$5,
            AND(Q330="GBP", $Q$2="GBP"), M330,
            AND(Q330="GBP", $Q$2="USD"), M330*$Z$6,
            AND(Q330="GBP", $Q$2="HKD"), M330*$Z$7,
            AND(Q330="GBP", $Q$2="HKD"), M330*$Z$8,
            AND(Q330="HKG", $Q$2="HKG"), M330,
            AND(Q330="HKD", $Q$2="USD"), M330*$Z$9,
            AND(Q330="HKD", $Q$2="GBP"), M330*$Z$10,
            AND(Q330="HKD", $Q$2="EUR"), M330*$Z$11,
            AND(Q330="EUR", $Q$2="EUR"), M330,
            AND(Q330="EUR", $Q$2="USD"), M330*$Z$12,
            AND(Q330="EUR", $Q$2="GBP"), M330*$Z$13,
            AND(Q330="EUR", $Q$2="HKD"), M330*$Z$14,
        ),
        0
    )
)</f>
        <v>102.75</v>
      </c>
      <c r="T330" s="1" t="str">
        <f t="shared" si="37"/>
        <v>10</v>
      </c>
      <c r="U330" s="8" t="str">
        <f t="shared" si="38"/>
        <v>02</v>
      </c>
      <c r="V330" s="1" t="str">
        <f t="shared" si="39"/>
        <v>2024</v>
      </c>
      <c r="W330" s="18" t="str">
        <f t="shared" si="40"/>
        <v>星期六</v>
      </c>
    </row>
    <row r="331" spans="1:23">
      <c r="A331" s="17" t="s">
        <v>59</v>
      </c>
      <c r="B331" s="1" t="s">
        <v>348</v>
      </c>
      <c r="C331" s="9">
        <v>45334</v>
      </c>
      <c r="D331" s="1" t="s">
        <v>27</v>
      </c>
      <c r="E331" s="1" t="s">
        <v>28</v>
      </c>
      <c r="F331" s="1" t="s">
        <v>349</v>
      </c>
      <c r="H331" s="1" t="s">
        <v>359</v>
      </c>
      <c r="I331" s="1">
        <v>3.863</v>
      </c>
      <c r="J331" s="27">
        <v>38.909999999999997</v>
      </c>
      <c r="K331" s="1">
        <v>0.5</v>
      </c>
      <c r="M331" s="25">
        <f t="shared" si="36"/>
        <v>150.30932999999999</v>
      </c>
      <c r="N331" s="36">
        <f t="shared" si="35"/>
        <v>0</v>
      </c>
      <c r="O331" s="34">
        <f>IF(ISBLANK(A331),"",SUMIFS(I$3:I331,D$3:D331,D331,H$3:H331,"Buy")+SUMIFS(I$3:I331,D$3:D331,D331,H$3:H331,"Cash Deposit")+SUMIFS(I$3:I331,D$3:D331,D331,H$3:H331,"Crypto Deposit")+SUMIFS(I$3:I331,D$3:D331,D331,H$3:H331,"Airdrop/Rewards")-SUMIFS(I$3:I331,D$3:D331,D331,H$3:H331,"Sell"))</f>
        <v>88.411500000000004</v>
      </c>
      <c r="P331" s="2" cm="1">
        <f t="array" ref="P331">IF(ISBLANK(A331),"",IFERROR(IF(OR(H331="Sell",F331="Stable Coin"),INDEX(_xlfn._xlws.FILTER(P$2:P330, D$2:D330=D331),COUNT(_xlfn._xlws.FILTER(P$2:P330, D$2:D330=D331))),(INDEX(_xlfn._xlws.FILTER(P$2:P330, D$2:D330=D331),COUNT(_xlfn._xlws.FILTER(P$2:P330, D$2:D330=D331)))*INDEX(_xlfn._xlws.FILTER(O$2:O330, D$2:D330=D331),COUNT(_xlfn._xlws.FILTER(O$2:O330, D$2:D330=D331)))-N331) / O331), J331))</f>
        <v>23.278401865129172</v>
      </c>
      <c r="Q331" s="1" t="str">
        <f t="shared" si="30"/>
        <v>USD</v>
      </c>
      <c r="R331" s="1" cm="1">
        <f t="array" ref="R331">IF(A331="", "",
    IFERROR(
        _xlfn.SWITCH(
            TRUE,
            AND(Q331="USD", $Q$2="USD"), K331,
            AND(Q331="USD", $Q$2="GBP"), K331*$Z$3,
            AND(Q331="USD", $Q$2="HKD"), K331*$Z$4,
            AND(Q331="USD", $Q$2="EUR"), K331*$Z$5,
            AND(Q331="GBP", $Q$2="GBP"), K331,
            AND(Q331="GBP", $Q$2="USD"), K331*$Z$6,
            AND(Q331="GBP", $Q$2="HKD"), K331*$Z$7,
            AND(Q331="HKG", $Q$2="HKG"), K331,
            AND(Q331="HKD", $Q$2="USD"), K331*$Z$9,
            AND(Q331="HKD", $Q$2="GBP"), K331*$Z$10,
            AND(Q331="HKD", $Q$2="EUR"), K331*$Z$11,
            AND(Q331="EUR", $Q$2="EUR"), K331,
            AND(Q331="EUR", $Q$2="USD"), K331*$Z$12,
            AND(Q331="EUR", $Q$2="GBP"), K331*$Z$13,
            AND(Q331="EUR", $Q$2="HKD"), K331*$Z$14,
        ),
        0
    )
)</f>
        <v>0.5</v>
      </c>
      <c r="S331" s="1" cm="1">
        <f t="array" ref="S331">IF(A331="", "",
    IFERROR(
        _xlfn.SWITCH(
            TRUE,
            AND(Q331="USD", $Q$2="USD"), M331,
            AND(Q331="USD", $Q$2="GBP"), M331*$Z$3,
            AND(Q331="USD", $Q$2="HKD"), M331*$Z$4,
            AND(Q331="USD", $Q$2="EUR"), M331*$Z$5,
            AND(Q331="GBP", $Q$2="GBP"), M331,
            AND(Q331="GBP", $Q$2="USD"), M331*$Z$6,
            AND(Q331="GBP", $Q$2="HKD"), M331*$Z$7,
            AND(Q331="GBP", $Q$2="HKD"), M331*$Z$8,
            AND(Q331="HKG", $Q$2="HKG"), M331,
            AND(Q331="HKD", $Q$2="USD"), M331*$Z$9,
            AND(Q331="HKD", $Q$2="GBP"), M331*$Z$10,
            AND(Q331="HKD", $Q$2="EUR"), M331*$Z$11,
            AND(Q331="EUR", $Q$2="EUR"), M331,
            AND(Q331="EUR", $Q$2="USD"), M331*$Z$12,
            AND(Q331="EUR", $Q$2="GBP"), M331*$Z$13,
            AND(Q331="EUR", $Q$2="HKD"), M331*$Z$14,
        ),
        0
    )
)</f>
        <v>150.30932999999999</v>
      </c>
      <c r="T331" s="1" t="str">
        <f t="shared" si="37"/>
        <v>12</v>
      </c>
      <c r="U331" s="8" t="str">
        <f t="shared" si="38"/>
        <v>02</v>
      </c>
      <c r="V331" s="1" t="str">
        <f t="shared" si="39"/>
        <v>2024</v>
      </c>
      <c r="W331" s="18" t="str">
        <f t="shared" si="40"/>
        <v>星期一</v>
      </c>
    </row>
    <row r="332" spans="1:23">
      <c r="A332" s="17" t="s">
        <v>59</v>
      </c>
      <c r="B332" s="1" t="s">
        <v>348</v>
      </c>
      <c r="C332" s="9">
        <v>45334</v>
      </c>
      <c r="D332" s="1" t="s">
        <v>353</v>
      </c>
      <c r="E332" s="1" t="s">
        <v>417</v>
      </c>
      <c r="F332" s="1" t="s">
        <v>349</v>
      </c>
      <c r="H332" s="1" t="s">
        <v>367</v>
      </c>
      <c r="I332" s="1">
        <v>8.2932500000000003E-3</v>
      </c>
      <c r="J332" s="27">
        <v>47800</v>
      </c>
      <c r="M332" s="25">
        <f t="shared" ref="M332:M356" si="41">IF(ISBLANK(A332),"",IF(OR(H332="Sell", H332="Cash Withdrawal"), (I332*J332)-K332, I332*J332))</f>
        <v>396.41735</v>
      </c>
      <c r="N332" s="36">
        <f t="shared" si="35"/>
        <v>396.41735</v>
      </c>
      <c r="O332" s="34">
        <f>IF(ISBLANK(A332),"",SUMIFS(I$3:I332,D$3:D332,D332,H$3:H332,"Buy")+SUMIFS(I$3:I332,D$3:D332,D332,H$3:H332,"Cash Deposit")+SUMIFS(I$3:I332,D$3:D332,D332,H$3:H332,"Crypto Deposit")+SUMIFS(I$3:I332,D$3:D332,D332,H$3:H332,"Airdrop/Rewards")-SUMIFS(I$3:I332,D$3:D332,D332,H$3:H332,"Sell"))</f>
        <v>0.28000675000000003</v>
      </c>
      <c r="P332" s="2" cm="1">
        <f t="array" ref="P332">IF(ISBLANK(A332),"",IFERROR(IF(OR(H332="Sell",F332="Stable Coin"),INDEX(_xlfn._xlws.FILTER(P$2:P331, D$2:D331=D332),COUNT(_xlfn._xlws.FILTER(P$2:P331, D$2:D331=D332))),(INDEX(_xlfn._xlws.FILTER(P$2:P331, D$2:D331=D332),COUNT(_xlfn._xlws.FILTER(P$2:P331, D$2:D331=D332)))*INDEX(_xlfn._xlws.FILTER(O$2:O331, D$2:D331=D332),COUNT(_xlfn._xlws.FILTER(O$2:O331, D$2:D331=D332)))-N332) / O332), J332))</f>
        <v>31997.89</v>
      </c>
      <c r="Q332" s="1" t="str">
        <f t="shared" si="30"/>
        <v>USD</v>
      </c>
      <c r="R332" s="1" cm="1">
        <f t="array" ref="R332">IF(A332="", "",
    IFERROR(
        _xlfn.SWITCH(
            TRUE,
            AND(Q332="USD", $Q$2="USD"), K332,
            AND(Q332="USD", $Q$2="GBP"), K332*$Z$3,
            AND(Q332="USD", $Q$2="HKD"), K332*$Z$4,
            AND(Q332="USD", $Q$2="EUR"), K332*$Z$5,
            AND(Q332="GBP", $Q$2="GBP"), K332,
            AND(Q332="GBP", $Q$2="USD"), K332*$Z$6,
            AND(Q332="GBP", $Q$2="HKD"), K332*$Z$7,
            AND(Q332="HKG", $Q$2="HKG"), K332,
            AND(Q332="HKD", $Q$2="USD"), K332*$Z$9,
            AND(Q332="HKD", $Q$2="GBP"), K332*$Z$10,
            AND(Q332="HKD", $Q$2="EUR"), K332*$Z$11,
            AND(Q332="EUR", $Q$2="EUR"), K332,
            AND(Q332="EUR", $Q$2="USD"), K332*$Z$12,
            AND(Q332="EUR", $Q$2="GBP"), K332*$Z$13,
            AND(Q332="EUR", $Q$2="HKD"), K332*$Z$14,
        ),
        0
    )
)</f>
        <v>0</v>
      </c>
      <c r="S332" s="1" cm="1">
        <f t="array" ref="S332">IF(A332="", "",
    IFERROR(
        _xlfn.SWITCH(
            TRUE,
            AND(Q332="USD", $Q$2="USD"), M332,
            AND(Q332="USD", $Q$2="GBP"), M332*$Z$3,
            AND(Q332="USD", $Q$2="HKD"), M332*$Z$4,
            AND(Q332="USD", $Q$2="EUR"), M332*$Z$5,
            AND(Q332="GBP", $Q$2="GBP"), M332,
            AND(Q332="GBP", $Q$2="USD"), M332*$Z$6,
            AND(Q332="GBP", $Q$2="HKD"), M332*$Z$7,
            AND(Q332="GBP", $Q$2="HKD"), M332*$Z$8,
            AND(Q332="HKG", $Q$2="HKG"), M332,
            AND(Q332="HKD", $Q$2="USD"), M332*$Z$9,
            AND(Q332="HKD", $Q$2="GBP"), M332*$Z$10,
            AND(Q332="HKD", $Q$2="EUR"), M332*$Z$11,
            AND(Q332="EUR", $Q$2="EUR"), M332,
            AND(Q332="EUR", $Q$2="USD"), M332*$Z$12,
            AND(Q332="EUR", $Q$2="GBP"), M332*$Z$13,
            AND(Q332="EUR", $Q$2="HKD"), M332*$Z$14,
        ),
        0
    )
)</f>
        <v>396.41735</v>
      </c>
      <c r="T332" s="1" t="str">
        <f t="shared" si="37"/>
        <v>12</v>
      </c>
      <c r="U332" s="8" t="str">
        <f t="shared" si="38"/>
        <v>02</v>
      </c>
      <c r="V332" s="1" t="str">
        <f t="shared" si="39"/>
        <v>2024</v>
      </c>
      <c r="W332" s="18" t="str">
        <f t="shared" si="40"/>
        <v>星期一</v>
      </c>
    </row>
    <row r="333" spans="1:23">
      <c r="A333" s="17" t="s">
        <v>59</v>
      </c>
      <c r="B333" s="1" t="s">
        <v>348</v>
      </c>
      <c r="C333" s="9">
        <v>45334</v>
      </c>
      <c r="D333" s="1" t="s">
        <v>27</v>
      </c>
      <c r="E333" s="1" t="s">
        <v>28</v>
      </c>
      <c r="F333" s="1" t="s">
        <v>349</v>
      </c>
      <c r="H333" s="1" t="s">
        <v>347</v>
      </c>
      <c r="I333" s="1">
        <v>10.199999999999999</v>
      </c>
      <c r="J333" s="27">
        <v>38.845098</v>
      </c>
      <c r="K333" s="1">
        <v>0.2</v>
      </c>
      <c r="M333" s="25">
        <f t="shared" si="41"/>
        <v>396.21999959999999</v>
      </c>
      <c r="N333" s="36">
        <f t="shared" si="35"/>
        <v>-396.21999959999999</v>
      </c>
      <c r="O333" s="34">
        <f>IF(ISBLANK(A333),"",SUMIFS(I$3:I333,D$3:D333,D333,H$3:H333,"Buy")+SUMIFS(I$3:I333,D$3:D333,D333,H$3:H333,"Cash Deposit")+SUMIFS(I$3:I333,D$3:D333,D333,H$3:H333,"Crypto Deposit")+SUMIFS(I$3:I333,D$3:D333,D333,H$3:H333,"Airdrop/Rewards")-SUMIFS(I$3:I333,D$3:D333,D333,H$3:H333,"Sell"))</f>
        <v>98.611500000000007</v>
      </c>
      <c r="P333" s="2" cm="1">
        <f t="array" ref="P333">IF(ISBLANK(A333),"",IFERROR(IF(OR(H333="Sell",F333="Stable Coin"),INDEX(_xlfn._xlws.FILTER(P$2:P332, D$2:D332=D333),COUNT(_xlfn._xlws.FILTER(P$2:P332, D$2:D332=D333))),(INDEX(_xlfn._xlws.FILTER(P$2:P332, D$2:D332=D333),COUNT(_xlfn._xlws.FILTER(P$2:P332, D$2:D332=D333)))*INDEX(_xlfn._xlws.FILTER(O$2:O332, D$2:D332=D333),COUNT(_xlfn._xlws.FILTER(O$2:O332, D$2:D332=D333)))-N333) / O333), J333))</f>
        <v>24.888561943575219</v>
      </c>
      <c r="Q333" s="1" t="str">
        <f t="shared" si="30"/>
        <v>USD</v>
      </c>
      <c r="R333" s="1" cm="1">
        <f t="array" ref="R333">IF(A333="", "",
    IFERROR(
        _xlfn.SWITCH(
            TRUE,
            AND(Q333="USD", $Q$2="USD"), K333,
            AND(Q333="USD", $Q$2="GBP"), K333*$Z$3,
            AND(Q333="USD", $Q$2="HKD"), K333*$Z$4,
            AND(Q333="USD", $Q$2="EUR"), K333*$Z$5,
            AND(Q333="GBP", $Q$2="GBP"), K333,
            AND(Q333="GBP", $Q$2="USD"), K333*$Z$6,
            AND(Q333="GBP", $Q$2="HKD"), K333*$Z$7,
            AND(Q333="HKG", $Q$2="HKG"), K333,
            AND(Q333="HKD", $Q$2="USD"), K333*$Z$9,
            AND(Q333="HKD", $Q$2="GBP"), K333*$Z$10,
            AND(Q333="HKD", $Q$2="EUR"), K333*$Z$11,
            AND(Q333="EUR", $Q$2="EUR"), K333,
            AND(Q333="EUR", $Q$2="USD"), K333*$Z$12,
            AND(Q333="EUR", $Q$2="GBP"), K333*$Z$13,
            AND(Q333="EUR", $Q$2="HKD"), K333*$Z$14,
        ),
        0
    )
)</f>
        <v>0.2</v>
      </c>
      <c r="S333" s="1" cm="1">
        <f t="array" ref="S333">IF(A333="", "",
    IFERROR(
        _xlfn.SWITCH(
            TRUE,
            AND(Q333="USD", $Q$2="USD"), M333,
            AND(Q333="USD", $Q$2="GBP"), M333*$Z$3,
            AND(Q333="USD", $Q$2="HKD"), M333*$Z$4,
            AND(Q333="USD", $Q$2="EUR"), M333*$Z$5,
            AND(Q333="GBP", $Q$2="GBP"), M333,
            AND(Q333="GBP", $Q$2="USD"), M333*$Z$6,
            AND(Q333="GBP", $Q$2="HKD"), M333*$Z$7,
            AND(Q333="GBP", $Q$2="HKD"), M333*$Z$8,
            AND(Q333="HKG", $Q$2="HKG"), M333,
            AND(Q333="HKD", $Q$2="USD"), M333*$Z$9,
            AND(Q333="HKD", $Q$2="GBP"), M333*$Z$10,
            AND(Q333="HKD", $Q$2="EUR"), M333*$Z$11,
            AND(Q333="EUR", $Q$2="EUR"), M333,
            AND(Q333="EUR", $Q$2="USD"), M333*$Z$12,
            AND(Q333="EUR", $Q$2="GBP"), M333*$Z$13,
            AND(Q333="EUR", $Q$2="HKD"), M333*$Z$14,
        ),
        0
    )
)</f>
        <v>396.21999959999999</v>
      </c>
      <c r="T333" s="1" t="str">
        <f t="shared" si="37"/>
        <v>12</v>
      </c>
      <c r="U333" s="8" t="str">
        <f t="shared" si="38"/>
        <v>02</v>
      </c>
      <c r="V333" s="1" t="str">
        <f t="shared" si="39"/>
        <v>2024</v>
      </c>
      <c r="W333" s="18" t="str">
        <f t="shared" si="40"/>
        <v>星期一</v>
      </c>
    </row>
    <row r="334" spans="1:23">
      <c r="A334" s="17" t="s">
        <v>22</v>
      </c>
      <c r="B334" s="1" t="s">
        <v>348</v>
      </c>
      <c r="C334" s="9">
        <v>45334</v>
      </c>
      <c r="D334" s="1" t="s">
        <v>364</v>
      </c>
      <c r="E334" s="1" t="s">
        <v>114</v>
      </c>
      <c r="F334" s="1" t="s">
        <v>346</v>
      </c>
      <c r="H334" s="1" t="s">
        <v>367</v>
      </c>
      <c r="I334" s="1">
        <v>247.7</v>
      </c>
      <c r="J334" s="27">
        <v>1</v>
      </c>
      <c r="M334" s="25">
        <f t="shared" si="41"/>
        <v>247.7</v>
      </c>
      <c r="N334" s="36">
        <f t="shared" si="35"/>
        <v>247.7</v>
      </c>
      <c r="O334" s="34">
        <f>IF(ISBLANK(A334),"",SUMIFS(I$3:I334,D$3:D334,D334,H$3:H334,"Buy")+SUMIFS(I$3:I334,D$3:D334,D334,H$3:H334,"Cash Deposit")+SUMIFS(I$3:I334,D$3:D334,D334,H$3:H334,"Crypto Deposit")+SUMIFS(I$3:I334,D$3:D334,D334,H$3:H334,"Airdrop/Rewards")-SUMIFS(I$3:I334,D$3:D334,D334,H$3:H334,"Sell"))</f>
        <v>4306.8606550803815</v>
      </c>
      <c r="P334" s="2" cm="1">
        <f t="array" ref="P334">IF(ISBLANK(A334),"",IFERROR(IF(OR(H334="Sell",F334="Stable Coin"),INDEX(_xlfn._xlws.FILTER(P$2:P333, D$2:D333=D334),COUNT(_xlfn._xlws.FILTER(P$2:P333, D$2:D333=D334))),(INDEX(_xlfn._xlws.FILTER(P$2:P333, D$2:D333=D334),COUNT(_xlfn._xlws.FILTER(P$2:P333, D$2:D333=D334)))*INDEX(_xlfn._xlws.FILTER(O$2:O333, D$2:D333=D334),COUNT(_xlfn._xlws.FILTER(O$2:O333, D$2:D333=D334)))-N334) / O334), J334))</f>
        <v>1</v>
      </c>
      <c r="Q334" s="1" t="str">
        <f t="shared" si="30"/>
        <v>USD</v>
      </c>
      <c r="R334" s="1" cm="1">
        <f t="array" ref="R334">IF(A334="", "",
    IFERROR(
        _xlfn.SWITCH(
            TRUE,
            AND(Q334="USD", $Q$2="USD"), K334,
            AND(Q334="USD", $Q$2="GBP"), K334*$Z$3,
            AND(Q334="USD", $Q$2="HKD"), K334*$Z$4,
            AND(Q334="USD", $Q$2="EUR"), K334*$Z$5,
            AND(Q334="GBP", $Q$2="GBP"), K334,
            AND(Q334="GBP", $Q$2="USD"), K334*$Z$6,
            AND(Q334="GBP", $Q$2="HKD"), K334*$Z$7,
            AND(Q334="HKG", $Q$2="HKG"), K334,
            AND(Q334="HKD", $Q$2="USD"), K334*$Z$9,
            AND(Q334="HKD", $Q$2="GBP"), K334*$Z$10,
            AND(Q334="HKD", $Q$2="EUR"), K334*$Z$11,
            AND(Q334="EUR", $Q$2="EUR"), K334,
            AND(Q334="EUR", $Q$2="USD"), K334*$Z$12,
            AND(Q334="EUR", $Q$2="GBP"), K334*$Z$13,
            AND(Q334="EUR", $Q$2="HKD"), K334*$Z$14,
        ),
        0
    )
)</f>
        <v>0</v>
      </c>
      <c r="S334" s="1" cm="1">
        <f t="array" ref="S334">IF(A334="", "",
    IFERROR(
        _xlfn.SWITCH(
            TRUE,
            AND(Q334="USD", $Q$2="USD"), M334,
            AND(Q334="USD", $Q$2="GBP"), M334*$Z$3,
            AND(Q334="USD", $Q$2="HKD"), M334*$Z$4,
            AND(Q334="USD", $Q$2="EUR"), M334*$Z$5,
            AND(Q334="GBP", $Q$2="GBP"), M334,
            AND(Q334="GBP", $Q$2="USD"), M334*$Z$6,
            AND(Q334="GBP", $Q$2="HKD"), M334*$Z$7,
            AND(Q334="GBP", $Q$2="HKD"), M334*$Z$8,
            AND(Q334="HKG", $Q$2="HKG"), M334,
            AND(Q334="HKD", $Q$2="USD"), M334*$Z$9,
            AND(Q334="HKD", $Q$2="GBP"), M334*$Z$10,
            AND(Q334="HKD", $Q$2="EUR"), M334*$Z$11,
            AND(Q334="EUR", $Q$2="EUR"), M334,
            AND(Q334="EUR", $Q$2="USD"), M334*$Z$12,
            AND(Q334="EUR", $Q$2="GBP"), M334*$Z$13,
            AND(Q334="EUR", $Q$2="HKD"), M334*$Z$14,
        ),
        0
    )
)</f>
        <v>247.7</v>
      </c>
      <c r="T334" s="1" t="str">
        <f t="shared" si="37"/>
        <v>12</v>
      </c>
      <c r="U334" s="8" t="str">
        <f t="shared" si="38"/>
        <v>02</v>
      </c>
      <c r="V334" s="1" t="str">
        <f t="shared" si="39"/>
        <v>2024</v>
      </c>
      <c r="W334" s="18" t="str">
        <f t="shared" si="40"/>
        <v>星期一</v>
      </c>
    </row>
    <row r="335" spans="1:23">
      <c r="A335" s="17" t="s">
        <v>22</v>
      </c>
      <c r="B335" s="1" t="s">
        <v>348</v>
      </c>
      <c r="C335" s="9">
        <v>45334</v>
      </c>
      <c r="D335" s="1" t="s">
        <v>23</v>
      </c>
      <c r="E335" s="1" t="s">
        <v>24</v>
      </c>
      <c r="F335" s="1" t="s">
        <v>349</v>
      </c>
      <c r="H335" s="1" t="s">
        <v>347</v>
      </c>
      <c r="I335" s="1">
        <v>0.1</v>
      </c>
      <c r="J335" s="27">
        <v>2477</v>
      </c>
      <c r="K335" s="1">
        <v>0.03</v>
      </c>
      <c r="M335" s="25">
        <f t="shared" si="41"/>
        <v>247.70000000000002</v>
      </c>
      <c r="N335" s="36">
        <f t="shared" si="35"/>
        <v>-247.70000000000002</v>
      </c>
      <c r="O335" s="34">
        <f>IF(ISBLANK(A335),"",SUMIFS(I$3:I335,D$3:D335,D335,H$3:H335,"Buy")+SUMIFS(I$3:I335,D$3:D335,D335,H$3:H335,"Cash Deposit")+SUMIFS(I$3:I335,D$3:D335,D335,H$3:H335,"Crypto Deposit")+SUMIFS(I$3:I335,D$3:D335,D335,H$3:H335,"Airdrop/Rewards")-SUMIFS(I$3:I335,D$3:D335,D335,H$3:H335,"Sell"))</f>
        <v>10.36990112</v>
      </c>
      <c r="P335" s="2" cm="1">
        <f t="array" ref="P335">IF(ISBLANK(A335),"",IFERROR(IF(OR(H335="Sell",F335="Stable Coin"),INDEX(_xlfn._xlws.FILTER(P$2:P334, D$2:D334=D335),COUNT(_xlfn._xlws.FILTER(P$2:P334, D$2:D334=D335))),(INDEX(_xlfn._xlws.FILTER(P$2:P334, D$2:D334=D335),COUNT(_xlfn._xlws.FILTER(P$2:P334, D$2:D334=D335)))*INDEX(_xlfn._xlws.FILTER(O$2:O334, D$2:D334=D335),COUNT(_xlfn._xlws.FILTER(O$2:O334, D$2:D334=D335)))-N335) / O335), J335))</f>
        <v>2351.6603450384755</v>
      </c>
      <c r="Q335" s="1" t="str">
        <f t="shared" si="30"/>
        <v>USD</v>
      </c>
      <c r="R335" s="1" cm="1">
        <f t="array" ref="R335">IF(A335="", "",
    IFERROR(
        _xlfn.SWITCH(
            TRUE,
            AND(Q335="USD", $Q$2="USD"), K335,
            AND(Q335="USD", $Q$2="GBP"), K335*$Z$3,
            AND(Q335="USD", $Q$2="HKD"), K335*$Z$4,
            AND(Q335="USD", $Q$2="EUR"), K335*$Z$5,
            AND(Q335="GBP", $Q$2="GBP"), K335,
            AND(Q335="GBP", $Q$2="USD"), K335*$Z$6,
            AND(Q335="GBP", $Q$2="HKD"), K335*$Z$7,
            AND(Q335="HKG", $Q$2="HKG"), K335,
            AND(Q335="HKD", $Q$2="USD"), K335*$Z$9,
            AND(Q335="HKD", $Q$2="GBP"), K335*$Z$10,
            AND(Q335="HKD", $Q$2="EUR"), K335*$Z$11,
            AND(Q335="EUR", $Q$2="EUR"), K335,
            AND(Q335="EUR", $Q$2="USD"), K335*$Z$12,
            AND(Q335="EUR", $Q$2="GBP"), K335*$Z$13,
            AND(Q335="EUR", $Q$2="HKD"), K335*$Z$14,
        ),
        0
    )
)</f>
        <v>0.03</v>
      </c>
      <c r="S335" s="1" cm="1">
        <f t="array" ref="S335">IF(A335="", "",
    IFERROR(
        _xlfn.SWITCH(
            TRUE,
            AND(Q335="USD", $Q$2="USD"), M335,
            AND(Q335="USD", $Q$2="GBP"), M335*$Z$3,
            AND(Q335="USD", $Q$2="HKD"), M335*$Z$4,
            AND(Q335="USD", $Q$2="EUR"), M335*$Z$5,
            AND(Q335="GBP", $Q$2="GBP"), M335,
            AND(Q335="GBP", $Q$2="USD"), M335*$Z$6,
            AND(Q335="GBP", $Q$2="HKD"), M335*$Z$7,
            AND(Q335="GBP", $Q$2="HKD"), M335*$Z$8,
            AND(Q335="HKG", $Q$2="HKG"), M335,
            AND(Q335="HKD", $Q$2="USD"), M335*$Z$9,
            AND(Q335="HKD", $Q$2="GBP"), M335*$Z$10,
            AND(Q335="HKD", $Q$2="EUR"), M335*$Z$11,
            AND(Q335="EUR", $Q$2="EUR"), M335,
            AND(Q335="EUR", $Q$2="USD"), M335*$Z$12,
            AND(Q335="EUR", $Q$2="GBP"), M335*$Z$13,
            AND(Q335="EUR", $Q$2="HKD"), M335*$Z$14,
        ),
        0
    )
)</f>
        <v>247.70000000000002</v>
      </c>
      <c r="T335" s="1" t="str">
        <f t="shared" si="37"/>
        <v>12</v>
      </c>
      <c r="U335" s="8" t="str">
        <f t="shared" si="38"/>
        <v>02</v>
      </c>
      <c r="V335" s="1" t="str">
        <f t="shared" si="39"/>
        <v>2024</v>
      </c>
      <c r="W335" s="18" t="str">
        <f t="shared" si="40"/>
        <v>星期一</v>
      </c>
    </row>
    <row r="336" spans="1:23">
      <c r="A336" s="17" t="s">
        <v>6</v>
      </c>
      <c r="B336" s="1" t="s">
        <v>348</v>
      </c>
      <c r="C336" s="9">
        <v>45337</v>
      </c>
      <c r="D336" s="1" t="s">
        <v>47</v>
      </c>
      <c r="E336" s="1" t="s">
        <v>4</v>
      </c>
      <c r="F336" s="1" t="s">
        <v>349</v>
      </c>
      <c r="H336" s="1" t="s">
        <v>367</v>
      </c>
      <c r="I336" s="1">
        <v>5.79599E-3</v>
      </c>
      <c r="J336" s="27">
        <v>51960</v>
      </c>
      <c r="K336" s="1">
        <v>0.08</v>
      </c>
      <c r="M336" s="25">
        <f t="shared" si="41"/>
        <v>301.07964040000002</v>
      </c>
      <c r="N336" s="36">
        <f t="shared" si="35"/>
        <v>301.1596404</v>
      </c>
      <c r="O336" s="34">
        <f>IF(ISBLANK(A336),"",SUMIFS(I$3:I336,D$3:D336,D336,H$3:H336,"Buy")+SUMIFS(I$3:I336,D$3:D336,D336,H$3:H336,"Cash Deposit")+SUMIFS(I$3:I336,D$3:D336,D336,H$3:H336,"Crypto Deposit")+SUMIFS(I$3:I336,D$3:D336,D336,H$3:H336,"Airdrop/Rewards")-SUMIFS(I$3:I336,D$3:D336,D336,H$3:H336,"Sell"))</f>
        <v>0.32334382999999994</v>
      </c>
      <c r="P336" s="2" cm="1">
        <f t="array" ref="P336">IF(ISBLANK(A336),"",IFERROR(IF(OR(H336="Sell",F336="Stable Coin"),INDEX(_xlfn._xlws.FILTER(P$2:P335, D$2:D335=D336),COUNT(_xlfn._xlws.FILTER(P$2:P335, D$2:D335=D336))),(INDEX(_xlfn._xlws.FILTER(P$2:P335, D$2:D335=D336),COUNT(_xlfn._xlws.FILTER(P$2:P335, D$2:D335=D336)))*INDEX(_xlfn._xlws.FILTER(O$2:O335, D$2:D335=D336),COUNT(_xlfn._xlws.FILTER(O$2:O335, D$2:D335=D336)))-N336) / O336), J336))</f>
        <v>32351.210133322686</v>
      </c>
      <c r="Q336" s="1" t="str">
        <f t="shared" si="30"/>
        <v>USD</v>
      </c>
      <c r="R336" s="1" cm="1">
        <f t="array" ref="R336">IF(A336="", "",
    IFERROR(
        _xlfn.SWITCH(
            TRUE,
            AND(Q336="USD", $Q$2="USD"), K336,
            AND(Q336="USD", $Q$2="GBP"), K336*$Z$3,
            AND(Q336="USD", $Q$2="HKD"), K336*$Z$4,
            AND(Q336="USD", $Q$2="EUR"), K336*$Z$5,
            AND(Q336="GBP", $Q$2="GBP"), K336,
            AND(Q336="GBP", $Q$2="USD"), K336*$Z$6,
            AND(Q336="GBP", $Q$2="HKD"), K336*$Z$7,
            AND(Q336="HKG", $Q$2="HKG"), K336,
            AND(Q336="HKD", $Q$2="USD"), K336*$Z$9,
            AND(Q336="HKD", $Q$2="GBP"), K336*$Z$10,
            AND(Q336="HKD", $Q$2="EUR"), K336*$Z$11,
            AND(Q336="EUR", $Q$2="EUR"), K336,
            AND(Q336="EUR", $Q$2="USD"), K336*$Z$12,
            AND(Q336="EUR", $Q$2="GBP"), K336*$Z$13,
            AND(Q336="EUR", $Q$2="HKD"), K336*$Z$14,
        ),
        0
    )
)</f>
        <v>0.08</v>
      </c>
      <c r="S336" s="1" cm="1">
        <f t="array" ref="S336">IF(A336="", "",
    IFERROR(
        _xlfn.SWITCH(
            TRUE,
            AND(Q336="USD", $Q$2="USD"), M336,
            AND(Q336="USD", $Q$2="GBP"), M336*$Z$3,
            AND(Q336="USD", $Q$2="HKD"), M336*$Z$4,
            AND(Q336="USD", $Q$2="EUR"), M336*$Z$5,
            AND(Q336="GBP", $Q$2="GBP"), M336,
            AND(Q336="GBP", $Q$2="USD"), M336*$Z$6,
            AND(Q336="GBP", $Q$2="HKD"), M336*$Z$7,
            AND(Q336="GBP", $Q$2="HKD"), M336*$Z$8,
            AND(Q336="HKG", $Q$2="HKG"), M336,
            AND(Q336="HKD", $Q$2="USD"), M336*$Z$9,
            AND(Q336="HKD", $Q$2="GBP"), M336*$Z$10,
            AND(Q336="HKD", $Q$2="EUR"), M336*$Z$11,
            AND(Q336="EUR", $Q$2="EUR"), M336,
            AND(Q336="EUR", $Q$2="USD"), M336*$Z$12,
            AND(Q336="EUR", $Q$2="GBP"), M336*$Z$13,
            AND(Q336="EUR", $Q$2="HKD"), M336*$Z$14,
        ),
        0
    )
)</f>
        <v>301.07964040000002</v>
      </c>
      <c r="T336" s="1" t="str">
        <f t="shared" si="37"/>
        <v>15</v>
      </c>
      <c r="U336" s="8" t="str">
        <f t="shared" si="38"/>
        <v>02</v>
      </c>
      <c r="V336" s="1" t="str">
        <f t="shared" si="39"/>
        <v>2024</v>
      </c>
      <c r="W336" s="18" t="str">
        <f t="shared" si="40"/>
        <v>星期四</v>
      </c>
    </row>
    <row r="337" spans="1:23">
      <c r="A337" s="17" t="s">
        <v>6</v>
      </c>
      <c r="B337" s="1" t="s">
        <v>348</v>
      </c>
      <c r="C337" s="9">
        <v>45337</v>
      </c>
      <c r="D337" s="1" t="s">
        <v>49</v>
      </c>
      <c r="E337" s="1" t="s">
        <v>38</v>
      </c>
      <c r="F337" s="1" t="s">
        <v>349</v>
      </c>
      <c r="H337" s="1" t="s">
        <v>347</v>
      </c>
      <c r="I337" s="1">
        <v>15</v>
      </c>
      <c r="J337" s="27">
        <f>N336/I337</f>
        <v>20.077309360000001</v>
      </c>
      <c r="M337" s="25">
        <f t="shared" si="41"/>
        <v>301.1596404</v>
      </c>
      <c r="N337" s="36">
        <f t="shared" si="35"/>
        <v>-301.1596404</v>
      </c>
      <c r="O337" s="34">
        <f>IF(ISBLANK(A337),"",SUMIFS(I$3:I337,D$3:D337,D337,H$3:H337,"Buy")+SUMIFS(I$3:I337,D$3:D337,D337,H$3:H337,"Cash Deposit")+SUMIFS(I$3:I337,D$3:D337,D337,H$3:H337,"Crypto Deposit")+SUMIFS(I$3:I337,D$3:D337,D337,H$3:H337,"Airdrop/Rewards")-SUMIFS(I$3:I337,D$3:D337,D337,H$3:H337,"Sell"))</f>
        <v>70.46181</v>
      </c>
      <c r="P337" s="2" cm="1">
        <f t="array" ref="P337">IF(ISBLANK(A337),"",IFERROR(IF(OR(H337="Sell",F337="Stable Coin"),INDEX(_xlfn._xlws.FILTER(P$2:P336, D$2:D336=D337),COUNT(_xlfn._xlws.FILTER(P$2:P336, D$2:D336=D337))),(INDEX(_xlfn._xlws.FILTER(P$2:P336, D$2:D336=D337),COUNT(_xlfn._xlws.FILTER(P$2:P336, D$2:D336=D337)))*INDEX(_xlfn._xlws.FILTER(O$2:O336, D$2:D336=D337),COUNT(_xlfn._xlws.FILTER(O$2:O336, D$2:D336=D337)))-N337) / O337), J337))</f>
        <v>18.586774092081555</v>
      </c>
      <c r="Q337" s="1" t="str">
        <f t="shared" si="30"/>
        <v>USD</v>
      </c>
      <c r="R337" s="1" cm="1">
        <f t="array" ref="R337">IF(A337="", "",
    IFERROR(
        _xlfn.SWITCH(
            TRUE,
            AND(Q337="USD", $Q$2="USD"), K337,
            AND(Q337="USD", $Q$2="GBP"), K337*$Z$3,
            AND(Q337="USD", $Q$2="HKD"), K337*$Z$4,
            AND(Q337="USD", $Q$2="EUR"), K337*$Z$5,
            AND(Q337="GBP", $Q$2="GBP"), K337,
            AND(Q337="GBP", $Q$2="USD"), K337*$Z$6,
            AND(Q337="GBP", $Q$2="HKD"), K337*$Z$7,
            AND(Q337="HKG", $Q$2="HKG"), K337,
            AND(Q337="HKD", $Q$2="USD"), K337*$Z$9,
            AND(Q337="HKD", $Q$2="GBP"), K337*$Z$10,
            AND(Q337="HKD", $Q$2="EUR"), K337*$Z$11,
            AND(Q337="EUR", $Q$2="EUR"), K337,
            AND(Q337="EUR", $Q$2="USD"), K337*$Z$12,
            AND(Q337="EUR", $Q$2="GBP"), K337*$Z$13,
            AND(Q337="EUR", $Q$2="HKD"), K337*$Z$14,
        ),
        0
    )
)</f>
        <v>0</v>
      </c>
      <c r="S337" s="1" cm="1">
        <f t="array" ref="S337">IF(A337="", "",
    IFERROR(
        _xlfn.SWITCH(
            TRUE,
            AND(Q337="USD", $Q$2="USD"), M337,
            AND(Q337="USD", $Q$2="GBP"), M337*$Z$3,
            AND(Q337="USD", $Q$2="HKD"), M337*$Z$4,
            AND(Q337="USD", $Q$2="EUR"), M337*$Z$5,
            AND(Q337="GBP", $Q$2="GBP"), M337,
            AND(Q337="GBP", $Q$2="USD"), M337*$Z$6,
            AND(Q337="GBP", $Q$2="HKD"), M337*$Z$7,
            AND(Q337="GBP", $Q$2="HKD"), M337*$Z$8,
            AND(Q337="HKG", $Q$2="HKG"), M337,
            AND(Q337="HKD", $Q$2="USD"), M337*$Z$9,
            AND(Q337="HKD", $Q$2="GBP"), M337*$Z$10,
            AND(Q337="HKD", $Q$2="EUR"), M337*$Z$11,
            AND(Q337="EUR", $Q$2="EUR"), M337,
            AND(Q337="EUR", $Q$2="USD"), M337*$Z$12,
            AND(Q337="EUR", $Q$2="GBP"), M337*$Z$13,
            AND(Q337="EUR", $Q$2="HKD"), M337*$Z$14,
        ),
        0
    )
)</f>
        <v>301.1596404</v>
      </c>
      <c r="T337" s="1" t="str">
        <f t="shared" si="37"/>
        <v>15</v>
      </c>
      <c r="U337" s="8" t="str">
        <f t="shared" si="38"/>
        <v>02</v>
      </c>
      <c r="V337" s="1" t="str">
        <f t="shared" si="39"/>
        <v>2024</v>
      </c>
      <c r="W337" s="18" t="str">
        <f t="shared" si="40"/>
        <v>星期四</v>
      </c>
    </row>
    <row r="338" spans="1:23">
      <c r="A338" s="17" t="s">
        <v>6</v>
      </c>
      <c r="B338" s="1" t="s">
        <v>348</v>
      </c>
      <c r="C338" s="9">
        <v>45341</v>
      </c>
      <c r="D338" s="1" t="s">
        <v>537</v>
      </c>
      <c r="E338" s="1" t="s">
        <v>533</v>
      </c>
      <c r="F338" s="1" t="s">
        <v>349</v>
      </c>
      <c r="H338" s="1" t="s">
        <v>359</v>
      </c>
      <c r="I338" s="1">
        <v>181</v>
      </c>
      <c r="J338" s="27">
        <v>0.49859999999999999</v>
      </c>
      <c r="K338" s="1">
        <v>0.06</v>
      </c>
      <c r="M338" s="25">
        <f t="shared" si="41"/>
        <v>90.246600000000001</v>
      </c>
      <c r="N338" s="36">
        <f t="shared" si="35"/>
        <v>0</v>
      </c>
      <c r="O338" s="34">
        <f>IF(ISBLANK(A338),"",SUMIFS(I$3:I338,D$3:D338,D338,H$3:H338,"Buy")+SUMIFS(I$3:I338,D$3:D338,D338,H$3:H338,"Cash Deposit")+SUMIFS(I$3:I338,D$3:D338,D338,H$3:H338,"Crypto Deposit")+SUMIFS(I$3:I338,D$3:D338,D338,H$3:H338,"Airdrop/Rewards")-SUMIFS(I$3:I338,D$3:D338,D338,H$3:H338,"Sell"))</f>
        <v>181</v>
      </c>
      <c r="P338" s="2" cm="1">
        <f t="array" ref="P338">IF(ISBLANK(A338),"",IFERROR(IF(OR(H338="Sell",F338="Stable Coin"),INDEX(_xlfn._xlws.FILTER(P$2:P337, D$2:D337=D338),COUNT(_xlfn._xlws.FILTER(P$2:P337, D$2:D337=D338))),(INDEX(_xlfn._xlws.FILTER(P$2:P337, D$2:D337=D338),COUNT(_xlfn._xlws.FILTER(P$2:P337, D$2:D337=D338)))*INDEX(_xlfn._xlws.FILTER(O$2:O337, D$2:D337=D338),COUNT(_xlfn._xlws.FILTER(O$2:O337, D$2:D337=D338)))-N338) / O338), J338))</f>
        <v>0.49859999999999999</v>
      </c>
      <c r="Q338" s="1" t="str">
        <f t="shared" si="30"/>
        <v>USD</v>
      </c>
      <c r="R338" s="1" cm="1">
        <f t="array" ref="R338">IF(A338="", "",
    IFERROR(
        _xlfn.SWITCH(
            TRUE,
            AND(Q338="USD", $Q$2="USD"), K338,
            AND(Q338="USD", $Q$2="GBP"), K338*$Z$3,
            AND(Q338="USD", $Q$2="HKD"), K338*$Z$4,
            AND(Q338="USD", $Q$2="EUR"), K338*$Z$5,
            AND(Q338="GBP", $Q$2="GBP"), K338,
            AND(Q338="GBP", $Q$2="USD"), K338*$Z$6,
            AND(Q338="GBP", $Q$2="HKD"), K338*$Z$7,
            AND(Q338="HKG", $Q$2="HKG"), K338,
            AND(Q338="HKD", $Q$2="USD"), K338*$Z$9,
            AND(Q338="HKD", $Q$2="GBP"), K338*$Z$10,
            AND(Q338="HKD", $Q$2="EUR"), K338*$Z$11,
            AND(Q338="EUR", $Q$2="EUR"), K338,
            AND(Q338="EUR", $Q$2="USD"), K338*$Z$12,
            AND(Q338="EUR", $Q$2="GBP"), K338*$Z$13,
            AND(Q338="EUR", $Q$2="HKD"), K338*$Z$14,
        ),
        0
    )
)</f>
        <v>0.06</v>
      </c>
      <c r="S338" s="1" cm="1">
        <f t="array" ref="S338">IF(A338="", "",
    IFERROR(
        _xlfn.SWITCH(
            TRUE,
            AND(Q338="USD", $Q$2="USD"), M338,
            AND(Q338="USD", $Q$2="GBP"), M338*$Z$3,
            AND(Q338="USD", $Q$2="HKD"), M338*$Z$4,
            AND(Q338="USD", $Q$2="EUR"), M338*$Z$5,
            AND(Q338="GBP", $Q$2="GBP"), M338,
            AND(Q338="GBP", $Q$2="USD"), M338*$Z$6,
            AND(Q338="GBP", $Q$2="HKD"), M338*$Z$7,
            AND(Q338="GBP", $Q$2="HKD"), M338*$Z$8,
            AND(Q338="HKG", $Q$2="HKG"), M338,
            AND(Q338="HKD", $Q$2="USD"), M338*$Z$9,
            AND(Q338="HKD", $Q$2="GBP"), M338*$Z$10,
            AND(Q338="HKD", $Q$2="EUR"), M338*$Z$11,
            AND(Q338="EUR", $Q$2="EUR"), M338,
            AND(Q338="EUR", $Q$2="USD"), M338*$Z$12,
            AND(Q338="EUR", $Q$2="GBP"), M338*$Z$13,
            AND(Q338="EUR", $Q$2="HKD"), M338*$Z$14,
        ),
        0
    )
)</f>
        <v>90.246600000000001</v>
      </c>
      <c r="T338" s="1" t="str">
        <f t="shared" si="37"/>
        <v>19</v>
      </c>
      <c r="U338" s="8" t="str">
        <f t="shared" si="38"/>
        <v>02</v>
      </c>
      <c r="V338" s="1" t="str">
        <f t="shared" si="39"/>
        <v>2024</v>
      </c>
      <c r="W338" s="18" t="str">
        <f t="shared" si="40"/>
        <v>星期一</v>
      </c>
    </row>
    <row r="339" spans="1:23">
      <c r="A339" s="17" t="s">
        <v>6</v>
      </c>
      <c r="B339" s="1" t="s">
        <v>348</v>
      </c>
      <c r="C339" s="9">
        <v>45341</v>
      </c>
      <c r="D339" s="1" t="s">
        <v>537</v>
      </c>
      <c r="E339" s="1" t="s">
        <v>533</v>
      </c>
      <c r="F339" s="1" t="s">
        <v>349</v>
      </c>
      <c r="H339" s="1" t="s">
        <v>367</v>
      </c>
      <c r="I339" s="1">
        <v>181</v>
      </c>
      <c r="J339" s="27">
        <v>0.49859999999999999</v>
      </c>
      <c r="M339" s="25">
        <f t="shared" si="41"/>
        <v>90.246600000000001</v>
      </c>
      <c r="N339" s="36">
        <f t="shared" si="35"/>
        <v>90.246600000000001</v>
      </c>
      <c r="O339" s="34">
        <f>IF(ISBLANK(A339),"",SUMIFS(I$3:I339,D$3:D339,D339,H$3:H339,"Buy")+SUMIFS(I$3:I339,D$3:D339,D339,H$3:H339,"Cash Deposit")+SUMIFS(I$3:I339,D$3:D339,D339,H$3:H339,"Crypto Deposit")+SUMIFS(I$3:I339,D$3:D339,D339,H$3:H339,"Airdrop/Rewards")-SUMIFS(I$3:I339,D$3:D339,D339,H$3:H339,"Sell"))</f>
        <v>0</v>
      </c>
      <c r="P339" s="2" cm="1">
        <f t="array" ref="P339">IF(ISBLANK(A339),"",IFERROR(IF(OR(H339="Sell",F339="Stable Coin"),INDEX(_xlfn._xlws.FILTER(P$2:P338, D$2:D338=D339),COUNT(_xlfn._xlws.FILTER(P$2:P338, D$2:D338=D339))),(INDEX(_xlfn._xlws.FILTER(P$2:P338, D$2:D338=D339),COUNT(_xlfn._xlws.FILTER(P$2:P338, D$2:D338=D339)))*INDEX(_xlfn._xlws.FILTER(O$2:O338, D$2:D338=D339),COUNT(_xlfn._xlws.FILTER(O$2:O338, D$2:D338=D339)))-N339) / O339), J339))</f>
        <v>0.49859999999999999</v>
      </c>
      <c r="Q339" s="1" t="str">
        <f t="shared" si="30"/>
        <v>USD</v>
      </c>
      <c r="R339" s="1" cm="1">
        <f t="array" ref="R339">IF(A339="", "",
    IFERROR(
        _xlfn.SWITCH(
            TRUE,
            AND(Q339="USD", $Q$2="USD"), K339,
            AND(Q339="USD", $Q$2="GBP"), K339*$Z$3,
            AND(Q339="USD", $Q$2="HKD"), K339*$Z$4,
            AND(Q339="USD", $Q$2="EUR"), K339*$Z$5,
            AND(Q339="GBP", $Q$2="GBP"), K339,
            AND(Q339="GBP", $Q$2="USD"), K339*$Z$6,
            AND(Q339="GBP", $Q$2="HKD"), K339*$Z$7,
            AND(Q339="HKG", $Q$2="HKG"), K339,
            AND(Q339="HKD", $Q$2="USD"), K339*$Z$9,
            AND(Q339="HKD", $Q$2="GBP"), K339*$Z$10,
            AND(Q339="HKD", $Q$2="EUR"), K339*$Z$11,
            AND(Q339="EUR", $Q$2="EUR"), K339,
            AND(Q339="EUR", $Q$2="USD"), K339*$Z$12,
            AND(Q339="EUR", $Q$2="GBP"), K339*$Z$13,
            AND(Q339="EUR", $Q$2="HKD"), K339*$Z$14,
        ),
        0
    )
)</f>
        <v>0</v>
      </c>
      <c r="S339" s="1" cm="1">
        <f t="array" ref="S339">IF(A339="", "",
    IFERROR(
        _xlfn.SWITCH(
            TRUE,
            AND(Q339="USD", $Q$2="USD"), M339,
            AND(Q339="USD", $Q$2="GBP"), M339*$Z$3,
            AND(Q339="USD", $Q$2="HKD"), M339*$Z$4,
            AND(Q339="USD", $Q$2="EUR"), M339*$Z$5,
            AND(Q339="GBP", $Q$2="GBP"), M339,
            AND(Q339="GBP", $Q$2="USD"), M339*$Z$6,
            AND(Q339="GBP", $Q$2="HKD"), M339*$Z$7,
            AND(Q339="GBP", $Q$2="HKD"), M339*$Z$8,
            AND(Q339="HKG", $Q$2="HKG"), M339,
            AND(Q339="HKD", $Q$2="USD"), M339*$Z$9,
            AND(Q339="HKD", $Q$2="GBP"), M339*$Z$10,
            AND(Q339="HKD", $Q$2="EUR"), M339*$Z$11,
            AND(Q339="EUR", $Q$2="EUR"), M339,
            AND(Q339="EUR", $Q$2="USD"), M339*$Z$12,
            AND(Q339="EUR", $Q$2="GBP"), M339*$Z$13,
            AND(Q339="EUR", $Q$2="HKD"), M339*$Z$14,
        ),
        0
    )
)</f>
        <v>90.246600000000001</v>
      </c>
      <c r="T339" s="1" t="str">
        <f t="shared" si="37"/>
        <v>19</v>
      </c>
      <c r="U339" s="8" t="str">
        <f t="shared" si="38"/>
        <v>02</v>
      </c>
      <c r="V339" s="1" t="str">
        <f t="shared" si="39"/>
        <v>2024</v>
      </c>
      <c r="W339" s="18" t="str">
        <f t="shared" si="40"/>
        <v>星期一</v>
      </c>
    </row>
    <row r="340" spans="1:23">
      <c r="A340" s="17" t="s">
        <v>6</v>
      </c>
      <c r="B340" s="1" t="s">
        <v>348</v>
      </c>
      <c r="C340" s="9">
        <v>45342</v>
      </c>
      <c r="D340" s="1" t="s">
        <v>52</v>
      </c>
      <c r="E340" s="1" t="s">
        <v>150</v>
      </c>
      <c r="F340" s="1" t="s">
        <v>349</v>
      </c>
      <c r="H340" s="1" t="s">
        <v>367</v>
      </c>
      <c r="I340" s="1">
        <v>11.98</v>
      </c>
      <c r="J340" s="27">
        <v>10.484999999999999</v>
      </c>
      <c r="K340" s="1">
        <v>9.1999999999999998E-2</v>
      </c>
      <c r="M340" s="25">
        <f t="shared" si="41"/>
        <v>125.5183</v>
      </c>
      <c r="N340" s="36">
        <f t="shared" si="35"/>
        <v>125.6103</v>
      </c>
      <c r="O340" s="34">
        <f>IF(ISBLANK(A340),"",SUMIFS(I$3:I340,D$3:D340,D340,H$3:H340,"Buy")+SUMIFS(I$3:I340,D$3:D340,D340,H$3:H340,"Cash Deposit")+SUMIFS(I$3:I340,D$3:D340,D340,H$3:H340,"Crypto Deposit")+SUMIFS(I$3:I340,D$3:D340,D340,H$3:H340,"Airdrop/Rewards")-SUMIFS(I$3:I340,D$3:D340,D340,H$3:H340,"Sell"))</f>
        <v>91.408000200000004</v>
      </c>
      <c r="P340" s="2" cm="1">
        <f t="array" ref="P340">IF(ISBLANK(A340),"",IFERROR(IF(OR(H340="Sell",F340="Stable Coin"),INDEX(_xlfn._xlws.FILTER(P$2:P339, D$2:D339=D340),COUNT(_xlfn._xlws.FILTER(P$2:P339, D$2:D339=D340))),(INDEX(_xlfn._xlws.FILTER(P$2:P339, D$2:D339=D340),COUNT(_xlfn._xlws.FILTER(P$2:P339, D$2:D339=D340)))*INDEX(_xlfn._xlws.FILTER(O$2:O339, D$2:D339=D340),COUNT(_xlfn._xlws.FILTER(O$2:O339, D$2:D339=D340)))-N340) / O340), J340))</f>
        <v>12.513515334229281</v>
      </c>
      <c r="Q340" s="1" t="str">
        <f t="shared" si="30"/>
        <v>USD</v>
      </c>
      <c r="R340" s="1" cm="1">
        <f t="array" ref="R340">IF(A340="", "",
    IFERROR(
        _xlfn.SWITCH(
            TRUE,
            AND(Q340="USD", $Q$2="USD"), K340,
            AND(Q340="USD", $Q$2="GBP"), K340*$Z$3,
            AND(Q340="USD", $Q$2="HKD"), K340*$Z$4,
            AND(Q340="USD", $Q$2="EUR"), K340*$Z$5,
            AND(Q340="GBP", $Q$2="GBP"), K340,
            AND(Q340="GBP", $Q$2="USD"), K340*$Z$6,
            AND(Q340="GBP", $Q$2="HKD"), K340*$Z$7,
            AND(Q340="HKG", $Q$2="HKG"), K340,
            AND(Q340="HKD", $Q$2="USD"), K340*$Z$9,
            AND(Q340="HKD", $Q$2="GBP"), K340*$Z$10,
            AND(Q340="HKD", $Q$2="EUR"), K340*$Z$11,
            AND(Q340="EUR", $Q$2="EUR"), K340,
            AND(Q340="EUR", $Q$2="USD"), K340*$Z$12,
            AND(Q340="EUR", $Q$2="GBP"), K340*$Z$13,
            AND(Q340="EUR", $Q$2="HKD"), K340*$Z$14,
        ),
        0
    )
)</f>
        <v>9.1999999999999998E-2</v>
      </c>
      <c r="S340" s="1" cm="1">
        <f t="array" ref="S340">IF(A340="", "",
    IFERROR(
        _xlfn.SWITCH(
            TRUE,
            AND(Q340="USD", $Q$2="USD"), M340,
            AND(Q340="USD", $Q$2="GBP"), M340*$Z$3,
            AND(Q340="USD", $Q$2="HKD"), M340*$Z$4,
            AND(Q340="USD", $Q$2="EUR"), M340*$Z$5,
            AND(Q340="GBP", $Q$2="GBP"), M340,
            AND(Q340="GBP", $Q$2="USD"), M340*$Z$6,
            AND(Q340="GBP", $Q$2="HKD"), M340*$Z$7,
            AND(Q340="GBP", $Q$2="HKD"), M340*$Z$8,
            AND(Q340="HKG", $Q$2="HKG"), M340,
            AND(Q340="HKD", $Q$2="USD"), M340*$Z$9,
            AND(Q340="HKD", $Q$2="GBP"), M340*$Z$10,
            AND(Q340="HKD", $Q$2="EUR"), M340*$Z$11,
            AND(Q340="EUR", $Q$2="EUR"), M340,
            AND(Q340="EUR", $Q$2="USD"), M340*$Z$12,
            AND(Q340="EUR", $Q$2="GBP"), M340*$Z$13,
            AND(Q340="EUR", $Q$2="HKD"), M340*$Z$14,
        ),
        0
    )
)</f>
        <v>125.5183</v>
      </c>
      <c r="T340" s="1" t="str">
        <f t="shared" si="37"/>
        <v>20</v>
      </c>
      <c r="U340" s="8" t="str">
        <f t="shared" si="38"/>
        <v>02</v>
      </c>
      <c r="V340" s="1" t="str">
        <f t="shared" si="39"/>
        <v>2024</v>
      </c>
      <c r="W340" s="18" t="str">
        <f t="shared" si="40"/>
        <v>星期二</v>
      </c>
    </row>
    <row r="341" spans="1:23">
      <c r="A341" s="17" t="s">
        <v>6</v>
      </c>
      <c r="B341" s="1" t="s">
        <v>348</v>
      </c>
      <c r="C341" s="9">
        <v>45342</v>
      </c>
      <c r="D341" s="1" t="s">
        <v>364</v>
      </c>
      <c r="E341" s="1" t="s">
        <v>114</v>
      </c>
      <c r="F341" s="1" t="s">
        <v>346</v>
      </c>
      <c r="H341" s="1" t="s">
        <v>347</v>
      </c>
      <c r="I341" s="1">
        <v>125.6103</v>
      </c>
      <c r="J341" s="27">
        <v>1</v>
      </c>
      <c r="M341" s="25">
        <f t="shared" si="41"/>
        <v>125.6103</v>
      </c>
      <c r="N341" s="36">
        <f t="shared" si="35"/>
        <v>-125.6103</v>
      </c>
      <c r="O341" s="34">
        <f>IF(ISBLANK(A341),"",SUMIFS(I$3:I341,D$3:D341,D341,H$3:H341,"Buy")+SUMIFS(I$3:I341,D$3:D341,D341,H$3:H341,"Cash Deposit")+SUMIFS(I$3:I341,D$3:D341,D341,H$3:H341,"Crypto Deposit")+SUMIFS(I$3:I341,D$3:D341,D341,H$3:H341,"Airdrop/Rewards")-SUMIFS(I$3:I341,D$3:D341,D341,H$3:H341,"Sell"))</f>
        <v>4432.4709550803818</v>
      </c>
      <c r="P341" s="2" cm="1">
        <f t="array" ref="P341">IF(ISBLANK(A341),"",IFERROR(IF(OR(H341="Sell",F341="Stable Coin"),INDEX(_xlfn._xlws.FILTER(P$2:P340, D$2:D340=D341),COUNT(_xlfn._xlws.FILTER(P$2:P340, D$2:D340=D341))),(INDEX(_xlfn._xlws.FILTER(P$2:P340, D$2:D340=D341),COUNT(_xlfn._xlws.FILTER(P$2:P340, D$2:D340=D341)))*INDEX(_xlfn._xlws.FILTER(O$2:O340, D$2:D340=D341),COUNT(_xlfn._xlws.FILTER(O$2:O340, D$2:D340=D341)))-N341) / O341), J341))</f>
        <v>1</v>
      </c>
      <c r="Q341" s="1" t="str">
        <f t="shared" si="30"/>
        <v>USD</v>
      </c>
      <c r="R341" s="1" cm="1">
        <f t="array" ref="R341">IF(A341="", "",
    IFERROR(
        _xlfn.SWITCH(
            TRUE,
            AND(Q341="USD", $Q$2="USD"), K341,
            AND(Q341="USD", $Q$2="GBP"), K341*$Z$3,
            AND(Q341="USD", $Q$2="HKD"), K341*$Z$4,
            AND(Q341="USD", $Q$2="EUR"), K341*$Z$5,
            AND(Q341="GBP", $Q$2="GBP"), K341,
            AND(Q341="GBP", $Q$2="USD"), K341*$Z$6,
            AND(Q341="GBP", $Q$2="HKD"), K341*$Z$7,
            AND(Q341="HKG", $Q$2="HKG"), K341,
            AND(Q341="HKD", $Q$2="USD"), K341*$Z$9,
            AND(Q341="HKD", $Q$2="GBP"), K341*$Z$10,
            AND(Q341="HKD", $Q$2="EUR"), K341*$Z$11,
            AND(Q341="EUR", $Q$2="EUR"), K341,
            AND(Q341="EUR", $Q$2="USD"), K341*$Z$12,
            AND(Q341="EUR", $Q$2="GBP"), K341*$Z$13,
            AND(Q341="EUR", $Q$2="HKD"), K341*$Z$14,
        ),
        0
    )
)</f>
        <v>0</v>
      </c>
      <c r="S341" s="1" cm="1">
        <f t="array" ref="S341">IF(A341="", "",
    IFERROR(
        _xlfn.SWITCH(
            TRUE,
            AND(Q341="USD", $Q$2="USD"), M341,
            AND(Q341="USD", $Q$2="GBP"), M341*$Z$3,
            AND(Q341="USD", $Q$2="HKD"), M341*$Z$4,
            AND(Q341="USD", $Q$2="EUR"), M341*$Z$5,
            AND(Q341="GBP", $Q$2="GBP"), M341,
            AND(Q341="GBP", $Q$2="USD"), M341*$Z$6,
            AND(Q341="GBP", $Q$2="HKD"), M341*$Z$7,
            AND(Q341="GBP", $Q$2="HKD"), M341*$Z$8,
            AND(Q341="HKG", $Q$2="HKG"), M341,
            AND(Q341="HKD", $Q$2="USD"), M341*$Z$9,
            AND(Q341="HKD", $Q$2="GBP"), M341*$Z$10,
            AND(Q341="HKD", $Q$2="EUR"), M341*$Z$11,
            AND(Q341="EUR", $Q$2="EUR"), M341,
            AND(Q341="EUR", $Q$2="USD"), M341*$Z$12,
            AND(Q341="EUR", $Q$2="GBP"), M341*$Z$13,
            AND(Q341="EUR", $Q$2="HKD"), M341*$Z$14,
        ),
        0
    )
)</f>
        <v>125.6103</v>
      </c>
      <c r="T341" s="1" t="str">
        <f t="shared" si="37"/>
        <v>20</v>
      </c>
      <c r="U341" s="8" t="str">
        <f t="shared" si="38"/>
        <v>02</v>
      </c>
      <c r="V341" s="1" t="str">
        <f t="shared" si="39"/>
        <v>2024</v>
      </c>
      <c r="W341" s="18" t="str">
        <f t="shared" si="40"/>
        <v>星期二</v>
      </c>
    </row>
    <row r="342" spans="1:23">
      <c r="A342" s="17" t="s">
        <v>6</v>
      </c>
      <c r="B342" s="1" t="s">
        <v>348</v>
      </c>
      <c r="C342" s="9">
        <v>45342</v>
      </c>
      <c r="D342" s="1" t="s">
        <v>364</v>
      </c>
      <c r="E342" s="1" t="s">
        <v>114</v>
      </c>
      <c r="F342" s="1" t="s">
        <v>346</v>
      </c>
      <c r="H342" s="1" t="s">
        <v>367</v>
      </c>
      <c r="I342" s="1">
        <v>169</v>
      </c>
      <c r="J342" s="27">
        <v>1</v>
      </c>
      <c r="K342" s="1">
        <v>0.126</v>
      </c>
      <c r="M342" s="25">
        <f t="shared" si="41"/>
        <v>168.874</v>
      </c>
      <c r="N342" s="36">
        <f t="shared" si="35"/>
        <v>169</v>
      </c>
      <c r="O342" s="34">
        <f>IF(ISBLANK(A342),"",SUMIFS(I$3:I342,D$3:D342,D342,H$3:H342,"Buy")+SUMIFS(I$3:I342,D$3:D342,D342,H$3:H342,"Cash Deposit")+SUMIFS(I$3:I342,D$3:D342,D342,H$3:H342,"Crypto Deposit")+SUMIFS(I$3:I342,D$3:D342,D342,H$3:H342,"Airdrop/Rewards")-SUMIFS(I$3:I342,D$3:D342,D342,H$3:H342,"Sell"))</f>
        <v>4263.4709550803818</v>
      </c>
      <c r="P342" s="2" cm="1">
        <f t="array" ref="P342">IF(ISBLANK(A342),"",IFERROR(IF(OR(H342="Sell",F342="Stable Coin"),INDEX(_xlfn._xlws.FILTER(P$2:P341, D$2:D341=D342),COUNT(_xlfn._xlws.FILTER(P$2:P341, D$2:D341=D342))),(INDEX(_xlfn._xlws.FILTER(P$2:P341, D$2:D341=D342),COUNT(_xlfn._xlws.FILTER(P$2:P341, D$2:D341=D342)))*INDEX(_xlfn._xlws.FILTER(O$2:O341, D$2:D341=D342),COUNT(_xlfn._xlws.FILTER(O$2:O341, D$2:D341=D342)))-N342) / O342), J342))</f>
        <v>1</v>
      </c>
      <c r="Q342" s="1" t="str">
        <f t="shared" si="30"/>
        <v>USD</v>
      </c>
      <c r="R342" s="1" cm="1">
        <f t="array" ref="R342">IF(A342="", "",
    IFERROR(
        _xlfn.SWITCH(
            TRUE,
            AND(Q342="USD", $Q$2="USD"), K342,
            AND(Q342="USD", $Q$2="GBP"), K342*$Z$3,
            AND(Q342="USD", $Q$2="HKD"), K342*$Z$4,
            AND(Q342="USD", $Q$2="EUR"), K342*$Z$5,
            AND(Q342="GBP", $Q$2="GBP"), K342,
            AND(Q342="GBP", $Q$2="USD"), K342*$Z$6,
            AND(Q342="GBP", $Q$2="HKD"), K342*$Z$7,
            AND(Q342="HKG", $Q$2="HKG"), K342,
            AND(Q342="HKD", $Q$2="USD"), K342*$Z$9,
            AND(Q342="HKD", $Q$2="GBP"), K342*$Z$10,
            AND(Q342="HKD", $Q$2="EUR"), K342*$Z$11,
            AND(Q342="EUR", $Q$2="EUR"), K342,
            AND(Q342="EUR", $Q$2="USD"), K342*$Z$12,
            AND(Q342="EUR", $Q$2="GBP"), K342*$Z$13,
            AND(Q342="EUR", $Q$2="HKD"), K342*$Z$14,
        ),
        0
    )
)</f>
        <v>0.126</v>
      </c>
      <c r="S342" s="1" cm="1">
        <f t="array" ref="S342">IF(A342="", "",
    IFERROR(
        _xlfn.SWITCH(
            TRUE,
            AND(Q342="USD", $Q$2="USD"), M342,
            AND(Q342="USD", $Q$2="GBP"), M342*$Z$3,
            AND(Q342="USD", $Q$2="HKD"), M342*$Z$4,
            AND(Q342="USD", $Q$2="EUR"), M342*$Z$5,
            AND(Q342="GBP", $Q$2="GBP"), M342,
            AND(Q342="GBP", $Q$2="USD"), M342*$Z$6,
            AND(Q342="GBP", $Q$2="HKD"), M342*$Z$7,
            AND(Q342="GBP", $Q$2="HKD"), M342*$Z$8,
            AND(Q342="HKG", $Q$2="HKG"), M342,
            AND(Q342="HKD", $Q$2="USD"), M342*$Z$9,
            AND(Q342="HKD", $Q$2="GBP"), M342*$Z$10,
            AND(Q342="HKD", $Q$2="EUR"), M342*$Z$11,
            AND(Q342="EUR", $Q$2="EUR"), M342,
            AND(Q342="EUR", $Q$2="USD"), M342*$Z$12,
            AND(Q342="EUR", $Q$2="GBP"), M342*$Z$13,
            AND(Q342="EUR", $Q$2="HKD"), M342*$Z$14,
        ),
        0
    )
)</f>
        <v>168.874</v>
      </c>
      <c r="T342" s="1" t="str">
        <f t="shared" si="37"/>
        <v>20</v>
      </c>
      <c r="U342" s="8" t="str">
        <f t="shared" si="38"/>
        <v>02</v>
      </c>
      <c r="V342" s="1" t="str">
        <f t="shared" si="39"/>
        <v>2024</v>
      </c>
      <c r="W342" s="18" t="str">
        <f t="shared" si="40"/>
        <v>星期二</v>
      </c>
    </row>
    <row r="343" spans="1:23">
      <c r="A343" s="17" t="s">
        <v>6</v>
      </c>
      <c r="B343" s="1" t="s">
        <v>348</v>
      </c>
      <c r="C343" s="9">
        <v>45342</v>
      </c>
      <c r="D343" s="1" t="s">
        <v>351</v>
      </c>
      <c r="E343" s="1" t="s">
        <v>264</v>
      </c>
      <c r="F343" s="1" t="s">
        <v>349</v>
      </c>
      <c r="H343" s="1" t="s">
        <v>347</v>
      </c>
      <c r="I343" s="1">
        <v>100</v>
      </c>
      <c r="J343" s="27">
        <v>1.69</v>
      </c>
      <c r="M343" s="25">
        <f t="shared" si="41"/>
        <v>169</v>
      </c>
      <c r="N343" s="36">
        <f t="shared" si="35"/>
        <v>-169</v>
      </c>
      <c r="O343" s="34">
        <f>IF(ISBLANK(A343),"",SUMIFS(I$3:I343,D$3:D343,D343,H$3:H343,"Buy")+SUMIFS(I$3:I343,D$3:D343,D343,H$3:H343,"Cash Deposit")+SUMIFS(I$3:I343,D$3:D343,D343,H$3:H343,"Crypto Deposit")+SUMIFS(I$3:I343,D$3:D343,D343,H$3:H343,"Airdrop/Rewards")-SUMIFS(I$3:I343,D$3:D343,D343,H$3:H343,"Sell"))</f>
        <v>199.9</v>
      </c>
      <c r="P343" s="2" cm="1">
        <f t="array" ref="P343">IF(ISBLANK(A343),"",IFERROR(IF(OR(H343="Sell",F343="Stable Coin"),INDEX(_xlfn._xlws.FILTER(P$2:P342, D$2:D342=D343),COUNT(_xlfn._xlws.FILTER(P$2:P342, D$2:D342=D343))),(INDEX(_xlfn._xlws.FILTER(P$2:P342, D$2:D342=D343),COUNT(_xlfn._xlws.FILTER(P$2:P342, D$2:D342=D343)))*INDEX(_xlfn._xlws.FILTER(O$2:O342, D$2:D342=D343),COUNT(_xlfn._xlws.FILTER(O$2:O342, D$2:D342=D343)))-N343) / O343), J343))</f>
        <v>1.4816043021510754</v>
      </c>
      <c r="Q343" s="1" t="str">
        <f t="shared" si="30"/>
        <v>USD</v>
      </c>
      <c r="R343" s="1" cm="1">
        <f t="array" ref="R343">IF(A343="", "",
    IFERROR(
        _xlfn.SWITCH(
            TRUE,
            AND(Q343="USD", $Q$2="USD"), K343,
            AND(Q343="USD", $Q$2="GBP"), K343*$Z$3,
            AND(Q343="USD", $Q$2="HKD"), K343*$Z$4,
            AND(Q343="USD", $Q$2="EUR"), K343*$Z$5,
            AND(Q343="GBP", $Q$2="GBP"), K343,
            AND(Q343="GBP", $Q$2="USD"), K343*$Z$6,
            AND(Q343="GBP", $Q$2="HKD"), K343*$Z$7,
            AND(Q343="HKG", $Q$2="HKG"), K343,
            AND(Q343="HKD", $Q$2="USD"), K343*$Z$9,
            AND(Q343="HKD", $Q$2="GBP"), K343*$Z$10,
            AND(Q343="HKD", $Q$2="EUR"), K343*$Z$11,
            AND(Q343="EUR", $Q$2="EUR"), K343,
            AND(Q343="EUR", $Q$2="USD"), K343*$Z$12,
            AND(Q343="EUR", $Q$2="GBP"), K343*$Z$13,
            AND(Q343="EUR", $Q$2="HKD"), K343*$Z$14,
        ),
        0
    )
)</f>
        <v>0</v>
      </c>
      <c r="S343" s="1" cm="1">
        <f t="array" ref="S343">IF(A343="", "",
    IFERROR(
        _xlfn.SWITCH(
            TRUE,
            AND(Q343="USD", $Q$2="USD"), M343,
            AND(Q343="USD", $Q$2="GBP"), M343*$Z$3,
            AND(Q343="USD", $Q$2="HKD"), M343*$Z$4,
            AND(Q343="USD", $Q$2="EUR"), M343*$Z$5,
            AND(Q343="GBP", $Q$2="GBP"), M343,
            AND(Q343="GBP", $Q$2="USD"), M343*$Z$6,
            AND(Q343="GBP", $Q$2="HKD"), M343*$Z$7,
            AND(Q343="GBP", $Q$2="HKD"), M343*$Z$8,
            AND(Q343="HKG", $Q$2="HKG"), M343,
            AND(Q343="HKD", $Q$2="USD"), M343*$Z$9,
            AND(Q343="HKD", $Q$2="GBP"), M343*$Z$10,
            AND(Q343="HKD", $Q$2="EUR"), M343*$Z$11,
            AND(Q343="EUR", $Q$2="EUR"), M343,
            AND(Q343="EUR", $Q$2="USD"), M343*$Z$12,
            AND(Q343="EUR", $Q$2="GBP"), M343*$Z$13,
            AND(Q343="EUR", $Q$2="HKD"), M343*$Z$14,
        ),
        0
    )
)</f>
        <v>169</v>
      </c>
      <c r="T343" s="1" t="str">
        <f t="shared" si="37"/>
        <v>20</v>
      </c>
      <c r="U343" s="8" t="str">
        <f t="shared" si="38"/>
        <v>02</v>
      </c>
      <c r="V343" s="1" t="str">
        <f t="shared" si="39"/>
        <v>2024</v>
      </c>
      <c r="W343" s="18" t="str">
        <f t="shared" si="40"/>
        <v>星期二</v>
      </c>
    </row>
    <row r="344" spans="1:23">
      <c r="A344" s="17" t="s">
        <v>59</v>
      </c>
      <c r="B344" s="1" t="s">
        <v>348</v>
      </c>
      <c r="C344" s="9">
        <v>45343</v>
      </c>
      <c r="D344" s="1" t="s">
        <v>23</v>
      </c>
      <c r="E344" s="1" t="s">
        <v>357</v>
      </c>
      <c r="F344" s="1" t="s">
        <v>349</v>
      </c>
      <c r="H344" s="1" t="s">
        <v>359</v>
      </c>
      <c r="I344" s="1">
        <v>2.7480000000000001E-2</v>
      </c>
      <c r="J344" s="27">
        <v>2890</v>
      </c>
      <c r="M344" s="25">
        <f t="shared" si="41"/>
        <v>79.417200000000008</v>
      </c>
      <c r="N344" s="36">
        <f t="shared" si="35"/>
        <v>0</v>
      </c>
      <c r="O344" s="34">
        <f>IF(ISBLANK(A344),"",SUMIFS(I$3:I344,D$3:D344,D344,H$3:H344,"Buy")+SUMIFS(I$3:I344,D$3:D344,D344,H$3:H344,"Cash Deposit")+SUMIFS(I$3:I344,D$3:D344,D344,H$3:H344,"Crypto Deposit")+SUMIFS(I$3:I344,D$3:D344,D344,H$3:H344,"Airdrop/Rewards")-SUMIFS(I$3:I344,D$3:D344,D344,H$3:H344,"Sell"))</f>
        <v>10.39738112</v>
      </c>
      <c r="P344" s="2" cm="1">
        <f t="array" ref="P344">IF(ISBLANK(A344),"",IFERROR(IF(OR(H344="Sell",F344="Stable Coin"),INDEX(_xlfn._xlws.FILTER(P$2:P343, D$2:D343=D344),COUNT(_xlfn._xlws.FILTER(P$2:P343, D$2:D343=D344))),(INDEX(_xlfn._xlws.FILTER(P$2:P343, D$2:D343=D344),COUNT(_xlfn._xlws.FILTER(P$2:P343, D$2:D343=D344)))*INDEX(_xlfn._xlws.FILTER(O$2:O343, D$2:D343=D344),COUNT(_xlfn._xlws.FILTER(O$2:O343, D$2:D343=D344)))-N344) / O344), J344))</f>
        <v>2345.4449696919519</v>
      </c>
      <c r="Q344" s="1" t="str">
        <f t="shared" si="30"/>
        <v>USD</v>
      </c>
      <c r="R344" s="1" cm="1">
        <f t="array" ref="R344">IF(A344="", "",
    IFERROR(
        _xlfn.SWITCH(
            TRUE,
            AND(Q344="USD", $Q$2="USD"), K344,
            AND(Q344="USD", $Q$2="GBP"), K344*$Z$3,
            AND(Q344="USD", $Q$2="HKD"), K344*$Z$4,
            AND(Q344="USD", $Q$2="EUR"), K344*$Z$5,
            AND(Q344="GBP", $Q$2="GBP"), K344,
            AND(Q344="GBP", $Q$2="USD"), K344*$Z$6,
            AND(Q344="GBP", $Q$2="HKD"), K344*$Z$7,
            AND(Q344="HKG", $Q$2="HKG"), K344,
            AND(Q344="HKD", $Q$2="USD"), K344*$Z$9,
            AND(Q344="HKD", $Q$2="GBP"), K344*$Z$10,
            AND(Q344="HKD", $Q$2="EUR"), K344*$Z$11,
            AND(Q344="EUR", $Q$2="EUR"), K344,
            AND(Q344="EUR", $Q$2="USD"), K344*$Z$12,
            AND(Q344="EUR", $Q$2="GBP"), K344*$Z$13,
            AND(Q344="EUR", $Q$2="HKD"), K344*$Z$14,
        ),
        0
    )
)</f>
        <v>0</v>
      </c>
      <c r="S344" s="1" cm="1">
        <f t="array" ref="S344">IF(A344="", "",
    IFERROR(
        _xlfn.SWITCH(
            TRUE,
            AND(Q344="USD", $Q$2="USD"), M344,
            AND(Q344="USD", $Q$2="GBP"), M344*$Z$3,
            AND(Q344="USD", $Q$2="HKD"), M344*$Z$4,
            AND(Q344="USD", $Q$2="EUR"), M344*$Z$5,
            AND(Q344="GBP", $Q$2="GBP"), M344,
            AND(Q344="GBP", $Q$2="USD"), M344*$Z$6,
            AND(Q344="GBP", $Q$2="HKD"), M344*$Z$7,
            AND(Q344="GBP", $Q$2="HKD"), M344*$Z$8,
            AND(Q344="HKG", $Q$2="HKG"), M344,
            AND(Q344="HKD", $Q$2="USD"), M344*$Z$9,
            AND(Q344="HKD", $Q$2="GBP"), M344*$Z$10,
            AND(Q344="HKD", $Q$2="EUR"), M344*$Z$11,
            AND(Q344="EUR", $Q$2="EUR"), M344,
            AND(Q344="EUR", $Q$2="USD"), M344*$Z$12,
            AND(Q344="EUR", $Q$2="GBP"), M344*$Z$13,
            AND(Q344="EUR", $Q$2="HKD"), M344*$Z$14,
        ),
        0
    )
)</f>
        <v>79.417200000000008</v>
      </c>
      <c r="T344" s="1" t="str">
        <f t="shared" si="37"/>
        <v>21</v>
      </c>
      <c r="U344" s="8" t="str">
        <f t="shared" si="38"/>
        <v>02</v>
      </c>
      <c r="V344" s="1" t="str">
        <f t="shared" si="39"/>
        <v>2024</v>
      </c>
      <c r="W344" s="18" t="str">
        <f t="shared" si="40"/>
        <v>星期三</v>
      </c>
    </row>
    <row r="345" spans="1:23">
      <c r="A345" s="17" t="s">
        <v>59</v>
      </c>
      <c r="B345" s="1" t="s">
        <v>348</v>
      </c>
      <c r="C345" s="9">
        <v>45343</v>
      </c>
      <c r="D345" s="1" t="s">
        <v>47</v>
      </c>
      <c r="E345" s="1" t="s">
        <v>4</v>
      </c>
      <c r="F345" s="1" t="s">
        <v>349</v>
      </c>
      <c r="H345" s="1" t="s">
        <v>359</v>
      </c>
      <c r="I345" s="1">
        <v>1.3514099468166199E-3</v>
      </c>
      <c r="J345" s="27">
        <v>51100</v>
      </c>
      <c r="M345" s="25">
        <f t="shared" si="41"/>
        <v>69.057048282329276</v>
      </c>
      <c r="N345" s="36">
        <f t="shared" si="35"/>
        <v>0</v>
      </c>
      <c r="O345" s="34">
        <f>IF(ISBLANK(A345),"",SUMIFS(I$3:I345,D$3:D345,D345,H$3:H345,"Buy")+SUMIFS(I$3:I345,D$3:D345,D345,H$3:H345,"Cash Deposit")+SUMIFS(I$3:I345,D$3:D345,D345,H$3:H345,"Crypto Deposit")+SUMIFS(I$3:I345,D$3:D345,D345,H$3:H345,"Airdrop/Rewards")-SUMIFS(I$3:I345,D$3:D345,D345,H$3:H345,"Sell"))</f>
        <v>0.32469523994681654</v>
      </c>
      <c r="P345" s="2" cm="1">
        <f t="array" ref="P345">IF(ISBLANK(A345),"",IFERROR(IF(OR(H345="Sell",F345="Stable Coin"),INDEX(_xlfn._xlws.FILTER(P$2:P344, D$2:D344=D345),COUNT(_xlfn._xlws.FILTER(P$2:P344, D$2:D344=D345))),(INDEX(_xlfn._xlws.FILTER(P$2:P344, D$2:D344=D345),COUNT(_xlfn._xlws.FILTER(P$2:P344, D$2:D344=D345)))*INDEX(_xlfn._xlws.FILTER(O$2:O344, D$2:D344=D345),COUNT(_xlfn._xlws.FILTER(O$2:O344, D$2:D344=D345)))-N345) / O345), J345))</f>
        <v>32216.561571265273</v>
      </c>
      <c r="Q345" s="1" t="str">
        <f t="shared" si="30"/>
        <v>USD</v>
      </c>
      <c r="R345" s="1" cm="1">
        <f t="array" ref="R345">IF(A345="", "",
    IFERROR(
        _xlfn.SWITCH(
            TRUE,
            AND(Q345="USD", $Q$2="USD"), K345,
            AND(Q345="USD", $Q$2="GBP"), K345*$Z$3,
            AND(Q345="USD", $Q$2="HKD"), K345*$Z$4,
            AND(Q345="USD", $Q$2="EUR"), K345*$Z$5,
            AND(Q345="GBP", $Q$2="GBP"), K345,
            AND(Q345="GBP", $Q$2="USD"), K345*$Z$6,
            AND(Q345="GBP", $Q$2="HKD"), K345*$Z$7,
            AND(Q345="HKG", $Q$2="HKG"), K345,
            AND(Q345="HKD", $Q$2="USD"), K345*$Z$9,
            AND(Q345="HKD", $Q$2="GBP"), K345*$Z$10,
            AND(Q345="HKD", $Q$2="EUR"), K345*$Z$11,
            AND(Q345="EUR", $Q$2="EUR"), K345,
            AND(Q345="EUR", $Q$2="USD"), K345*$Z$12,
            AND(Q345="EUR", $Q$2="GBP"), K345*$Z$13,
            AND(Q345="EUR", $Q$2="HKD"), K345*$Z$14,
        ),
        0
    )
)</f>
        <v>0</v>
      </c>
      <c r="S345" s="1" cm="1">
        <f t="array" ref="S345">IF(A345="", "",
    IFERROR(
        _xlfn.SWITCH(
            TRUE,
            AND(Q345="USD", $Q$2="USD"), M345,
            AND(Q345="USD", $Q$2="GBP"), M345*$Z$3,
            AND(Q345="USD", $Q$2="HKD"), M345*$Z$4,
            AND(Q345="USD", $Q$2="EUR"), M345*$Z$5,
            AND(Q345="GBP", $Q$2="GBP"), M345,
            AND(Q345="GBP", $Q$2="USD"), M345*$Z$6,
            AND(Q345="GBP", $Q$2="HKD"), M345*$Z$7,
            AND(Q345="GBP", $Q$2="HKD"), M345*$Z$8,
            AND(Q345="HKG", $Q$2="HKG"), M345,
            AND(Q345="HKD", $Q$2="USD"), M345*$Z$9,
            AND(Q345="HKD", $Q$2="GBP"), M345*$Z$10,
            AND(Q345="HKD", $Q$2="EUR"), M345*$Z$11,
            AND(Q345="EUR", $Q$2="EUR"), M345,
            AND(Q345="EUR", $Q$2="USD"), M345*$Z$12,
            AND(Q345="EUR", $Q$2="GBP"), M345*$Z$13,
            AND(Q345="EUR", $Q$2="HKD"), M345*$Z$14,
        ),
        0
    )
)</f>
        <v>69.057048282329276</v>
      </c>
      <c r="T345" s="1" t="str">
        <f t="shared" si="37"/>
        <v>21</v>
      </c>
      <c r="U345" s="8" t="str">
        <f t="shared" si="38"/>
        <v>02</v>
      </c>
      <c r="V345" s="1" t="str">
        <f t="shared" si="39"/>
        <v>2024</v>
      </c>
      <c r="W345" s="18" t="str">
        <f t="shared" si="40"/>
        <v>星期三</v>
      </c>
    </row>
    <row r="346" spans="1:23">
      <c r="A346" s="17" t="s">
        <v>59</v>
      </c>
      <c r="B346" s="1" t="s">
        <v>348</v>
      </c>
      <c r="C346" s="9">
        <v>45345</v>
      </c>
      <c r="D346" s="1" t="s">
        <v>27</v>
      </c>
      <c r="E346" s="1" t="s">
        <v>28</v>
      </c>
      <c r="F346" s="1" t="s">
        <v>349</v>
      </c>
      <c r="H346" s="1" t="s">
        <v>359</v>
      </c>
      <c r="I346" s="1">
        <v>0.33200000000000002</v>
      </c>
      <c r="J346" s="27">
        <v>36.700000000000003</v>
      </c>
      <c r="K346" s="1">
        <v>0.49</v>
      </c>
      <c r="M346" s="25">
        <f t="shared" si="41"/>
        <v>12.184400000000002</v>
      </c>
      <c r="N346" s="36">
        <f t="shared" si="35"/>
        <v>0</v>
      </c>
      <c r="O346" s="34">
        <f>IF(ISBLANK(A346),"",SUMIFS(I$3:I346,D$3:D346,D346,H$3:H346,"Buy")+SUMIFS(I$3:I346,D$3:D346,D346,H$3:H346,"Cash Deposit")+SUMIFS(I$3:I346,D$3:D346,D346,H$3:H346,"Crypto Deposit")+SUMIFS(I$3:I346,D$3:D346,D346,H$3:H346,"Airdrop/Rewards")-SUMIFS(I$3:I346,D$3:D346,D346,H$3:H346,"Sell"))</f>
        <v>98.943500000000014</v>
      </c>
      <c r="P346" s="2" cm="1">
        <f t="array" ref="P346">IF(ISBLANK(A346),"",IFERROR(IF(OR(H346="Sell",F346="Stable Coin"),INDEX(_xlfn._xlws.FILTER(P$2:P345, D$2:D345=D346),COUNT(_xlfn._xlws.FILTER(P$2:P345, D$2:D345=D346))),(INDEX(_xlfn._xlws.FILTER(P$2:P345, D$2:D345=D346),COUNT(_xlfn._xlws.FILTER(P$2:P345, D$2:D345=D346)))*INDEX(_xlfn._xlws.FILTER(O$2:O345, D$2:D345=D346),COUNT(_xlfn._xlws.FILTER(O$2:O345, D$2:D345=D346)))-N346) / O346), J346))</f>
        <v>24.805049610119589</v>
      </c>
      <c r="Q346" s="1" t="str">
        <f t="shared" si="30"/>
        <v>USD</v>
      </c>
      <c r="R346" s="1" cm="1">
        <f t="array" ref="R346">IF(A346="", "",
    IFERROR(
        _xlfn.SWITCH(
            TRUE,
            AND(Q346="USD", $Q$2="USD"), K346,
            AND(Q346="USD", $Q$2="GBP"), K346*$Z$3,
            AND(Q346="USD", $Q$2="HKD"), K346*$Z$4,
            AND(Q346="USD", $Q$2="EUR"), K346*$Z$5,
            AND(Q346="GBP", $Q$2="GBP"), K346,
            AND(Q346="GBP", $Q$2="USD"), K346*$Z$6,
            AND(Q346="GBP", $Q$2="HKD"), K346*$Z$7,
            AND(Q346="HKG", $Q$2="HKG"), K346,
            AND(Q346="HKD", $Q$2="USD"), K346*$Z$9,
            AND(Q346="HKD", $Q$2="GBP"), K346*$Z$10,
            AND(Q346="HKD", $Q$2="EUR"), K346*$Z$11,
            AND(Q346="EUR", $Q$2="EUR"), K346,
            AND(Q346="EUR", $Q$2="USD"), K346*$Z$12,
            AND(Q346="EUR", $Q$2="GBP"), K346*$Z$13,
            AND(Q346="EUR", $Q$2="HKD"), K346*$Z$14,
        ),
        0
    )
)</f>
        <v>0.49</v>
      </c>
      <c r="S346" s="1" cm="1">
        <f t="array" ref="S346">IF(A346="", "",
    IFERROR(
        _xlfn.SWITCH(
            TRUE,
            AND(Q346="USD", $Q$2="USD"), M346,
            AND(Q346="USD", $Q$2="GBP"), M346*$Z$3,
            AND(Q346="USD", $Q$2="HKD"), M346*$Z$4,
            AND(Q346="USD", $Q$2="EUR"), M346*$Z$5,
            AND(Q346="GBP", $Q$2="GBP"), M346,
            AND(Q346="GBP", $Q$2="USD"), M346*$Z$6,
            AND(Q346="GBP", $Q$2="HKD"), M346*$Z$7,
            AND(Q346="GBP", $Q$2="HKD"), M346*$Z$8,
            AND(Q346="HKG", $Q$2="HKG"), M346,
            AND(Q346="HKD", $Q$2="USD"), M346*$Z$9,
            AND(Q346="HKD", $Q$2="GBP"), M346*$Z$10,
            AND(Q346="HKD", $Q$2="EUR"), M346*$Z$11,
            AND(Q346="EUR", $Q$2="EUR"), M346,
            AND(Q346="EUR", $Q$2="USD"), M346*$Z$12,
            AND(Q346="EUR", $Q$2="GBP"), M346*$Z$13,
            AND(Q346="EUR", $Q$2="HKD"), M346*$Z$14,
        ),
        0
    )
)</f>
        <v>12.184400000000002</v>
      </c>
      <c r="T346" s="1" t="str">
        <f t="shared" si="37"/>
        <v>23</v>
      </c>
      <c r="U346" s="8" t="str">
        <f t="shared" si="38"/>
        <v>02</v>
      </c>
      <c r="V346" s="1" t="str">
        <f t="shared" si="39"/>
        <v>2024</v>
      </c>
      <c r="W346" s="18" t="str">
        <f t="shared" si="40"/>
        <v>星期五</v>
      </c>
    </row>
    <row r="347" spans="1:23">
      <c r="A347" s="17" t="s">
        <v>45</v>
      </c>
      <c r="B347" s="1" t="s">
        <v>348</v>
      </c>
      <c r="C347" s="9">
        <v>45345</v>
      </c>
      <c r="D347" s="1" t="s">
        <v>57</v>
      </c>
      <c r="E347" s="1" t="s">
        <v>43</v>
      </c>
      <c r="F347" s="1" t="s">
        <v>349</v>
      </c>
      <c r="H347" s="1" t="s">
        <v>359</v>
      </c>
      <c r="I347" s="1">
        <v>77</v>
      </c>
      <c r="J347" s="27">
        <v>2.4500000000000002</v>
      </c>
      <c r="K347" s="1">
        <v>2</v>
      </c>
      <c r="M347" s="25">
        <f t="shared" si="41"/>
        <v>188.65</v>
      </c>
      <c r="N347" s="36">
        <f t="shared" si="35"/>
        <v>0</v>
      </c>
      <c r="O347" s="34">
        <f>IF(ISBLANK(A347),"",SUMIFS(I$3:I347,D$3:D347,D347,H$3:H347,"Buy")+SUMIFS(I$3:I347,D$3:D347,D347,H$3:H347,"Cash Deposit")+SUMIFS(I$3:I347,D$3:D347,D347,H$3:H347,"Crypto Deposit")+SUMIFS(I$3:I347,D$3:D347,D347,H$3:H347,"Airdrop/Rewards")-SUMIFS(I$3:I347,D$3:D347,D347,H$3:H347,"Sell"))</f>
        <v>940.71550000000002</v>
      </c>
      <c r="P347" s="2" cm="1">
        <f t="array" ref="P347">IF(ISBLANK(A347),"",IFERROR(IF(OR(H347="Sell",F347="Stable Coin"),INDEX(_xlfn._xlws.FILTER(P$2:P346, D$2:D346=D347),COUNT(_xlfn._xlws.FILTER(P$2:P346, D$2:D346=D347))),(INDEX(_xlfn._xlws.FILTER(P$2:P346, D$2:D346=D347),COUNT(_xlfn._xlws.FILTER(P$2:P346, D$2:D346=D347)))*INDEX(_xlfn._xlws.FILTER(O$2:O346, D$2:D346=D347),COUNT(_xlfn._xlws.FILTER(O$2:O346, D$2:D346=D347)))-N347) / O347), J347))</f>
        <v>1.0255706571221586</v>
      </c>
      <c r="Q347" s="1" t="str">
        <f t="shared" si="30"/>
        <v>USD</v>
      </c>
      <c r="R347" s="1" cm="1">
        <f t="array" ref="R347">IF(A347="", "",
    IFERROR(
        _xlfn.SWITCH(
            TRUE,
            AND(Q347="USD", $Q$2="USD"), K347,
            AND(Q347="USD", $Q$2="GBP"), K347*$Z$3,
            AND(Q347="USD", $Q$2="HKD"), K347*$Z$4,
            AND(Q347="USD", $Q$2="EUR"), K347*$Z$5,
            AND(Q347="GBP", $Q$2="GBP"), K347,
            AND(Q347="GBP", $Q$2="USD"), K347*$Z$6,
            AND(Q347="GBP", $Q$2="HKD"), K347*$Z$7,
            AND(Q347="HKG", $Q$2="HKG"), K347,
            AND(Q347="HKD", $Q$2="USD"), K347*$Z$9,
            AND(Q347="HKD", $Q$2="GBP"), K347*$Z$10,
            AND(Q347="HKD", $Q$2="EUR"), K347*$Z$11,
            AND(Q347="EUR", $Q$2="EUR"), K347,
            AND(Q347="EUR", $Q$2="USD"), K347*$Z$12,
            AND(Q347="EUR", $Q$2="GBP"), K347*$Z$13,
            AND(Q347="EUR", $Q$2="HKD"), K347*$Z$14,
        ),
        0
    )
)</f>
        <v>2</v>
      </c>
      <c r="S347" s="1" cm="1">
        <f t="array" ref="S347">IF(A347="", "",
    IFERROR(
        _xlfn.SWITCH(
            TRUE,
            AND(Q347="USD", $Q$2="USD"), M347,
            AND(Q347="USD", $Q$2="GBP"), M347*$Z$3,
            AND(Q347="USD", $Q$2="HKD"), M347*$Z$4,
            AND(Q347="USD", $Q$2="EUR"), M347*$Z$5,
            AND(Q347="GBP", $Q$2="GBP"), M347,
            AND(Q347="GBP", $Q$2="USD"), M347*$Z$6,
            AND(Q347="GBP", $Q$2="HKD"), M347*$Z$7,
            AND(Q347="GBP", $Q$2="HKD"), M347*$Z$8,
            AND(Q347="HKG", $Q$2="HKG"), M347,
            AND(Q347="HKD", $Q$2="USD"), M347*$Z$9,
            AND(Q347="HKD", $Q$2="GBP"), M347*$Z$10,
            AND(Q347="HKD", $Q$2="EUR"), M347*$Z$11,
            AND(Q347="EUR", $Q$2="EUR"), M347,
            AND(Q347="EUR", $Q$2="USD"), M347*$Z$12,
            AND(Q347="EUR", $Q$2="GBP"), M347*$Z$13,
            AND(Q347="EUR", $Q$2="HKD"), M347*$Z$14,
        ),
        0
    )
)</f>
        <v>188.65</v>
      </c>
      <c r="T347" s="1" t="str">
        <f t="shared" si="37"/>
        <v>23</v>
      </c>
      <c r="U347" s="8" t="str">
        <f t="shared" si="38"/>
        <v>02</v>
      </c>
      <c r="V347" s="1" t="str">
        <f t="shared" si="39"/>
        <v>2024</v>
      </c>
      <c r="W347" s="18" t="str">
        <f t="shared" si="40"/>
        <v>星期五</v>
      </c>
    </row>
    <row r="348" spans="1:23">
      <c r="A348" s="17" t="s">
        <v>22</v>
      </c>
      <c r="B348" s="1" t="s">
        <v>348</v>
      </c>
      <c r="C348" s="9">
        <v>45348</v>
      </c>
      <c r="D348" s="1" t="s">
        <v>364</v>
      </c>
      <c r="E348" s="1" t="s">
        <v>114</v>
      </c>
      <c r="F348" s="1" t="s">
        <v>346</v>
      </c>
      <c r="H348" s="1" t="s">
        <v>367</v>
      </c>
      <c r="I348" s="1">
        <v>322.41000000000003</v>
      </c>
      <c r="J348" s="27">
        <v>1</v>
      </c>
      <c r="M348" s="25">
        <f t="shared" si="41"/>
        <v>322.41000000000003</v>
      </c>
      <c r="N348" s="36">
        <f t="shared" si="35"/>
        <v>322.41000000000003</v>
      </c>
      <c r="O348" s="34">
        <f>IF(ISBLANK(A348),"",SUMIFS(I$3:I348,D$3:D348,D348,H$3:H348,"Buy")+SUMIFS(I$3:I348,D$3:D348,D348,H$3:H348,"Cash Deposit")+SUMIFS(I$3:I348,D$3:D348,D348,H$3:H348,"Crypto Deposit")+SUMIFS(I$3:I348,D$3:D348,D348,H$3:H348,"Airdrop/Rewards")-SUMIFS(I$3:I348,D$3:D348,D348,H$3:H348,"Sell"))</f>
        <v>3941.060955080382</v>
      </c>
      <c r="P348" s="2" cm="1">
        <f t="array" ref="P348">IF(ISBLANK(A348),"",IFERROR(IF(OR(H348="Sell",F348="Stable Coin"),INDEX(_xlfn._xlws.FILTER(P$2:P347, D$2:D347=D348),COUNT(_xlfn._xlws.FILTER(P$2:P347, D$2:D347=D348))),(INDEX(_xlfn._xlws.FILTER(P$2:P347, D$2:D347=D348),COUNT(_xlfn._xlws.FILTER(P$2:P347, D$2:D347=D348)))*INDEX(_xlfn._xlws.FILTER(O$2:O347, D$2:D347=D348),COUNT(_xlfn._xlws.FILTER(O$2:O347, D$2:D347=D348)))-N348) / O348), J348))</f>
        <v>1</v>
      </c>
      <c r="Q348" s="1" t="str">
        <f t="shared" si="30"/>
        <v>USD</v>
      </c>
      <c r="R348" s="1" cm="1">
        <f t="array" ref="R348">IF(A348="", "",
    IFERROR(
        _xlfn.SWITCH(
            TRUE,
            AND(Q348="USD", $Q$2="USD"), K348,
            AND(Q348="USD", $Q$2="GBP"), K348*$Z$3,
            AND(Q348="USD", $Q$2="HKD"), K348*$Z$4,
            AND(Q348="USD", $Q$2="EUR"), K348*$Z$5,
            AND(Q348="GBP", $Q$2="GBP"), K348,
            AND(Q348="GBP", $Q$2="USD"), K348*$Z$6,
            AND(Q348="GBP", $Q$2="HKD"), K348*$Z$7,
            AND(Q348="HKG", $Q$2="HKG"), K348,
            AND(Q348="HKD", $Q$2="USD"), K348*$Z$9,
            AND(Q348="HKD", $Q$2="GBP"), K348*$Z$10,
            AND(Q348="HKD", $Q$2="EUR"), K348*$Z$11,
            AND(Q348="EUR", $Q$2="EUR"), K348,
            AND(Q348="EUR", $Q$2="USD"), K348*$Z$12,
            AND(Q348="EUR", $Q$2="GBP"), K348*$Z$13,
            AND(Q348="EUR", $Q$2="HKD"), K348*$Z$14,
        ),
        0
    )
)</f>
        <v>0</v>
      </c>
      <c r="S348" s="1" cm="1">
        <f t="array" ref="S348">IF(A348="", "",
    IFERROR(
        _xlfn.SWITCH(
            TRUE,
            AND(Q348="USD", $Q$2="USD"), M348,
            AND(Q348="USD", $Q$2="GBP"), M348*$Z$3,
            AND(Q348="USD", $Q$2="HKD"), M348*$Z$4,
            AND(Q348="USD", $Q$2="EUR"), M348*$Z$5,
            AND(Q348="GBP", $Q$2="GBP"), M348,
            AND(Q348="GBP", $Q$2="USD"), M348*$Z$6,
            AND(Q348="GBP", $Q$2="HKD"), M348*$Z$7,
            AND(Q348="GBP", $Q$2="HKD"), M348*$Z$8,
            AND(Q348="HKG", $Q$2="HKG"), M348,
            AND(Q348="HKD", $Q$2="USD"), M348*$Z$9,
            AND(Q348="HKD", $Q$2="GBP"), M348*$Z$10,
            AND(Q348="HKD", $Q$2="EUR"), M348*$Z$11,
            AND(Q348="EUR", $Q$2="EUR"), M348,
            AND(Q348="EUR", $Q$2="USD"), M348*$Z$12,
            AND(Q348="EUR", $Q$2="GBP"), M348*$Z$13,
            AND(Q348="EUR", $Q$2="HKD"), M348*$Z$14,
        ),
        0
    )
)</f>
        <v>322.41000000000003</v>
      </c>
      <c r="T348" s="1" t="str">
        <f t="shared" si="37"/>
        <v>26</v>
      </c>
      <c r="U348" s="8" t="str">
        <f t="shared" si="38"/>
        <v>02</v>
      </c>
      <c r="V348" s="1" t="str">
        <f t="shared" si="39"/>
        <v>2024</v>
      </c>
      <c r="W348" s="18" t="str">
        <f t="shared" si="40"/>
        <v>星期一</v>
      </c>
    </row>
    <row r="349" spans="1:23">
      <c r="A349" s="17" t="s">
        <v>22</v>
      </c>
      <c r="B349" s="1" t="s">
        <v>348</v>
      </c>
      <c r="C349" s="9">
        <v>45348</v>
      </c>
      <c r="D349" s="1" t="s">
        <v>50</v>
      </c>
      <c r="E349" s="1" t="s">
        <v>39</v>
      </c>
      <c r="F349" s="1" t="s">
        <v>349</v>
      </c>
      <c r="H349" s="1" t="s">
        <v>347</v>
      </c>
      <c r="I349" s="1">
        <v>330</v>
      </c>
      <c r="J349" s="27">
        <v>0.97699999999999998</v>
      </c>
      <c r="K349" s="1">
        <v>0.33</v>
      </c>
      <c r="M349" s="25">
        <f t="shared" si="41"/>
        <v>322.40999999999997</v>
      </c>
      <c r="N349" s="36">
        <f t="shared" si="35"/>
        <v>-322.40999999999997</v>
      </c>
      <c r="O349" s="34">
        <f>IF(ISBLANK(A349),"",SUMIFS(I$3:I349,D$3:D349,D349,H$3:H349,"Buy")+SUMIFS(I$3:I349,D$3:D349,D349,H$3:H349,"Cash Deposit")+SUMIFS(I$3:I349,D$3:D349,D349,H$3:H349,"Crypto Deposit")+SUMIFS(I$3:I349,D$3:D349,D349,H$3:H349,"Airdrop/Rewards")-SUMIFS(I$3:I349,D$3:D349,D349,H$3:H349,"Sell"))</f>
        <v>530</v>
      </c>
      <c r="P349" s="2" cm="1">
        <f t="array" ref="P349">IF(ISBLANK(A349),"",IFERROR(IF(OR(H349="Sell",F349="Stable Coin"),INDEX(_xlfn._xlws.FILTER(P$2:P348, D$2:D348=D349),COUNT(_xlfn._xlws.FILTER(P$2:P348, D$2:D348=D349))),(INDEX(_xlfn._xlws.FILTER(P$2:P348, D$2:D348=D349),COUNT(_xlfn._xlws.FILTER(P$2:P348, D$2:D348=D349)))*INDEX(_xlfn._xlws.FILTER(O$2:O348, D$2:D348=D349),COUNT(_xlfn._xlws.FILTER(O$2:O348, D$2:D348=D349)))-N349) / O349), J349))</f>
        <v>1.038509433962264</v>
      </c>
      <c r="Q349" s="1" t="str">
        <f t="shared" si="30"/>
        <v>USD</v>
      </c>
      <c r="R349" s="1" cm="1">
        <f t="array" ref="R349">IF(A349="", "",
    IFERROR(
        _xlfn.SWITCH(
            TRUE,
            AND(Q349="USD", $Q$2="USD"), K349,
            AND(Q349="USD", $Q$2="GBP"), K349*$Z$3,
            AND(Q349="USD", $Q$2="HKD"), K349*$Z$4,
            AND(Q349="USD", $Q$2="EUR"), K349*$Z$5,
            AND(Q349="GBP", $Q$2="GBP"), K349,
            AND(Q349="GBP", $Q$2="USD"), K349*$Z$6,
            AND(Q349="GBP", $Q$2="HKD"), K349*$Z$7,
            AND(Q349="HKG", $Q$2="HKG"), K349,
            AND(Q349="HKD", $Q$2="USD"), K349*$Z$9,
            AND(Q349="HKD", $Q$2="GBP"), K349*$Z$10,
            AND(Q349="HKD", $Q$2="EUR"), K349*$Z$11,
            AND(Q349="EUR", $Q$2="EUR"), K349,
            AND(Q349="EUR", $Q$2="USD"), K349*$Z$12,
            AND(Q349="EUR", $Q$2="GBP"), K349*$Z$13,
            AND(Q349="EUR", $Q$2="HKD"), K349*$Z$14,
        ),
        0
    )
)</f>
        <v>0.33</v>
      </c>
      <c r="S349" s="1" cm="1">
        <f t="array" ref="S349">IF(A349="", "",
    IFERROR(
        _xlfn.SWITCH(
            TRUE,
            AND(Q349="USD", $Q$2="USD"), M349,
            AND(Q349="USD", $Q$2="GBP"), M349*$Z$3,
            AND(Q349="USD", $Q$2="HKD"), M349*$Z$4,
            AND(Q349="USD", $Q$2="EUR"), M349*$Z$5,
            AND(Q349="GBP", $Q$2="GBP"), M349,
            AND(Q349="GBP", $Q$2="USD"), M349*$Z$6,
            AND(Q349="GBP", $Q$2="HKD"), M349*$Z$7,
            AND(Q349="GBP", $Q$2="HKD"), M349*$Z$8,
            AND(Q349="HKG", $Q$2="HKG"), M349,
            AND(Q349="HKD", $Q$2="USD"), M349*$Z$9,
            AND(Q349="HKD", $Q$2="GBP"), M349*$Z$10,
            AND(Q349="HKD", $Q$2="EUR"), M349*$Z$11,
            AND(Q349="EUR", $Q$2="EUR"), M349,
            AND(Q349="EUR", $Q$2="USD"), M349*$Z$12,
            AND(Q349="EUR", $Q$2="GBP"), M349*$Z$13,
            AND(Q349="EUR", $Q$2="HKD"), M349*$Z$14,
        ),
        0
    )
)</f>
        <v>322.40999999999997</v>
      </c>
      <c r="T349" s="1" t="str">
        <f t="shared" si="37"/>
        <v>26</v>
      </c>
      <c r="U349" s="8" t="str">
        <f t="shared" si="38"/>
        <v>02</v>
      </c>
      <c r="V349" s="1" t="str">
        <f t="shared" si="39"/>
        <v>2024</v>
      </c>
      <c r="W349" s="18" t="str">
        <f t="shared" si="40"/>
        <v>星期一</v>
      </c>
    </row>
    <row r="350" spans="1:23">
      <c r="A350" s="17" t="s">
        <v>59</v>
      </c>
      <c r="B350" s="1" t="s">
        <v>348</v>
      </c>
      <c r="C350" s="9">
        <v>45348</v>
      </c>
      <c r="D350" s="1" t="s">
        <v>23</v>
      </c>
      <c r="E350" s="1" t="s">
        <v>357</v>
      </c>
      <c r="F350" s="1" t="s">
        <v>349</v>
      </c>
      <c r="H350" s="1" t="s">
        <v>359</v>
      </c>
      <c r="I350" s="1">
        <v>2.0362582608804199E-2</v>
      </c>
      <c r="J350" s="27">
        <v>3050</v>
      </c>
      <c r="K350" s="1">
        <v>0</v>
      </c>
      <c r="M350" s="25">
        <f t="shared" si="41"/>
        <v>62.105876956852804</v>
      </c>
      <c r="N350" s="36">
        <f t="shared" si="35"/>
        <v>0</v>
      </c>
      <c r="O350" s="34">
        <f>IF(ISBLANK(A350),"",SUMIFS(I$3:I350,D$3:D350,D350,H$3:H350,"Buy")+SUMIFS(I$3:I350,D$3:D350,D350,H$3:H350,"Cash Deposit")+SUMIFS(I$3:I350,D$3:D350,D350,H$3:H350,"Crypto Deposit")+SUMIFS(I$3:I350,D$3:D350,D350,H$3:H350,"Airdrop/Rewards")-SUMIFS(I$3:I350,D$3:D350,D350,H$3:H350,"Sell"))</f>
        <v>10.417743702608805</v>
      </c>
      <c r="P350" s="2" cm="1">
        <f t="array" ref="P350">IF(ISBLANK(A350),"",IFERROR(IF(OR(H350="Sell",F350="Stable Coin"),INDEX(_xlfn._xlws.FILTER(P$2:P349, D$2:D349=D350),COUNT(_xlfn._xlws.FILTER(P$2:P349, D$2:D349=D350))),(INDEX(_xlfn._xlws.FILTER(P$2:P349, D$2:D349=D350),COUNT(_xlfn._xlws.FILTER(P$2:P349, D$2:D349=D350)))*INDEX(_xlfn._xlws.FILTER(O$2:O349, D$2:D349=D350),COUNT(_xlfn._xlws.FILTER(O$2:O349, D$2:D349=D350)))-N350) / O350), J350))</f>
        <v>2340.8605492729898</v>
      </c>
      <c r="Q350" s="1" t="str">
        <f t="shared" si="30"/>
        <v>USD</v>
      </c>
      <c r="R350" s="1" cm="1">
        <f t="array" ref="R350">IF(A350="", "",
    IFERROR(
        _xlfn.SWITCH(
            TRUE,
            AND(Q350="USD", $Q$2="USD"), K350,
            AND(Q350="USD", $Q$2="GBP"), K350*$Z$3,
            AND(Q350="USD", $Q$2="HKD"), K350*$Z$4,
            AND(Q350="USD", $Q$2="EUR"), K350*$Z$5,
            AND(Q350="GBP", $Q$2="GBP"), K350,
            AND(Q350="GBP", $Q$2="USD"), K350*$Z$6,
            AND(Q350="GBP", $Q$2="HKD"), K350*$Z$7,
            AND(Q350="HKG", $Q$2="HKG"), K350,
            AND(Q350="HKD", $Q$2="USD"), K350*$Z$9,
            AND(Q350="HKD", $Q$2="GBP"), K350*$Z$10,
            AND(Q350="HKD", $Q$2="EUR"), K350*$Z$11,
            AND(Q350="EUR", $Q$2="EUR"), K350,
            AND(Q350="EUR", $Q$2="USD"), K350*$Z$12,
            AND(Q350="EUR", $Q$2="GBP"), K350*$Z$13,
            AND(Q350="EUR", $Q$2="HKD"), K350*$Z$14,
        ),
        0
    )
)</f>
        <v>0</v>
      </c>
      <c r="S350" s="1" cm="1">
        <f t="array" ref="S350">IF(A350="", "",
    IFERROR(
        _xlfn.SWITCH(
            TRUE,
            AND(Q350="USD", $Q$2="USD"), M350,
            AND(Q350="USD", $Q$2="GBP"), M350*$Z$3,
            AND(Q350="USD", $Q$2="HKD"), M350*$Z$4,
            AND(Q350="USD", $Q$2="EUR"), M350*$Z$5,
            AND(Q350="GBP", $Q$2="GBP"), M350,
            AND(Q350="GBP", $Q$2="USD"), M350*$Z$6,
            AND(Q350="GBP", $Q$2="HKD"), M350*$Z$7,
            AND(Q350="GBP", $Q$2="HKD"), M350*$Z$8,
            AND(Q350="HKG", $Q$2="HKG"), M350,
            AND(Q350="HKD", $Q$2="USD"), M350*$Z$9,
            AND(Q350="HKD", $Q$2="GBP"), M350*$Z$10,
            AND(Q350="HKD", $Q$2="EUR"), M350*$Z$11,
            AND(Q350="EUR", $Q$2="EUR"), M350,
            AND(Q350="EUR", $Q$2="USD"), M350*$Z$12,
            AND(Q350="EUR", $Q$2="GBP"), M350*$Z$13,
            AND(Q350="EUR", $Q$2="HKD"), M350*$Z$14,
        ),
        0
    )
)</f>
        <v>62.105876956852804</v>
      </c>
      <c r="T350" s="1" t="str">
        <f t="shared" si="37"/>
        <v>26</v>
      </c>
      <c r="U350" s="8" t="str">
        <f t="shared" si="38"/>
        <v>02</v>
      </c>
      <c r="V350" s="1" t="str">
        <f t="shared" si="39"/>
        <v>2024</v>
      </c>
      <c r="W350" s="18" t="str">
        <f t="shared" si="40"/>
        <v>星期一</v>
      </c>
    </row>
    <row r="351" spans="1:23">
      <c r="A351" s="17" t="s">
        <v>6</v>
      </c>
      <c r="B351" s="1" t="s">
        <v>348</v>
      </c>
      <c r="C351" s="9">
        <v>45349</v>
      </c>
      <c r="D351" s="1" t="s">
        <v>47</v>
      </c>
      <c r="E351" s="1" t="s">
        <v>4</v>
      </c>
      <c r="F351" s="1" t="s">
        <v>349</v>
      </c>
      <c r="H351" s="1" t="s">
        <v>367</v>
      </c>
      <c r="I351" s="1">
        <v>3.5400000000000002E-3</v>
      </c>
      <c r="J351" s="27">
        <v>56388</v>
      </c>
      <c r="K351" s="1">
        <v>0.19900000000000001</v>
      </c>
      <c r="M351" s="25">
        <f t="shared" si="41"/>
        <v>199.41452000000001</v>
      </c>
      <c r="N351" s="17">
        <f t="shared" si="35"/>
        <v>199.61352000000002</v>
      </c>
      <c r="O351" s="34">
        <f>IF(ISBLANK(A351),"",SUMIFS(I$3:I351,D$3:D351,D351,H$3:H351,"Buy")+SUMIFS(I$3:I351,D$3:D351,D351,H$3:H351,"Cash Deposit")+SUMIFS(I$3:I351,D$3:D351,D351,H$3:H351,"Crypto Deposit")+SUMIFS(I$3:I351,D$3:D351,D351,H$3:H351,"Airdrop/Rewards")-SUMIFS(I$3:I351,D$3:D351,D351,H$3:H351,"Sell"))</f>
        <v>0.32115523994681655</v>
      </c>
      <c r="P351" s="2" cm="1">
        <f t="array" ref="P351">IF(ISBLANK(A351),"",IFERROR(IF(OR(H351="Sell",F351="Stable Coin"),INDEX(_xlfn._xlws.FILTER(P$2:P350, D$2:D350=D351),COUNT(_xlfn._xlws.FILTER(P$2:P350, D$2:D350=D351))),(INDEX(_xlfn._xlws.FILTER(P$2:P350, D$2:D350=D351),COUNT(_xlfn._xlws.FILTER(P$2:P350, D$2:D350=D351)))*INDEX(_xlfn._xlws.FILTER(O$2:O350, D$2:D350=D351),COUNT(_xlfn._xlws.FILTER(O$2:O350, D$2:D350=D351)))-N351) / O351), J351))</f>
        <v>32216.561571265273</v>
      </c>
      <c r="Q351" s="1" t="str">
        <f t="shared" si="30"/>
        <v>USD</v>
      </c>
      <c r="R351" s="1" cm="1">
        <f t="array" ref="R351">IF(A351="", "",
    IFERROR(
        _xlfn.SWITCH(
            TRUE,
            AND(Q351="USD", $Q$2="USD"), K351,
            AND(Q351="USD", $Q$2="GBP"), K351*$Z$3,
            AND(Q351="USD", $Q$2="HKD"), K351*$Z$4,
            AND(Q351="USD", $Q$2="EUR"), K351*$Z$5,
            AND(Q351="GBP", $Q$2="GBP"), K351,
            AND(Q351="GBP", $Q$2="USD"), K351*$Z$6,
            AND(Q351="GBP", $Q$2="HKD"), K351*$Z$7,
            AND(Q351="HKG", $Q$2="HKG"), K351,
            AND(Q351="HKD", $Q$2="USD"), K351*$Z$9,
            AND(Q351="HKD", $Q$2="GBP"), K351*$Z$10,
            AND(Q351="HKD", $Q$2="EUR"), K351*$Z$11,
            AND(Q351="EUR", $Q$2="EUR"), K351,
            AND(Q351="EUR", $Q$2="USD"), K351*$Z$12,
            AND(Q351="EUR", $Q$2="GBP"), K351*$Z$13,
            AND(Q351="EUR", $Q$2="HKD"), K351*$Z$14,
        ),
        0
    )
)</f>
        <v>0.19900000000000001</v>
      </c>
      <c r="S351" s="1" cm="1">
        <f t="array" ref="S351">IF(A351="", "",
    IFERROR(
        _xlfn.SWITCH(
            TRUE,
            AND(Q351="USD", $Q$2="USD"), M351,
            AND(Q351="USD", $Q$2="GBP"), M351*$Z$3,
            AND(Q351="USD", $Q$2="HKD"), M351*$Z$4,
            AND(Q351="USD", $Q$2="EUR"), M351*$Z$5,
            AND(Q351="GBP", $Q$2="GBP"), M351,
            AND(Q351="GBP", $Q$2="USD"), M351*$Z$6,
            AND(Q351="GBP", $Q$2="HKD"), M351*$Z$7,
            AND(Q351="GBP", $Q$2="HKD"), M351*$Z$8,
            AND(Q351="HKG", $Q$2="HKG"), M351,
            AND(Q351="HKD", $Q$2="USD"), M351*$Z$9,
            AND(Q351="HKD", $Q$2="GBP"), M351*$Z$10,
            AND(Q351="HKD", $Q$2="EUR"), M351*$Z$11,
            AND(Q351="EUR", $Q$2="EUR"), M351,
            AND(Q351="EUR", $Q$2="USD"), M351*$Z$12,
            AND(Q351="EUR", $Q$2="GBP"), M351*$Z$13,
            AND(Q351="EUR", $Q$2="HKD"), M351*$Z$14,
        ),
        0
    )
)</f>
        <v>199.41452000000001</v>
      </c>
      <c r="T351" s="1" t="str">
        <f t="shared" si="37"/>
        <v>27</v>
      </c>
      <c r="U351" s="8" t="str">
        <f t="shared" si="38"/>
        <v>02</v>
      </c>
      <c r="V351" s="1" t="str">
        <f t="shared" si="39"/>
        <v>2024</v>
      </c>
      <c r="W351" s="18" t="str">
        <f t="shared" si="40"/>
        <v>星期二</v>
      </c>
    </row>
    <row r="352" spans="1:23">
      <c r="A352" s="17" t="s">
        <v>6</v>
      </c>
      <c r="B352" s="1" t="s">
        <v>348</v>
      </c>
      <c r="C352" s="9">
        <v>45349</v>
      </c>
      <c r="D352" s="1" t="s">
        <v>364</v>
      </c>
      <c r="E352" s="1" t="s">
        <v>114</v>
      </c>
      <c r="F352" s="1" t="s">
        <v>346</v>
      </c>
      <c r="H352" s="1" t="s">
        <v>347</v>
      </c>
      <c r="I352" s="1">
        <v>199.61351999999999</v>
      </c>
      <c r="J352" s="27">
        <v>1</v>
      </c>
      <c r="M352" s="25">
        <f t="shared" si="41"/>
        <v>199.61351999999999</v>
      </c>
      <c r="N352" s="17">
        <f t="shared" si="35"/>
        <v>-199.61351999999999</v>
      </c>
      <c r="O352" s="34">
        <f>IF(ISBLANK(A352),"",SUMIFS(I$3:I352,D$3:D352,D352,H$3:H352,"Buy")+SUMIFS(I$3:I352,D$3:D352,D352,H$3:H352,"Cash Deposit")+SUMIFS(I$3:I352,D$3:D352,D352,H$3:H352,"Crypto Deposit")+SUMIFS(I$3:I352,D$3:D352,D352,H$3:H352,"Airdrop/Rewards")-SUMIFS(I$3:I352,D$3:D352,D352,H$3:H352,"Sell"))</f>
        <v>4140.6744750803809</v>
      </c>
      <c r="P352" s="2" cm="1">
        <f t="array" ref="P352">IF(ISBLANK(A352),"",IFERROR(IF(OR(H352="Sell",F352="Stable Coin"),INDEX(_xlfn._xlws.FILTER(P$2:P351, D$2:D351=D352),COUNT(_xlfn._xlws.FILTER(P$2:P351, D$2:D351=D352))),(INDEX(_xlfn._xlws.FILTER(P$2:P351, D$2:D351=D352),COUNT(_xlfn._xlws.FILTER(P$2:P351, D$2:D351=D352)))*INDEX(_xlfn._xlws.FILTER(O$2:O351, D$2:D351=D352),COUNT(_xlfn._xlws.FILTER(O$2:O351, D$2:D351=D352)))-N352) / O352), J352))</f>
        <v>1</v>
      </c>
      <c r="Q352" s="1" t="str">
        <f t="shared" si="30"/>
        <v>USD</v>
      </c>
      <c r="R352" s="1" cm="1">
        <f t="array" ref="R352">IF(A352="", "",
    IFERROR(
        _xlfn.SWITCH(
            TRUE,
            AND(Q352="USD", $Q$2="USD"), K352,
            AND(Q352="USD", $Q$2="GBP"), K352*$Z$3,
            AND(Q352="USD", $Q$2="HKD"), K352*$Z$4,
            AND(Q352="USD", $Q$2="EUR"), K352*$Z$5,
            AND(Q352="GBP", $Q$2="GBP"), K352,
            AND(Q352="GBP", $Q$2="USD"), K352*$Z$6,
            AND(Q352="GBP", $Q$2="HKD"), K352*$Z$7,
            AND(Q352="HKG", $Q$2="HKG"), K352,
            AND(Q352="HKD", $Q$2="USD"), K352*$Z$9,
            AND(Q352="HKD", $Q$2="GBP"), K352*$Z$10,
            AND(Q352="HKD", $Q$2="EUR"), K352*$Z$11,
            AND(Q352="EUR", $Q$2="EUR"), K352,
            AND(Q352="EUR", $Q$2="USD"), K352*$Z$12,
            AND(Q352="EUR", $Q$2="GBP"), K352*$Z$13,
            AND(Q352="EUR", $Q$2="HKD"), K352*$Z$14,
        ),
        0
    )
)</f>
        <v>0</v>
      </c>
      <c r="S352" s="1" cm="1">
        <f t="array" ref="S352">IF(A352="", "",
    IFERROR(
        _xlfn.SWITCH(
            TRUE,
            AND(Q352="USD", $Q$2="USD"), M352,
            AND(Q352="USD", $Q$2="GBP"), M352*$Z$3,
            AND(Q352="USD", $Q$2="HKD"), M352*$Z$4,
            AND(Q352="USD", $Q$2="EUR"), M352*$Z$5,
            AND(Q352="GBP", $Q$2="GBP"), M352,
            AND(Q352="GBP", $Q$2="USD"), M352*$Z$6,
            AND(Q352="GBP", $Q$2="HKD"), M352*$Z$7,
            AND(Q352="GBP", $Q$2="HKD"), M352*$Z$8,
            AND(Q352="HKG", $Q$2="HKG"), M352,
            AND(Q352="HKD", $Q$2="USD"), M352*$Z$9,
            AND(Q352="HKD", $Q$2="GBP"), M352*$Z$10,
            AND(Q352="HKD", $Q$2="EUR"), M352*$Z$11,
            AND(Q352="EUR", $Q$2="EUR"), M352,
            AND(Q352="EUR", $Q$2="USD"), M352*$Z$12,
            AND(Q352="EUR", $Q$2="GBP"), M352*$Z$13,
            AND(Q352="EUR", $Q$2="HKD"), M352*$Z$14,
        ),
        0
    )
)</f>
        <v>199.61351999999999</v>
      </c>
      <c r="T352" s="1" t="str">
        <f t="shared" si="37"/>
        <v>27</v>
      </c>
      <c r="U352" s="8" t="str">
        <f t="shared" si="38"/>
        <v>02</v>
      </c>
      <c r="V352" s="1" t="str">
        <f t="shared" si="39"/>
        <v>2024</v>
      </c>
      <c r="W352" s="18" t="str">
        <f t="shared" si="40"/>
        <v>星期二</v>
      </c>
    </row>
    <row r="353" spans="1:23">
      <c r="A353" s="17" t="s">
        <v>6</v>
      </c>
      <c r="B353" s="1" t="s">
        <v>348</v>
      </c>
      <c r="C353" s="9">
        <v>45349</v>
      </c>
      <c r="D353" s="1" t="s">
        <v>47</v>
      </c>
      <c r="E353" s="1" t="s">
        <v>4</v>
      </c>
      <c r="F353" s="1" t="s">
        <v>349</v>
      </c>
      <c r="H353" s="1" t="s">
        <v>367</v>
      </c>
      <c r="I353" s="1">
        <v>4.3600000000000002E-3</v>
      </c>
      <c r="J353" s="27">
        <v>57288</v>
      </c>
      <c r="K353" s="1">
        <v>0.249</v>
      </c>
      <c r="M353" s="25">
        <f t="shared" si="41"/>
        <v>249.52668000000003</v>
      </c>
      <c r="N353" s="17">
        <f t="shared" si="35"/>
        <v>249.77568000000002</v>
      </c>
      <c r="O353" s="34">
        <f>IF(ISBLANK(A353),"",SUMIFS(I$3:I353,D$3:D353,D353,H$3:H353,"Buy")+SUMIFS(I$3:I353,D$3:D353,D353,H$3:H353,"Cash Deposit")+SUMIFS(I$3:I353,D$3:D353,D353,H$3:H353,"Crypto Deposit")+SUMIFS(I$3:I353,D$3:D353,D353,H$3:H353,"Airdrop/Rewards")-SUMIFS(I$3:I353,D$3:D353,D353,H$3:H353,"Sell"))</f>
        <v>0.31679523994681658</v>
      </c>
      <c r="P353" s="2" cm="1">
        <f t="array" ref="P353">IF(ISBLANK(A353),"",IFERROR(IF(OR(H353="Sell",F353="Stable Coin"),INDEX(_xlfn._xlws.FILTER(P$2:P352, D$2:D352=D353),COUNT(_xlfn._xlws.FILTER(P$2:P352, D$2:D352=D353))),(INDEX(_xlfn._xlws.FILTER(P$2:P352, D$2:D352=D353),COUNT(_xlfn._xlws.FILTER(P$2:P352, D$2:D352=D353)))*INDEX(_xlfn._xlws.FILTER(O$2:O352, D$2:D352=D353),COUNT(_xlfn._xlws.FILTER(O$2:O352, D$2:D352=D353)))-N353) / O353), J353))</f>
        <v>32216.561571265273</v>
      </c>
      <c r="Q353" s="1" t="str">
        <f t="shared" si="30"/>
        <v>USD</v>
      </c>
      <c r="R353" s="1" cm="1">
        <f t="array" ref="R353">IF(A353="", "",
    IFERROR(
        _xlfn.SWITCH(
            TRUE,
            AND(Q353="USD", $Q$2="USD"), K353,
            AND(Q353="USD", $Q$2="GBP"), K353*$Z$3,
            AND(Q353="USD", $Q$2="HKD"), K353*$Z$4,
            AND(Q353="USD", $Q$2="EUR"), K353*$Z$5,
            AND(Q353="GBP", $Q$2="GBP"), K353,
            AND(Q353="GBP", $Q$2="USD"), K353*$Z$6,
            AND(Q353="GBP", $Q$2="HKD"), K353*$Z$7,
            AND(Q353="HKG", $Q$2="HKG"), K353,
            AND(Q353="HKD", $Q$2="USD"), K353*$Z$9,
            AND(Q353="HKD", $Q$2="GBP"), K353*$Z$10,
            AND(Q353="HKD", $Q$2="EUR"), K353*$Z$11,
            AND(Q353="EUR", $Q$2="EUR"), K353,
            AND(Q353="EUR", $Q$2="USD"), K353*$Z$12,
            AND(Q353="EUR", $Q$2="GBP"), K353*$Z$13,
            AND(Q353="EUR", $Q$2="HKD"), K353*$Z$14,
        ),
        0
    )
)</f>
        <v>0.249</v>
      </c>
      <c r="S353" s="1" cm="1">
        <f t="array" ref="S353">IF(A353="", "",
    IFERROR(
        _xlfn.SWITCH(
            TRUE,
            AND(Q353="USD", $Q$2="USD"), M353,
            AND(Q353="USD", $Q$2="GBP"), M353*$Z$3,
            AND(Q353="USD", $Q$2="HKD"), M353*$Z$4,
            AND(Q353="USD", $Q$2="EUR"), M353*$Z$5,
            AND(Q353="GBP", $Q$2="GBP"), M353,
            AND(Q353="GBP", $Q$2="USD"), M353*$Z$6,
            AND(Q353="GBP", $Q$2="HKD"), M353*$Z$7,
            AND(Q353="GBP", $Q$2="HKD"), M353*$Z$8,
            AND(Q353="HKG", $Q$2="HKG"), M353,
            AND(Q353="HKD", $Q$2="USD"), M353*$Z$9,
            AND(Q353="HKD", $Q$2="GBP"), M353*$Z$10,
            AND(Q353="HKD", $Q$2="EUR"), M353*$Z$11,
            AND(Q353="EUR", $Q$2="EUR"), M353,
            AND(Q353="EUR", $Q$2="USD"), M353*$Z$12,
            AND(Q353="EUR", $Q$2="GBP"), M353*$Z$13,
            AND(Q353="EUR", $Q$2="HKD"), M353*$Z$14,
        ),
        0
    )
)</f>
        <v>249.52668000000003</v>
      </c>
      <c r="T353" s="1" t="str">
        <f t="shared" si="37"/>
        <v>27</v>
      </c>
      <c r="U353" s="8" t="str">
        <f t="shared" si="38"/>
        <v>02</v>
      </c>
      <c r="V353" s="1" t="str">
        <f t="shared" si="39"/>
        <v>2024</v>
      </c>
      <c r="W353" s="18" t="str">
        <f t="shared" si="40"/>
        <v>星期二</v>
      </c>
    </row>
    <row r="354" spans="1:23">
      <c r="A354" s="17" t="s">
        <v>6</v>
      </c>
      <c r="B354" s="1" t="s">
        <v>348</v>
      </c>
      <c r="C354" s="9">
        <v>45349</v>
      </c>
      <c r="D354" s="1" t="s">
        <v>364</v>
      </c>
      <c r="E354" s="1" t="s">
        <v>114</v>
      </c>
      <c r="F354" s="1" t="s">
        <v>346</v>
      </c>
      <c r="H354" s="1" t="s">
        <v>347</v>
      </c>
      <c r="I354" s="1">
        <v>249.77567999999999</v>
      </c>
      <c r="J354" s="27">
        <v>1</v>
      </c>
      <c r="M354" s="25">
        <f t="shared" si="41"/>
        <v>249.77567999999999</v>
      </c>
      <c r="N354" s="17">
        <f t="shared" si="35"/>
        <v>-249.77567999999999</v>
      </c>
      <c r="O354" s="34">
        <f>IF(ISBLANK(A354),"",SUMIFS(I$3:I354,D$3:D354,D354,H$3:H354,"Buy")+SUMIFS(I$3:I354,D$3:D354,D354,H$3:H354,"Cash Deposit")+SUMIFS(I$3:I354,D$3:D354,D354,H$3:H354,"Crypto Deposit")+SUMIFS(I$3:I354,D$3:D354,D354,H$3:H354,"Airdrop/Rewards")-SUMIFS(I$3:I354,D$3:D354,D354,H$3:H354,"Sell"))</f>
        <v>4390.4501550803798</v>
      </c>
      <c r="P354" s="2" cm="1">
        <f t="array" ref="P354">IF(ISBLANK(A354),"",IFERROR(IF(OR(H354="Sell",F354="Stable Coin"),INDEX(_xlfn._xlws.FILTER(P$2:P353, D$2:D353=D354),COUNT(_xlfn._xlws.FILTER(P$2:P353, D$2:D353=D354))),(INDEX(_xlfn._xlws.FILTER(P$2:P353, D$2:D353=D354),COUNT(_xlfn._xlws.FILTER(P$2:P353, D$2:D353=D354)))*INDEX(_xlfn._xlws.FILTER(O$2:O353, D$2:D353=D354),COUNT(_xlfn._xlws.FILTER(O$2:O353, D$2:D353=D354)))-N354) / O354), J354))</f>
        <v>1</v>
      </c>
      <c r="Q354" s="1" t="str">
        <f t="shared" ref="Q354:Q356" si="42">B354</f>
        <v>USD</v>
      </c>
      <c r="R354" s="1" cm="1">
        <f t="array" ref="R354">IF(A354="", "",
    IFERROR(
        _xlfn.SWITCH(
            TRUE,
            AND(Q354="USD", $Q$2="USD"), K354,
            AND(Q354="USD", $Q$2="GBP"), K354*$Z$3,
            AND(Q354="USD", $Q$2="HKD"), K354*$Z$4,
            AND(Q354="USD", $Q$2="EUR"), K354*$Z$5,
            AND(Q354="GBP", $Q$2="GBP"), K354,
            AND(Q354="GBP", $Q$2="USD"), K354*$Z$6,
            AND(Q354="GBP", $Q$2="HKD"), K354*$Z$7,
            AND(Q354="HKG", $Q$2="HKG"), K354,
            AND(Q354="HKD", $Q$2="USD"), K354*$Z$9,
            AND(Q354="HKD", $Q$2="GBP"), K354*$Z$10,
            AND(Q354="HKD", $Q$2="EUR"), K354*$Z$11,
            AND(Q354="EUR", $Q$2="EUR"), K354,
            AND(Q354="EUR", $Q$2="USD"), K354*$Z$12,
            AND(Q354="EUR", $Q$2="GBP"), K354*$Z$13,
            AND(Q354="EUR", $Q$2="HKD"), K354*$Z$14,
        ),
        0
    )
)</f>
        <v>0</v>
      </c>
      <c r="S354" s="1" cm="1">
        <f t="array" ref="S354">IF(A354="", "",
    IFERROR(
        _xlfn.SWITCH(
            TRUE,
            AND(Q354="USD", $Q$2="USD"), M354,
            AND(Q354="USD", $Q$2="GBP"), M354*$Z$3,
            AND(Q354="USD", $Q$2="HKD"), M354*$Z$4,
            AND(Q354="USD", $Q$2="EUR"), M354*$Z$5,
            AND(Q354="GBP", $Q$2="GBP"), M354,
            AND(Q354="GBP", $Q$2="USD"), M354*$Z$6,
            AND(Q354="GBP", $Q$2="HKD"), M354*$Z$7,
            AND(Q354="GBP", $Q$2="HKD"), M354*$Z$8,
            AND(Q354="HKG", $Q$2="HKG"), M354,
            AND(Q354="HKD", $Q$2="USD"), M354*$Z$9,
            AND(Q354="HKD", $Q$2="GBP"), M354*$Z$10,
            AND(Q354="HKD", $Q$2="EUR"), M354*$Z$11,
            AND(Q354="EUR", $Q$2="EUR"), M354,
            AND(Q354="EUR", $Q$2="USD"), M354*$Z$12,
            AND(Q354="EUR", $Q$2="GBP"), M354*$Z$13,
            AND(Q354="EUR", $Q$2="HKD"), M354*$Z$14,
        ),
        0
    )
)</f>
        <v>249.77567999999999</v>
      </c>
      <c r="T354" s="1" t="str">
        <f t="shared" si="37"/>
        <v>27</v>
      </c>
      <c r="U354" s="8" t="str">
        <f t="shared" si="38"/>
        <v>02</v>
      </c>
      <c r="V354" s="1" t="str">
        <f t="shared" si="39"/>
        <v>2024</v>
      </c>
      <c r="W354" s="18" t="str">
        <f t="shared" si="40"/>
        <v>星期二</v>
      </c>
    </row>
    <row r="355" spans="1:23">
      <c r="A355" s="17" t="s">
        <v>6</v>
      </c>
      <c r="B355" s="1" t="s">
        <v>348</v>
      </c>
      <c r="C355" s="9">
        <v>45350</v>
      </c>
      <c r="D355" s="1" t="s">
        <v>47</v>
      </c>
      <c r="E355" s="1" t="s">
        <v>4</v>
      </c>
      <c r="F355" s="1" t="s">
        <v>349</v>
      </c>
      <c r="H355" s="1" t="s">
        <v>367</v>
      </c>
      <c r="I355" s="1">
        <v>4.1999999999999997E-3</v>
      </c>
      <c r="J355" s="27">
        <v>59388</v>
      </c>
      <c r="K355" s="1">
        <v>0.249</v>
      </c>
      <c r="M355" s="25">
        <f t="shared" si="41"/>
        <v>249.1806</v>
      </c>
      <c r="N355" s="17">
        <f t="shared" si="35"/>
        <v>249.42959999999999</v>
      </c>
      <c r="O355" s="34">
        <f>IF(ISBLANK(A355),"",SUMIFS(I$3:I355,D$3:D355,D355,H$3:H355,"Buy")+SUMIFS(I$3:I355,D$3:D355,D355,H$3:H355,"Cash Deposit")+SUMIFS(I$3:I355,D$3:D355,D355,H$3:H355,"Crypto Deposit")+SUMIFS(I$3:I355,D$3:D355,D355,H$3:H355,"Airdrop/Rewards")-SUMIFS(I$3:I355,D$3:D355,D355,H$3:H355,"Sell"))</f>
        <v>0.31259523994681654</v>
      </c>
      <c r="P355" s="2" cm="1">
        <f t="array" ref="P355">IF(ISBLANK(A355),"",IFERROR(IF(OR(H355="Sell",F355="Stable Coin"),INDEX(_xlfn._xlws.FILTER(P$2:P354, D$2:D354=D355),COUNT(_xlfn._xlws.FILTER(P$2:P354, D$2:D354=D355))),(INDEX(_xlfn._xlws.FILTER(P$2:P354, D$2:D354=D355),COUNT(_xlfn._xlws.FILTER(P$2:P354, D$2:D354=D355)))*INDEX(_xlfn._xlws.FILTER(O$2:O354, D$2:D354=D355),COUNT(_xlfn._xlws.FILTER(O$2:O354, D$2:D354=D355)))-N355) / O355), J355))</f>
        <v>32216.561571265273</v>
      </c>
      <c r="Q355" s="1" t="str">
        <f t="shared" si="42"/>
        <v>USD</v>
      </c>
      <c r="R355" s="1" cm="1">
        <f t="array" ref="R355">IF(A355="", "",
    IFERROR(
        _xlfn.SWITCH(
            TRUE,
            AND(Q355="USD", $Q$2="USD"), K355,
            AND(Q355="USD", $Q$2="GBP"), K355*$Z$3,
            AND(Q355="USD", $Q$2="HKD"), K355*$Z$4,
            AND(Q355="USD", $Q$2="EUR"), K355*$Z$5,
            AND(Q355="GBP", $Q$2="GBP"), K355,
            AND(Q355="GBP", $Q$2="USD"), K355*$Z$6,
            AND(Q355="GBP", $Q$2="HKD"), K355*$Z$7,
            AND(Q355="HKG", $Q$2="HKG"), K355,
            AND(Q355="HKD", $Q$2="USD"), K355*$Z$9,
            AND(Q355="HKD", $Q$2="GBP"), K355*$Z$10,
            AND(Q355="HKD", $Q$2="EUR"), K355*$Z$11,
            AND(Q355="EUR", $Q$2="EUR"), K355,
            AND(Q355="EUR", $Q$2="USD"), K355*$Z$12,
            AND(Q355="EUR", $Q$2="GBP"), K355*$Z$13,
            AND(Q355="EUR", $Q$2="HKD"), K355*$Z$14,
        ),
        0
    )
)</f>
        <v>0.249</v>
      </c>
      <c r="S355" s="1" cm="1">
        <f t="array" ref="S355">IF(A355="", "",
    IFERROR(
        _xlfn.SWITCH(
            TRUE,
            AND(Q355="USD", $Q$2="USD"), M355,
            AND(Q355="USD", $Q$2="GBP"), M355*$Z$3,
            AND(Q355="USD", $Q$2="HKD"), M355*$Z$4,
            AND(Q355="USD", $Q$2="EUR"), M355*$Z$5,
            AND(Q355="GBP", $Q$2="GBP"), M355,
            AND(Q355="GBP", $Q$2="USD"), M355*$Z$6,
            AND(Q355="GBP", $Q$2="HKD"), M355*$Z$7,
            AND(Q355="GBP", $Q$2="HKD"), M355*$Z$8,
            AND(Q355="HKG", $Q$2="HKG"), M355,
            AND(Q355="HKD", $Q$2="USD"), M355*$Z$9,
            AND(Q355="HKD", $Q$2="GBP"), M355*$Z$10,
            AND(Q355="HKD", $Q$2="EUR"), M355*$Z$11,
            AND(Q355="EUR", $Q$2="EUR"), M355,
            AND(Q355="EUR", $Q$2="USD"), M355*$Z$12,
            AND(Q355="EUR", $Q$2="GBP"), M355*$Z$13,
            AND(Q355="EUR", $Q$2="HKD"), M355*$Z$14,
        ),
        0
    )
)</f>
        <v>249.1806</v>
      </c>
      <c r="T355" s="1" t="str">
        <f t="shared" ref="T355:T356" si="43">IF(ISBLANK(A355),"",TEXT(C355,"D"))</f>
        <v>28</v>
      </c>
      <c r="U355" s="8" t="str">
        <f t="shared" ref="U355:U356" si="44">IF(ISBLANK(A355),"",TEXT(C355,"MM"))</f>
        <v>02</v>
      </c>
      <c r="V355" s="1" t="str">
        <f t="shared" ref="V355:V356" si="45">IF(ISBLANK(A355),"",TEXT(C355,"YYYY"))</f>
        <v>2024</v>
      </c>
      <c r="W355" s="18" t="str">
        <f t="shared" ref="W355:W356" si="46">IF(ISBLANK(A355),"",TEXT(WEEKDAY(C355,1),"dddd"))</f>
        <v>星期三</v>
      </c>
    </row>
    <row r="356" spans="1:23">
      <c r="A356" s="17" t="s">
        <v>6</v>
      </c>
      <c r="B356" s="1" t="s">
        <v>348</v>
      </c>
      <c r="C356" s="9">
        <v>45350</v>
      </c>
      <c r="D356" s="1" t="s">
        <v>364</v>
      </c>
      <c r="E356" s="1" t="s">
        <v>114</v>
      </c>
      <c r="F356" s="1" t="s">
        <v>346</v>
      </c>
      <c r="H356" s="1" t="s">
        <v>347</v>
      </c>
      <c r="I356" s="1">
        <v>249.42959999999999</v>
      </c>
      <c r="J356" s="27">
        <v>1</v>
      </c>
      <c r="M356" s="25">
        <f t="shared" si="41"/>
        <v>249.42959999999999</v>
      </c>
      <c r="N356" s="17">
        <f t="shared" si="35"/>
        <v>-249.42959999999999</v>
      </c>
      <c r="O356" s="34">
        <f>IF(ISBLANK(A356),"",SUMIFS(I$3:I356,D$3:D356,D356,H$3:H356,"Buy")+SUMIFS(I$3:I356,D$3:D356,D356,H$3:H356,"Cash Deposit")+SUMIFS(I$3:I356,D$3:D356,D356,H$3:H356,"Crypto Deposit")+SUMIFS(I$3:I356,D$3:D356,D356,H$3:H356,"Airdrop/Rewards")-SUMIFS(I$3:I356,D$3:D356,D356,H$3:H356,"Sell"))</f>
        <v>4639.8797550803829</v>
      </c>
      <c r="P356" s="2" cm="1">
        <f t="array" ref="P356">IF(ISBLANK(A356),"",IFERROR(IF(OR(H356="Sell",F356="Stable Coin"),INDEX(_xlfn._xlws.FILTER(P$2:P355, D$2:D355=D356),COUNT(_xlfn._xlws.FILTER(P$2:P355, D$2:D355=D356))),(INDEX(_xlfn._xlws.FILTER(P$2:P355, D$2:D355=D356),COUNT(_xlfn._xlws.FILTER(P$2:P355, D$2:D355=D356)))*INDEX(_xlfn._xlws.FILTER(O$2:O355, D$2:D355=D356),COUNT(_xlfn._xlws.FILTER(O$2:O355, D$2:D355=D356)))-N356) / O356), J356))</f>
        <v>1</v>
      </c>
      <c r="Q356" s="1" t="str">
        <f t="shared" si="42"/>
        <v>USD</v>
      </c>
      <c r="R356" s="1" cm="1">
        <f t="array" ref="R356">IF(A356="", "",
    IFERROR(
        _xlfn.SWITCH(
            TRUE,
            AND(Q356="USD", $Q$2="USD"), K356,
            AND(Q356="USD", $Q$2="GBP"), K356*$Z$3,
            AND(Q356="USD", $Q$2="HKD"), K356*$Z$4,
            AND(Q356="USD", $Q$2="EUR"), K356*$Z$5,
            AND(Q356="GBP", $Q$2="GBP"), K356,
            AND(Q356="GBP", $Q$2="USD"), K356*$Z$6,
            AND(Q356="GBP", $Q$2="HKD"), K356*$Z$7,
            AND(Q356="HKG", $Q$2="HKG"), K356,
            AND(Q356="HKD", $Q$2="USD"), K356*$Z$9,
            AND(Q356="HKD", $Q$2="GBP"), K356*$Z$10,
            AND(Q356="HKD", $Q$2="EUR"), K356*$Z$11,
            AND(Q356="EUR", $Q$2="EUR"), K356,
            AND(Q356="EUR", $Q$2="USD"), K356*$Z$12,
            AND(Q356="EUR", $Q$2="GBP"), K356*$Z$13,
            AND(Q356="EUR", $Q$2="HKD"), K356*$Z$14,
        ),
        0
    )
)</f>
        <v>0</v>
      </c>
      <c r="S356" s="1" cm="1">
        <f t="array" ref="S356">IF(A356="", "",
    IFERROR(
        _xlfn.SWITCH(
            TRUE,
            AND(Q356="USD", $Q$2="USD"), M356,
            AND(Q356="USD", $Q$2="GBP"), M356*$Z$3,
            AND(Q356="USD", $Q$2="HKD"), M356*$Z$4,
            AND(Q356="USD", $Q$2="EUR"), M356*$Z$5,
            AND(Q356="GBP", $Q$2="GBP"), M356,
            AND(Q356="GBP", $Q$2="USD"), M356*$Z$6,
            AND(Q356="GBP", $Q$2="HKD"), M356*$Z$7,
            AND(Q356="GBP", $Q$2="HKD"), M356*$Z$8,
            AND(Q356="HKG", $Q$2="HKG"), M356,
            AND(Q356="HKD", $Q$2="USD"), M356*$Z$9,
            AND(Q356="HKD", $Q$2="GBP"), M356*$Z$10,
            AND(Q356="HKD", $Q$2="EUR"), M356*$Z$11,
            AND(Q356="EUR", $Q$2="EUR"), M356,
            AND(Q356="EUR", $Q$2="USD"), M356*$Z$12,
            AND(Q356="EUR", $Q$2="GBP"), M356*$Z$13,
            AND(Q356="EUR", $Q$2="HKD"), M356*$Z$14,
        ),
        0
    )
)</f>
        <v>249.42959999999999</v>
      </c>
      <c r="T356" s="1" t="str">
        <f t="shared" si="43"/>
        <v>28</v>
      </c>
      <c r="U356" s="8" t="str">
        <f t="shared" si="44"/>
        <v>02</v>
      </c>
      <c r="V356" s="1" t="str">
        <f t="shared" si="45"/>
        <v>2024</v>
      </c>
      <c r="W356" s="18" t="str">
        <f t="shared" si="46"/>
        <v>星期三</v>
      </c>
    </row>
    <row r="357" spans="1:23">
      <c r="A357" s="17" t="s">
        <v>6</v>
      </c>
      <c r="B357" s="1" t="s">
        <v>348</v>
      </c>
      <c r="C357" s="9">
        <v>45350</v>
      </c>
      <c r="D357" s="1" t="s">
        <v>364</v>
      </c>
      <c r="E357" s="1" t="s">
        <v>114</v>
      </c>
      <c r="F357" s="1" t="s">
        <v>346</v>
      </c>
      <c r="H357" s="1" t="s">
        <v>367</v>
      </c>
      <c r="I357" s="1">
        <v>129.05760000000001</v>
      </c>
      <c r="J357" s="27">
        <v>1</v>
      </c>
      <c r="K357" s="1">
        <v>0.1</v>
      </c>
      <c r="M357" s="25">
        <f>IF(ISBLANK(A357),"",IF(OR(H357="Sell", H357="Cash Withdrawal"), (I357*J357)-K357, I357*J357))</f>
        <v>128.95760000000001</v>
      </c>
      <c r="N357" s="17">
        <f t="shared" si="35"/>
        <v>129.05760000000001</v>
      </c>
      <c r="O357" s="34">
        <f>IF(ISBLANK(A357),"",SUMIFS(I$3:I357,D$3:D357,D357,H$3:H357,"Buy")+SUMIFS(I$3:I357,D$3:D357,D357,H$3:H357,"Cash Deposit")+SUMIFS(I$3:I357,D$3:D357,D357,H$3:H357,"Crypto Deposit")+SUMIFS(I$3:I357,D$3:D357,D357,H$3:H357,"Airdrop/Rewards")-SUMIFS(I$3:I357,D$3:D357,D357,H$3:H357,"Sell"))</f>
        <v>4510.8221550803828</v>
      </c>
      <c r="P357" s="2" cm="1">
        <f t="array" ref="P357">IF(ISBLANK(A357),"",IFERROR(IF(OR(H357="Sell",F357="Stable Coin"),INDEX(_xlfn._xlws.FILTER(P$2:P356, D$2:D356=D357),COUNT(_xlfn._xlws.FILTER(P$2:P356, D$2:D356=D357))),(INDEX(_xlfn._xlws.FILTER(P$2:P356, D$2:D356=D357),COUNT(_xlfn._xlws.FILTER(P$2:P356, D$2:D356=D357)))*INDEX(_xlfn._xlws.FILTER(O$2:O356, D$2:D356=D357),COUNT(_xlfn._xlws.FILTER(O$2:O356, D$2:D356=D357)))-N357) / O357), J357))</f>
        <v>1</v>
      </c>
      <c r="Q357" s="1" t="str">
        <f t="shared" ref="Q357:Q358" si="47">B357</f>
        <v>USD</v>
      </c>
      <c r="R357" s="1" cm="1">
        <f t="array" ref="R357">IF(A357="", "",
    IFERROR(
        _xlfn.SWITCH(
            TRUE,
            AND(Q357="USD", $Q$2="USD"), K357,
            AND(Q357="USD", $Q$2="GBP"), K357*$Z$3,
            AND(Q357="USD", $Q$2="HKD"), K357*$Z$4,
            AND(Q357="USD", $Q$2="EUR"), K357*$Z$5,
            AND(Q357="GBP", $Q$2="GBP"), K357,
            AND(Q357="GBP", $Q$2="USD"), K357*$Z$6,
            AND(Q357="GBP", $Q$2="HKD"), K357*$Z$7,
            AND(Q357="HKG", $Q$2="HKG"), K357,
            AND(Q357="HKD", $Q$2="USD"), K357*$Z$9,
            AND(Q357="HKD", $Q$2="GBP"), K357*$Z$10,
            AND(Q357="HKD", $Q$2="EUR"), K357*$Z$11,
            AND(Q357="EUR", $Q$2="EUR"), K357,
            AND(Q357="EUR", $Q$2="USD"), K357*$Z$12,
            AND(Q357="EUR", $Q$2="GBP"), K357*$Z$13,
            AND(Q357="EUR", $Q$2="HKD"), K357*$Z$14,
        ),
        0
    )
)</f>
        <v>0.1</v>
      </c>
      <c r="S357" s="1" cm="1">
        <f t="array" ref="S357">IF(A357="", "",
    IFERROR(
        _xlfn.SWITCH(
            TRUE,
            AND(Q357="USD", $Q$2="USD"), M357,
            AND(Q357="USD", $Q$2="GBP"), M357*$Z$3,
            AND(Q357="USD", $Q$2="HKD"), M357*$Z$4,
            AND(Q357="USD", $Q$2="EUR"), M357*$Z$5,
            AND(Q357="GBP", $Q$2="GBP"), M357,
            AND(Q357="GBP", $Q$2="USD"), M357*$Z$6,
            AND(Q357="GBP", $Q$2="HKD"), M357*$Z$7,
            AND(Q357="GBP", $Q$2="HKD"), M357*$Z$8,
            AND(Q357="HKG", $Q$2="HKG"), M357,
            AND(Q357="HKD", $Q$2="USD"), M357*$Z$9,
            AND(Q357="HKD", $Q$2="GBP"), M357*$Z$10,
            AND(Q357="HKD", $Q$2="EUR"), M357*$Z$11,
            AND(Q357="EUR", $Q$2="EUR"), M357,
            AND(Q357="EUR", $Q$2="USD"), M357*$Z$12,
            AND(Q357="EUR", $Q$2="GBP"), M357*$Z$13,
            AND(Q357="EUR", $Q$2="HKD"), M357*$Z$14,
        ),
        0
    )
)</f>
        <v>128.95760000000001</v>
      </c>
      <c r="T357" s="1" t="str">
        <f t="shared" ref="T357:T358" si="48">IF(ISBLANK(A357),"",TEXT(C357,"D"))</f>
        <v>28</v>
      </c>
      <c r="U357" s="8" t="str">
        <f t="shared" ref="U357:U358" si="49">IF(ISBLANK(A357),"",TEXT(C357,"MM"))</f>
        <v>02</v>
      </c>
      <c r="V357" s="1" t="str">
        <f t="shared" ref="V357:V358" si="50">IF(ISBLANK(A357),"",TEXT(C357,"YYYY"))</f>
        <v>2024</v>
      </c>
      <c r="W357" s="18" t="str">
        <f t="shared" ref="W357:W358" si="51">IF(ISBLANK(A357),"",TEXT(WEEKDAY(C357,1),"dddd"))</f>
        <v>星期三</v>
      </c>
    </row>
    <row r="358" spans="1:23">
      <c r="A358" s="17" t="s">
        <v>6</v>
      </c>
      <c r="B358" s="1" t="s">
        <v>348</v>
      </c>
      <c r="C358" s="9">
        <v>45350</v>
      </c>
      <c r="D358" s="1" t="s">
        <v>372</v>
      </c>
      <c r="E358" s="1" t="s">
        <v>143</v>
      </c>
      <c r="F358" s="1" t="s">
        <v>349</v>
      </c>
      <c r="H358" s="1" t="s">
        <v>347</v>
      </c>
      <c r="I358" s="1">
        <v>10.02</v>
      </c>
      <c r="J358" s="27">
        <v>12.88</v>
      </c>
      <c r="M358" s="25">
        <f>IF(ISBLANK(A358),"",IF(OR(H358="Sell", H358="Cash Withdrawal"), (I358*J358)-K358, I358*J358))</f>
        <v>129.05760000000001</v>
      </c>
      <c r="N358" s="17">
        <f t="shared" si="35"/>
        <v>-129.05760000000001</v>
      </c>
      <c r="O358" s="34">
        <f>IF(ISBLANK(A358),"",SUMIFS(I$3:I358,D$3:D358,D358,H$3:H358,"Buy")+SUMIFS(I$3:I358,D$3:D358,D358,H$3:H358,"Cash Deposit")+SUMIFS(I$3:I358,D$3:D358,D358,H$3:H358,"Crypto Deposit")+SUMIFS(I$3:I358,D$3:D358,D358,H$3:H358,"Airdrop/Rewards")-SUMIFS(I$3:I358,D$3:D358,D358,H$3:H358,"Sell"))</f>
        <v>20.009999999999998</v>
      </c>
      <c r="P358" s="2" cm="1">
        <f t="array" ref="P358">IF(ISBLANK(A358),"",IFERROR(IF(OR(H358="Sell",F358="Stable Coin"),INDEX(_xlfn._xlws.FILTER(P$2:P357, D$2:D357=D358),COUNT(_xlfn._xlws.FILTER(P$2:P357, D$2:D357=D358))),(INDEX(_xlfn._xlws.FILTER(P$2:P357, D$2:D357=D358),COUNT(_xlfn._xlws.FILTER(P$2:P357, D$2:D357=D358)))*INDEX(_xlfn._xlws.FILTER(O$2:O357, D$2:D357=D358),COUNT(_xlfn._xlws.FILTER(O$2:O357, D$2:D357=D358)))-N358) / O358), J358))</f>
        <v>12.211004497751125</v>
      </c>
      <c r="Q358" s="1" t="str">
        <f t="shared" si="47"/>
        <v>USD</v>
      </c>
      <c r="R358" s="1" cm="1">
        <f t="array" ref="R358">IF(A358="", "",
    IFERROR(
        _xlfn.SWITCH(
            TRUE,
            AND(Q358="USD", $Q$2="USD"), K358,
            AND(Q358="USD", $Q$2="GBP"), K358*$Z$3,
            AND(Q358="USD", $Q$2="HKD"), K358*$Z$4,
            AND(Q358="USD", $Q$2="EUR"), K358*$Z$5,
            AND(Q358="GBP", $Q$2="GBP"), K358,
            AND(Q358="GBP", $Q$2="USD"), K358*$Z$6,
            AND(Q358="GBP", $Q$2="HKD"), K358*$Z$7,
            AND(Q358="HKG", $Q$2="HKG"), K358,
            AND(Q358="HKD", $Q$2="USD"), K358*$Z$9,
            AND(Q358="HKD", $Q$2="GBP"), K358*$Z$10,
            AND(Q358="HKD", $Q$2="EUR"), K358*$Z$11,
            AND(Q358="EUR", $Q$2="EUR"), K358,
            AND(Q358="EUR", $Q$2="USD"), K358*$Z$12,
            AND(Q358="EUR", $Q$2="GBP"), K358*$Z$13,
            AND(Q358="EUR", $Q$2="HKD"), K358*$Z$14,
        ),
        0
    )
)</f>
        <v>0</v>
      </c>
      <c r="S358" s="1" cm="1">
        <f t="array" ref="S358">IF(A358="", "",
    IFERROR(
        _xlfn.SWITCH(
            TRUE,
            AND(Q358="USD", $Q$2="USD"), M358,
            AND(Q358="USD", $Q$2="GBP"), M358*$Z$3,
            AND(Q358="USD", $Q$2="HKD"), M358*$Z$4,
            AND(Q358="USD", $Q$2="EUR"), M358*$Z$5,
            AND(Q358="GBP", $Q$2="GBP"), M358,
            AND(Q358="GBP", $Q$2="USD"), M358*$Z$6,
            AND(Q358="GBP", $Q$2="HKD"), M358*$Z$7,
            AND(Q358="GBP", $Q$2="HKD"), M358*$Z$8,
            AND(Q358="HKG", $Q$2="HKG"), M358,
            AND(Q358="HKD", $Q$2="USD"), M358*$Z$9,
            AND(Q358="HKD", $Q$2="GBP"), M358*$Z$10,
            AND(Q358="HKD", $Q$2="EUR"), M358*$Z$11,
            AND(Q358="EUR", $Q$2="EUR"), M358,
            AND(Q358="EUR", $Q$2="USD"), M358*$Z$12,
            AND(Q358="EUR", $Q$2="GBP"), M358*$Z$13,
            AND(Q358="EUR", $Q$2="HKD"), M358*$Z$14,
        ),
        0
    )
)</f>
        <v>129.05760000000001</v>
      </c>
      <c r="T358" s="1" t="str">
        <f t="shared" si="48"/>
        <v>28</v>
      </c>
      <c r="U358" s="8" t="str">
        <f t="shared" si="49"/>
        <v>02</v>
      </c>
      <c r="V358" s="1" t="str">
        <f t="shared" si="50"/>
        <v>2024</v>
      </c>
      <c r="W358" s="18" t="str">
        <f t="shared" si="51"/>
        <v>星期三</v>
      </c>
    </row>
    <row r="359" spans="1:23">
      <c r="A359" s="17" t="s">
        <v>6</v>
      </c>
      <c r="B359" s="1" t="s">
        <v>348</v>
      </c>
      <c r="C359" s="9">
        <v>45350</v>
      </c>
      <c r="D359" s="1" t="s">
        <v>47</v>
      </c>
      <c r="E359" s="1" t="s">
        <v>4</v>
      </c>
      <c r="F359" s="1" t="s">
        <v>349</v>
      </c>
      <c r="H359" s="1" t="s">
        <v>367</v>
      </c>
      <c r="I359" s="1">
        <v>4.9500000000000004E-3</v>
      </c>
      <c r="J359" s="27">
        <v>60600</v>
      </c>
      <c r="K359" s="1">
        <v>0.29899999999999999</v>
      </c>
      <c r="M359" s="25">
        <f t="shared" ref="M359:M428" si="52">IF(ISBLANK(A359),"",IF(OR(H359="Sell", H359="Cash Withdrawal"), (I359*J359)-K359, I359*J359))</f>
        <v>299.67100000000005</v>
      </c>
      <c r="N359" s="17">
        <f t="shared" si="35"/>
        <v>299.97000000000003</v>
      </c>
      <c r="O359" s="34">
        <f>IF(ISBLANK(A359),"",SUMIFS(I$3:I359,D$3:D359,D359,H$3:H359,"Buy")+SUMIFS(I$3:I359,D$3:D359,D359,H$3:H359,"Cash Deposit")+SUMIFS(I$3:I359,D$3:D359,D359,H$3:H359,"Crypto Deposit")+SUMIFS(I$3:I359,D$3:D359,D359,H$3:H359,"Airdrop/Rewards")-SUMIFS(I$3:I359,D$3:D359,D359,H$3:H359,"Sell"))</f>
        <v>0.30764523994681653</v>
      </c>
      <c r="P359" s="2" cm="1">
        <f t="array" ref="P359">IF(ISBLANK(A359),"",IFERROR(IF(OR(H359="Sell",F359="Stable Coin"),INDEX(_xlfn._xlws.FILTER(P$2:P358, D$2:D358=D359),COUNT(_xlfn._xlws.FILTER(P$2:P358, D$2:D358=D359))),(INDEX(_xlfn._xlws.FILTER(P$2:P358, D$2:D358=D359),COUNT(_xlfn._xlws.FILTER(P$2:P358, D$2:D358=D359)))*INDEX(_xlfn._xlws.FILTER(O$2:O358, D$2:D358=D359),COUNT(_xlfn._xlws.FILTER(O$2:O358, D$2:D358=D359)))-N359) / O359), J359))</f>
        <v>32216.561571265273</v>
      </c>
      <c r="Q359" s="1" t="str">
        <f t="shared" ref="Q359:Q360" si="53">B359</f>
        <v>USD</v>
      </c>
      <c r="R359" s="1" cm="1">
        <f t="array" ref="R359">IF(A359="", "",
    IFERROR(
        _xlfn.SWITCH(
            TRUE,
            AND(Q359="USD", $Q$2="USD"), K359,
            AND(Q359="USD", $Q$2="GBP"), K359*$Z$3,
            AND(Q359="USD", $Q$2="HKD"), K359*$Z$4,
            AND(Q359="USD", $Q$2="EUR"), K359*$Z$5,
            AND(Q359="GBP", $Q$2="GBP"), K359,
            AND(Q359="GBP", $Q$2="USD"), K359*$Z$6,
            AND(Q359="GBP", $Q$2="HKD"), K359*$Z$7,
            AND(Q359="HKG", $Q$2="HKG"), K359,
            AND(Q359="HKD", $Q$2="USD"), K359*$Z$9,
            AND(Q359="HKD", $Q$2="GBP"), K359*$Z$10,
            AND(Q359="HKD", $Q$2="EUR"), K359*$Z$11,
            AND(Q359="EUR", $Q$2="EUR"), K359,
            AND(Q359="EUR", $Q$2="USD"), K359*$Z$12,
            AND(Q359="EUR", $Q$2="GBP"), K359*$Z$13,
            AND(Q359="EUR", $Q$2="HKD"), K359*$Z$14,
        ),
        0
    )
)</f>
        <v>0.29899999999999999</v>
      </c>
      <c r="S359" s="1" cm="1">
        <f t="array" ref="S359">IF(A359="", "",
    IFERROR(
        _xlfn.SWITCH(
            TRUE,
            AND(Q359="USD", $Q$2="USD"), M359,
            AND(Q359="USD", $Q$2="GBP"), M359*$Z$3,
            AND(Q359="USD", $Q$2="HKD"), M359*$Z$4,
            AND(Q359="USD", $Q$2="EUR"), M359*$Z$5,
            AND(Q359="GBP", $Q$2="GBP"), M359,
            AND(Q359="GBP", $Q$2="USD"), M359*$Z$6,
            AND(Q359="GBP", $Q$2="HKD"), M359*$Z$7,
            AND(Q359="GBP", $Q$2="HKD"), M359*$Z$8,
            AND(Q359="HKG", $Q$2="HKG"), M359,
            AND(Q359="HKD", $Q$2="USD"), M359*$Z$9,
            AND(Q359="HKD", $Q$2="GBP"), M359*$Z$10,
            AND(Q359="HKD", $Q$2="EUR"), M359*$Z$11,
            AND(Q359="EUR", $Q$2="EUR"), M359,
            AND(Q359="EUR", $Q$2="USD"), M359*$Z$12,
            AND(Q359="EUR", $Q$2="GBP"), M359*$Z$13,
            AND(Q359="EUR", $Q$2="HKD"), M359*$Z$14,
        ),
        0
    )
)</f>
        <v>299.67100000000005</v>
      </c>
      <c r="T359" s="1" t="str">
        <f t="shared" ref="T359:T360" si="54">IF(ISBLANK(A359),"",TEXT(C359,"D"))</f>
        <v>28</v>
      </c>
      <c r="U359" s="8" t="str">
        <f t="shared" ref="U359:U360" si="55">IF(ISBLANK(A359),"",TEXT(C359,"MM"))</f>
        <v>02</v>
      </c>
      <c r="V359" s="1" t="str">
        <f t="shared" ref="V359:V360" si="56">IF(ISBLANK(A359),"",TEXT(C359,"YYYY"))</f>
        <v>2024</v>
      </c>
      <c r="W359" s="18" t="str">
        <f t="shared" ref="W359:W360" si="57">IF(ISBLANK(A359),"",TEXT(WEEKDAY(C359,1),"dddd"))</f>
        <v>星期三</v>
      </c>
    </row>
    <row r="360" spans="1:23">
      <c r="A360" s="17" t="s">
        <v>6</v>
      </c>
      <c r="B360" s="1" t="s">
        <v>348</v>
      </c>
      <c r="C360" s="9">
        <v>45350</v>
      </c>
      <c r="D360" s="1" t="s">
        <v>364</v>
      </c>
      <c r="E360" s="1" t="s">
        <v>114</v>
      </c>
      <c r="F360" s="1" t="s">
        <v>346</v>
      </c>
      <c r="H360" s="1" t="s">
        <v>347</v>
      </c>
      <c r="I360" s="1">
        <v>299.97000000000003</v>
      </c>
      <c r="J360" s="27">
        <v>1</v>
      </c>
      <c r="M360" s="25">
        <f t="shared" si="52"/>
        <v>299.97000000000003</v>
      </c>
      <c r="N360" s="17">
        <f t="shared" si="35"/>
        <v>-299.97000000000003</v>
      </c>
      <c r="O360" s="34">
        <f>IF(ISBLANK(A360),"",SUMIFS(I$3:I360,D$3:D360,D360,H$3:H360,"Buy")+SUMIFS(I$3:I360,D$3:D360,D360,H$3:H360,"Cash Deposit")+SUMIFS(I$3:I360,D$3:D360,D360,H$3:H360,"Crypto Deposit")+SUMIFS(I$3:I360,D$3:D360,D360,H$3:H360,"Airdrop/Rewards")-SUMIFS(I$3:I360,D$3:D360,D360,H$3:H360,"Sell"))</f>
        <v>4810.7921550803803</v>
      </c>
      <c r="P360" s="2" cm="1">
        <f t="array" ref="P360">IF(ISBLANK(A360),"",IFERROR(IF(OR(H360="Sell",F360="Stable Coin"),INDEX(_xlfn._xlws.FILTER(P$2:P359, D$2:D359=D360),COUNT(_xlfn._xlws.FILTER(P$2:P359, D$2:D359=D360))),(INDEX(_xlfn._xlws.FILTER(P$2:P359, D$2:D359=D360),COUNT(_xlfn._xlws.FILTER(P$2:P359, D$2:D359=D360)))*INDEX(_xlfn._xlws.FILTER(O$2:O359, D$2:D359=D360),COUNT(_xlfn._xlws.FILTER(O$2:O359, D$2:D359=D360)))-N360) / O360), J360))</f>
        <v>1</v>
      </c>
      <c r="Q360" s="1" t="str">
        <f t="shared" si="53"/>
        <v>USD</v>
      </c>
      <c r="R360" s="1" cm="1">
        <f t="array" ref="R360">IF(A360="", "",
    IFERROR(
        _xlfn.SWITCH(
            TRUE,
            AND(Q360="USD", $Q$2="USD"), K360,
            AND(Q360="USD", $Q$2="GBP"), K360*$Z$3,
            AND(Q360="USD", $Q$2="HKD"), K360*$Z$4,
            AND(Q360="USD", $Q$2="EUR"), K360*$Z$5,
            AND(Q360="GBP", $Q$2="GBP"), K360,
            AND(Q360="GBP", $Q$2="USD"), K360*$Z$6,
            AND(Q360="GBP", $Q$2="HKD"), K360*$Z$7,
            AND(Q360="HKG", $Q$2="HKG"), K360,
            AND(Q360="HKD", $Q$2="USD"), K360*$Z$9,
            AND(Q360="HKD", $Q$2="GBP"), K360*$Z$10,
            AND(Q360="HKD", $Q$2="EUR"), K360*$Z$11,
            AND(Q360="EUR", $Q$2="EUR"), K360,
            AND(Q360="EUR", $Q$2="USD"), K360*$Z$12,
            AND(Q360="EUR", $Q$2="GBP"), K360*$Z$13,
            AND(Q360="EUR", $Q$2="HKD"), K360*$Z$14,
        ),
        0
    )
)</f>
        <v>0</v>
      </c>
      <c r="S360" s="1" cm="1">
        <f t="array" ref="S360">IF(A360="", "",
    IFERROR(
        _xlfn.SWITCH(
            TRUE,
            AND(Q360="USD", $Q$2="USD"), M360,
            AND(Q360="USD", $Q$2="GBP"), M360*$Z$3,
            AND(Q360="USD", $Q$2="HKD"), M360*$Z$4,
            AND(Q360="USD", $Q$2="EUR"), M360*$Z$5,
            AND(Q360="GBP", $Q$2="GBP"), M360,
            AND(Q360="GBP", $Q$2="USD"), M360*$Z$6,
            AND(Q360="GBP", $Q$2="HKD"), M360*$Z$7,
            AND(Q360="GBP", $Q$2="HKD"), M360*$Z$8,
            AND(Q360="HKG", $Q$2="HKG"), M360,
            AND(Q360="HKD", $Q$2="USD"), M360*$Z$9,
            AND(Q360="HKD", $Q$2="GBP"), M360*$Z$10,
            AND(Q360="HKD", $Q$2="EUR"), M360*$Z$11,
            AND(Q360="EUR", $Q$2="EUR"), M360,
            AND(Q360="EUR", $Q$2="USD"), M360*$Z$12,
            AND(Q360="EUR", $Q$2="GBP"), M360*$Z$13,
            AND(Q360="EUR", $Q$2="HKD"), M360*$Z$14,
        ),
        0
    )
)</f>
        <v>299.97000000000003</v>
      </c>
      <c r="T360" s="1" t="str">
        <f t="shared" si="54"/>
        <v>28</v>
      </c>
      <c r="U360" s="8" t="str">
        <f t="shared" si="55"/>
        <v>02</v>
      </c>
      <c r="V360" s="1" t="str">
        <f t="shared" si="56"/>
        <v>2024</v>
      </c>
      <c r="W360" s="18" t="str">
        <f t="shared" si="57"/>
        <v>星期三</v>
      </c>
    </row>
    <row r="361" spans="1:23">
      <c r="A361" s="17" t="s">
        <v>6</v>
      </c>
      <c r="B361" s="1" t="s">
        <v>348</v>
      </c>
      <c r="C361" s="9">
        <v>45350</v>
      </c>
      <c r="D361" s="1" t="s">
        <v>47</v>
      </c>
      <c r="E361" s="1" t="s">
        <v>4</v>
      </c>
      <c r="F361" s="1" t="s">
        <v>349</v>
      </c>
      <c r="H361" s="1" t="s">
        <v>367</v>
      </c>
      <c r="I361" s="1">
        <v>3.2699999999999999E-3</v>
      </c>
      <c r="J361" s="27">
        <v>61007.98</v>
      </c>
      <c r="K361" s="1">
        <v>0.19900000000000001</v>
      </c>
      <c r="M361" s="25">
        <f t="shared" si="52"/>
        <v>199.29709459999998</v>
      </c>
      <c r="N361" s="17">
        <f t="shared" si="35"/>
        <v>199.49609459999999</v>
      </c>
      <c r="O361" s="34">
        <f>IF(ISBLANK(A361),"",SUMIFS(I$3:I361,D$3:D361,D361,H$3:H361,"Buy")+SUMIFS(I$3:I361,D$3:D361,D361,H$3:H361,"Cash Deposit")+SUMIFS(I$3:I361,D$3:D361,D361,H$3:H361,"Crypto Deposit")+SUMIFS(I$3:I361,D$3:D361,D361,H$3:H361,"Airdrop/Rewards")-SUMIFS(I$3:I361,D$3:D361,D361,H$3:H361,"Sell"))</f>
        <v>0.30437523994681653</v>
      </c>
      <c r="P361" s="2" cm="1">
        <f t="array" ref="P361">IF(ISBLANK(A361),"",IFERROR(IF(OR(H361="Sell",F361="Stable Coin"),INDEX(_xlfn._xlws.FILTER(P$2:P360, D$2:D360=D361),COUNT(_xlfn._xlws.FILTER(P$2:P360, D$2:D360=D361))),(INDEX(_xlfn._xlws.FILTER(P$2:P360, D$2:D360=D361),COUNT(_xlfn._xlws.FILTER(P$2:P360, D$2:D360=D361)))*INDEX(_xlfn._xlws.FILTER(O$2:O360, D$2:D360=D361),COUNT(_xlfn._xlws.FILTER(O$2:O360, D$2:D360=D361)))-N361) / O361), J361))</f>
        <v>32216.561571265273</v>
      </c>
      <c r="Q361" s="1" t="str">
        <f t="shared" ref="Q361:Q362" si="58">B361</f>
        <v>USD</v>
      </c>
      <c r="R361" s="1" cm="1">
        <f t="array" ref="R361">IF(A361="", "",
    IFERROR(
        _xlfn.SWITCH(
            TRUE,
            AND(Q361="USD", $Q$2="USD"), K361,
            AND(Q361="USD", $Q$2="GBP"), K361*$Z$3,
            AND(Q361="USD", $Q$2="HKD"), K361*$Z$4,
            AND(Q361="USD", $Q$2="EUR"), K361*$Z$5,
            AND(Q361="GBP", $Q$2="GBP"), K361,
            AND(Q361="GBP", $Q$2="USD"), K361*$Z$6,
            AND(Q361="GBP", $Q$2="HKD"), K361*$Z$7,
            AND(Q361="HKG", $Q$2="HKG"), K361,
            AND(Q361="HKD", $Q$2="USD"), K361*$Z$9,
            AND(Q361="HKD", $Q$2="GBP"), K361*$Z$10,
            AND(Q361="HKD", $Q$2="EUR"), K361*$Z$11,
            AND(Q361="EUR", $Q$2="EUR"), K361,
            AND(Q361="EUR", $Q$2="USD"), K361*$Z$12,
            AND(Q361="EUR", $Q$2="GBP"), K361*$Z$13,
            AND(Q361="EUR", $Q$2="HKD"), K361*$Z$14,
        ),
        0
    )
)</f>
        <v>0.19900000000000001</v>
      </c>
      <c r="S361" s="1" cm="1">
        <f t="array" ref="S361">IF(A361="", "",
    IFERROR(
        _xlfn.SWITCH(
            TRUE,
            AND(Q361="USD", $Q$2="USD"), M361,
            AND(Q361="USD", $Q$2="GBP"), M361*$Z$3,
            AND(Q361="USD", $Q$2="HKD"), M361*$Z$4,
            AND(Q361="USD", $Q$2="EUR"), M361*$Z$5,
            AND(Q361="GBP", $Q$2="GBP"), M361,
            AND(Q361="GBP", $Q$2="USD"), M361*$Z$6,
            AND(Q361="GBP", $Q$2="HKD"), M361*$Z$7,
            AND(Q361="GBP", $Q$2="HKD"), M361*$Z$8,
            AND(Q361="HKG", $Q$2="HKG"), M361,
            AND(Q361="HKD", $Q$2="USD"), M361*$Z$9,
            AND(Q361="HKD", $Q$2="GBP"), M361*$Z$10,
            AND(Q361="HKD", $Q$2="EUR"), M361*$Z$11,
            AND(Q361="EUR", $Q$2="EUR"), M361,
            AND(Q361="EUR", $Q$2="USD"), M361*$Z$12,
            AND(Q361="EUR", $Q$2="GBP"), M361*$Z$13,
            AND(Q361="EUR", $Q$2="HKD"), M361*$Z$14,
        ),
        0
    )
)</f>
        <v>199.29709459999998</v>
      </c>
      <c r="T361" s="1" t="str">
        <f t="shared" ref="T361:T362" si="59">IF(ISBLANK(A361),"",TEXT(C361,"D"))</f>
        <v>28</v>
      </c>
      <c r="U361" s="8" t="str">
        <f t="shared" ref="U361:U362" si="60">IF(ISBLANK(A361),"",TEXT(C361,"MM"))</f>
        <v>02</v>
      </c>
      <c r="V361" s="1" t="str">
        <f t="shared" ref="V361:V362" si="61">IF(ISBLANK(A361),"",TEXT(C361,"YYYY"))</f>
        <v>2024</v>
      </c>
      <c r="W361" s="18" t="str">
        <f t="shared" ref="W361:W362" si="62">IF(ISBLANK(A361),"",TEXT(WEEKDAY(C361,1),"dddd"))</f>
        <v>星期三</v>
      </c>
    </row>
    <row r="362" spans="1:23">
      <c r="A362" s="17" t="s">
        <v>6</v>
      </c>
      <c r="B362" s="1" t="s">
        <v>348</v>
      </c>
      <c r="C362" s="9">
        <v>45350</v>
      </c>
      <c r="D362" s="1" t="s">
        <v>364</v>
      </c>
      <c r="E362" s="1" t="s">
        <v>114</v>
      </c>
      <c r="F362" s="1" t="s">
        <v>346</v>
      </c>
      <c r="H362" s="1" t="s">
        <v>347</v>
      </c>
      <c r="I362" s="1">
        <v>199.49600000000001</v>
      </c>
      <c r="J362" s="27">
        <v>1</v>
      </c>
      <c r="M362" s="25">
        <f t="shared" si="52"/>
        <v>199.49600000000001</v>
      </c>
      <c r="N362" s="17">
        <f t="shared" si="35"/>
        <v>-199.49600000000001</v>
      </c>
      <c r="O362" s="34">
        <f>IF(ISBLANK(A362),"",SUMIFS(I$3:I362,D$3:D362,D362,H$3:H362,"Buy")+SUMIFS(I$3:I362,D$3:D362,D362,H$3:H362,"Cash Deposit")+SUMIFS(I$3:I362,D$3:D362,D362,H$3:H362,"Crypto Deposit")+SUMIFS(I$3:I362,D$3:D362,D362,H$3:H362,"Airdrop/Rewards")-SUMIFS(I$3:I362,D$3:D362,D362,H$3:H362,"Sell"))</f>
        <v>5010.2881550803795</v>
      </c>
      <c r="P362" s="2" cm="1">
        <f t="array" ref="P362">IF(ISBLANK(A362),"",IFERROR(IF(OR(H362="Sell",F362="Stable Coin"),INDEX(_xlfn._xlws.FILTER(P$2:P361, D$2:D361=D362),COUNT(_xlfn._xlws.FILTER(P$2:P361, D$2:D361=D362))),(INDEX(_xlfn._xlws.FILTER(P$2:P361, D$2:D361=D362),COUNT(_xlfn._xlws.FILTER(P$2:P361, D$2:D361=D362)))*INDEX(_xlfn._xlws.FILTER(O$2:O361, D$2:D361=D362),COUNT(_xlfn._xlws.FILTER(O$2:O361, D$2:D361=D362)))-N362) / O362), J362))</f>
        <v>1</v>
      </c>
      <c r="Q362" s="1" t="str">
        <f t="shared" si="58"/>
        <v>USD</v>
      </c>
      <c r="R362" s="1" cm="1">
        <f t="array" ref="R362">IF(A362="", "",
    IFERROR(
        _xlfn.SWITCH(
            TRUE,
            AND(Q362="USD", $Q$2="USD"), K362,
            AND(Q362="USD", $Q$2="GBP"), K362*$Z$3,
            AND(Q362="USD", $Q$2="HKD"), K362*$Z$4,
            AND(Q362="USD", $Q$2="EUR"), K362*$Z$5,
            AND(Q362="GBP", $Q$2="GBP"), K362,
            AND(Q362="GBP", $Q$2="USD"), K362*$Z$6,
            AND(Q362="GBP", $Q$2="HKD"), K362*$Z$7,
            AND(Q362="HKG", $Q$2="HKG"), K362,
            AND(Q362="HKD", $Q$2="USD"), K362*$Z$9,
            AND(Q362="HKD", $Q$2="GBP"), K362*$Z$10,
            AND(Q362="HKD", $Q$2="EUR"), K362*$Z$11,
            AND(Q362="EUR", $Q$2="EUR"), K362,
            AND(Q362="EUR", $Q$2="USD"), K362*$Z$12,
            AND(Q362="EUR", $Q$2="GBP"), K362*$Z$13,
            AND(Q362="EUR", $Q$2="HKD"), K362*$Z$14,
        ),
        0
    )
)</f>
        <v>0</v>
      </c>
      <c r="S362" s="1" cm="1">
        <f t="array" ref="S362">IF(A362="", "",
    IFERROR(
        _xlfn.SWITCH(
            TRUE,
            AND(Q362="USD", $Q$2="USD"), M362,
            AND(Q362="USD", $Q$2="GBP"), M362*$Z$3,
            AND(Q362="USD", $Q$2="HKD"), M362*$Z$4,
            AND(Q362="USD", $Q$2="EUR"), M362*$Z$5,
            AND(Q362="GBP", $Q$2="GBP"), M362,
            AND(Q362="GBP", $Q$2="USD"), M362*$Z$6,
            AND(Q362="GBP", $Q$2="HKD"), M362*$Z$7,
            AND(Q362="GBP", $Q$2="HKD"), M362*$Z$8,
            AND(Q362="HKG", $Q$2="HKG"), M362,
            AND(Q362="HKD", $Q$2="USD"), M362*$Z$9,
            AND(Q362="HKD", $Q$2="GBP"), M362*$Z$10,
            AND(Q362="HKD", $Q$2="EUR"), M362*$Z$11,
            AND(Q362="EUR", $Q$2="EUR"), M362,
            AND(Q362="EUR", $Q$2="USD"), M362*$Z$12,
            AND(Q362="EUR", $Q$2="GBP"), M362*$Z$13,
            AND(Q362="EUR", $Q$2="HKD"), M362*$Z$14,
        ),
        0
    )
)</f>
        <v>199.49600000000001</v>
      </c>
      <c r="T362" s="1" t="str">
        <f t="shared" si="59"/>
        <v>28</v>
      </c>
      <c r="U362" s="8" t="str">
        <f t="shared" si="60"/>
        <v>02</v>
      </c>
      <c r="V362" s="1" t="str">
        <f t="shared" si="61"/>
        <v>2024</v>
      </c>
      <c r="W362" s="18" t="str">
        <f t="shared" si="62"/>
        <v>星期三</v>
      </c>
    </row>
    <row r="363" spans="1:23">
      <c r="A363" s="17" t="s">
        <v>6</v>
      </c>
      <c r="B363" s="1" t="s">
        <v>348</v>
      </c>
      <c r="C363" s="9">
        <v>45350</v>
      </c>
      <c r="D363" s="1" t="s">
        <v>47</v>
      </c>
      <c r="E363" s="1" t="s">
        <v>4</v>
      </c>
      <c r="F363" s="1" t="s">
        <v>349</v>
      </c>
      <c r="H363" s="1" t="s">
        <v>367</v>
      </c>
      <c r="I363" s="1">
        <v>4.0400000000000002E-3</v>
      </c>
      <c r="J363" s="27">
        <v>61800</v>
      </c>
      <c r="K363" s="1">
        <v>0.249</v>
      </c>
      <c r="M363" s="25">
        <f t="shared" si="52"/>
        <v>249.42300000000003</v>
      </c>
      <c r="N363" s="17">
        <f t="shared" si="35"/>
        <v>249.67200000000003</v>
      </c>
      <c r="O363" s="34">
        <f>IF(ISBLANK(A363),"",SUMIFS(I$3:I363,D$3:D363,D363,H$3:H363,"Buy")+SUMIFS(I$3:I363,D$3:D363,D363,H$3:H363,"Cash Deposit")+SUMIFS(I$3:I363,D$3:D363,D363,H$3:H363,"Crypto Deposit")+SUMIFS(I$3:I363,D$3:D363,D363,H$3:H363,"Airdrop/Rewards")-SUMIFS(I$3:I363,D$3:D363,D363,H$3:H363,"Sell"))</f>
        <v>0.30033523994681655</v>
      </c>
      <c r="P363" s="2" cm="1">
        <f t="array" ref="P363">IF(ISBLANK(A363),"",IFERROR(IF(OR(H363="Sell",F363="Stable Coin"),INDEX(_xlfn._xlws.FILTER(P$2:P362, D$2:D362=D363),COUNT(_xlfn._xlws.FILTER(P$2:P362, D$2:D362=D363))),(INDEX(_xlfn._xlws.FILTER(P$2:P362, D$2:D362=D363),COUNT(_xlfn._xlws.FILTER(P$2:P362, D$2:D362=D363)))*INDEX(_xlfn._xlws.FILTER(O$2:O362, D$2:D362=D363),COUNT(_xlfn._xlws.FILTER(O$2:O362, D$2:D362=D363)))-N363) / O363), J363))</f>
        <v>32216.561571265273</v>
      </c>
      <c r="Q363" s="1" t="str">
        <f t="shared" ref="Q363:Q383" si="63">B363</f>
        <v>USD</v>
      </c>
      <c r="R363" s="1" cm="1">
        <f t="array" ref="R363">IF(A363="", "",
    IFERROR(
        _xlfn.SWITCH(
            TRUE,
            AND(Q363="USD", $Q$2="USD"), K363,
            AND(Q363="USD", $Q$2="GBP"), K363*$Z$3,
            AND(Q363="USD", $Q$2="HKD"), K363*$Z$4,
            AND(Q363="USD", $Q$2="EUR"), K363*$Z$5,
            AND(Q363="GBP", $Q$2="GBP"), K363,
            AND(Q363="GBP", $Q$2="USD"), K363*$Z$6,
            AND(Q363="GBP", $Q$2="HKD"), K363*$Z$7,
            AND(Q363="HKG", $Q$2="HKG"), K363,
            AND(Q363="HKD", $Q$2="USD"), K363*$Z$9,
            AND(Q363="HKD", $Q$2="GBP"), K363*$Z$10,
            AND(Q363="HKD", $Q$2="EUR"), K363*$Z$11,
            AND(Q363="EUR", $Q$2="EUR"), K363,
            AND(Q363="EUR", $Q$2="USD"), K363*$Z$12,
            AND(Q363="EUR", $Q$2="GBP"), K363*$Z$13,
            AND(Q363="EUR", $Q$2="HKD"), K363*$Z$14,
        ),
        0
    )
)</f>
        <v>0.249</v>
      </c>
      <c r="S363" s="1" cm="1">
        <f t="array" ref="S363">IF(A363="", "",
    IFERROR(
        _xlfn.SWITCH(
            TRUE,
            AND(Q363="USD", $Q$2="USD"), M363,
            AND(Q363="USD", $Q$2="GBP"), M363*$Z$3,
            AND(Q363="USD", $Q$2="HKD"), M363*$Z$4,
            AND(Q363="USD", $Q$2="EUR"), M363*$Z$5,
            AND(Q363="GBP", $Q$2="GBP"), M363,
            AND(Q363="GBP", $Q$2="USD"), M363*$Z$6,
            AND(Q363="GBP", $Q$2="HKD"), M363*$Z$7,
            AND(Q363="GBP", $Q$2="HKD"), M363*$Z$8,
            AND(Q363="HKG", $Q$2="HKG"), M363,
            AND(Q363="HKD", $Q$2="USD"), M363*$Z$9,
            AND(Q363="HKD", $Q$2="GBP"), M363*$Z$10,
            AND(Q363="HKD", $Q$2="EUR"), M363*$Z$11,
            AND(Q363="EUR", $Q$2="EUR"), M363,
            AND(Q363="EUR", $Q$2="USD"), M363*$Z$12,
            AND(Q363="EUR", $Q$2="GBP"), M363*$Z$13,
            AND(Q363="EUR", $Q$2="HKD"), M363*$Z$14,
        ),
        0
    )
)</f>
        <v>249.42300000000003</v>
      </c>
      <c r="T363" s="1" t="str">
        <f t="shared" ref="T363:T383" si="64">IF(ISBLANK(A363),"",TEXT(C363,"D"))</f>
        <v>28</v>
      </c>
      <c r="U363" s="8" t="str">
        <f t="shared" ref="U363:U383" si="65">IF(ISBLANK(A363),"",TEXT(C363,"MM"))</f>
        <v>02</v>
      </c>
      <c r="V363" s="1" t="str">
        <f t="shared" ref="V363:V383" si="66">IF(ISBLANK(A363),"",TEXT(C363,"YYYY"))</f>
        <v>2024</v>
      </c>
      <c r="W363" s="18" t="str">
        <f t="shared" ref="W363:W383" si="67">IF(ISBLANK(A363),"",TEXT(WEEKDAY(C363,1),"dddd"))</f>
        <v>星期三</v>
      </c>
    </row>
    <row r="364" spans="1:23">
      <c r="A364" s="17" t="s">
        <v>6</v>
      </c>
      <c r="B364" s="1" t="s">
        <v>348</v>
      </c>
      <c r="C364" s="9">
        <v>45350</v>
      </c>
      <c r="D364" s="1" t="s">
        <v>364</v>
      </c>
      <c r="E364" s="1" t="s">
        <v>114</v>
      </c>
      <c r="F364" s="1" t="s">
        <v>346</v>
      </c>
      <c r="H364" s="1" t="s">
        <v>347</v>
      </c>
      <c r="I364" s="1">
        <v>249.672</v>
      </c>
      <c r="J364" s="27">
        <v>1</v>
      </c>
      <c r="M364" s="25">
        <f t="shared" si="52"/>
        <v>249.672</v>
      </c>
      <c r="N364" s="17">
        <f t="shared" si="35"/>
        <v>-249.672</v>
      </c>
      <c r="O364" s="34">
        <f>IF(ISBLANK(A364),"",SUMIFS(I$3:I364,D$3:D364,D364,H$3:H364,"Buy")+SUMIFS(I$3:I364,D$3:D364,D364,H$3:H364,"Cash Deposit")+SUMIFS(I$3:I364,D$3:D364,D364,H$3:H364,"Crypto Deposit")+SUMIFS(I$3:I364,D$3:D364,D364,H$3:H364,"Airdrop/Rewards")-SUMIFS(I$3:I364,D$3:D364,D364,H$3:H364,"Sell"))</f>
        <v>5259.9601550803818</v>
      </c>
      <c r="P364" s="2" cm="1">
        <f t="array" ref="P364">IF(ISBLANK(A364),"",IFERROR(IF(OR(H364="Sell",F364="Stable Coin"),INDEX(_xlfn._xlws.FILTER(P$2:P363, D$2:D363=D364),COUNT(_xlfn._xlws.FILTER(P$2:P363, D$2:D363=D364))),(INDEX(_xlfn._xlws.FILTER(P$2:P363, D$2:D363=D364),COUNT(_xlfn._xlws.FILTER(P$2:P363, D$2:D363=D364)))*INDEX(_xlfn._xlws.FILTER(O$2:O363, D$2:D363=D364),COUNT(_xlfn._xlws.FILTER(O$2:O363, D$2:D363=D364)))-N364) / O364), J364))</f>
        <v>1</v>
      </c>
      <c r="Q364" s="1" t="str">
        <f t="shared" si="63"/>
        <v>USD</v>
      </c>
      <c r="R364" s="1" cm="1">
        <f t="array" ref="R364">IF(A364="", "",
    IFERROR(
        _xlfn.SWITCH(
            TRUE,
            AND(Q364="USD", $Q$2="USD"), K364,
            AND(Q364="USD", $Q$2="GBP"), K364*$Z$3,
            AND(Q364="USD", $Q$2="HKD"), K364*$Z$4,
            AND(Q364="USD", $Q$2="EUR"), K364*$Z$5,
            AND(Q364="GBP", $Q$2="GBP"), K364,
            AND(Q364="GBP", $Q$2="USD"), K364*$Z$6,
            AND(Q364="GBP", $Q$2="HKD"), K364*$Z$7,
            AND(Q364="HKG", $Q$2="HKG"), K364,
            AND(Q364="HKD", $Q$2="USD"), K364*$Z$9,
            AND(Q364="HKD", $Q$2="GBP"), K364*$Z$10,
            AND(Q364="HKD", $Q$2="EUR"), K364*$Z$11,
            AND(Q364="EUR", $Q$2="EUR"), K364,
            AND(Q364="EUR", $Q$2="USD"), K364*$Z$12,
            AND(Q364="EUR", $Q$2="GBP"), K364*$Z$13,
            AND(Q364="EUR", $Q$2="HKD"), K364*$Z$14,
        ),
        0
    )
)</f>
        <v>0</v>
      </c>
      <c r="S364" s="1" cm="1">
        <f t="array" ref="S364">IF(A364="", "",
    IFERROR(
        _xlfn.SWITCH(
            TRUE,
            AND(Q364="USD", $Q$2="USD"), M364,
            AND(Q364="USD", $Q$2="GBP"), M364*$Z$3,
            AND(Q364="USD", $Q$2="HKD"), M364*$Z$4,
            AND(Q364="USD", $Q$2="EUR"), M364*$Z$5,
            AND(Q364="GBP", $Q$2="GBP"), M364,
            AND(Q364="GBP", $Q$2="USD"), M364*$Z$6,
            AND(Q364="GBP", $Q$2="HKD"), M364*$Z$7,
            AND(Q364="GBP", $Q$2="HKD"), M364*$Z$8,
            AND(Q364="HKG", $Q$2="HKG"), M364,
            AND(Q364="HKD", $Q$2="USD"), M364*$Z$9,
            AND(Q364="HKD", $Q$2="GBP"), M364*$Z$10,
            AND(Q364="HKD", $Q$2="EUR"), M364*$Z$11,
            AND(Q364="EUR", $Q$2="EUR"), M364,
            AND(Q364="EUR", $Q$2="USD"), M364*$Z$12,
            AND(Q364="EUR", $Q$2="GBP"), M364*$Z$13,
            AND(Q364="EUR", $Q$2="HKD"), M364*$Z$14,
        ),
        0
    )
)</f>
        <v>249.672</v>
      </c>
      <c r="T364" s="1" t="str">
        <f t="shared" si="64"/>
        <v>28</v>
      </c>
      <c r="U364" s="8" t="str">
        <f t="shared" si="65"/>
        <v>02</v>
      </c>
      <c r="V364" s="1" t="str">
        <f t="shared" si="66"/>
        <v>2024</v>
      </c>
      <c r="W364" s="18" t="str">
        <f t="shared" si="67"/>
        <v>星期三</v>
      </c>
    </row>
    <row r="365" spans="1:23">
      <c r="A365" s="17" t="s">
        <v>6</v>
      </c>
      <c r="B365" s="1" t="s">
        <v>348</v>
      </c>
      <c r="C365" s="9">
        <v>45350</v>
      </c>
      <c r="D365" s="1" t="s">
        <v>47</v>
      </c>
      <c r="E365" s="1" t="s">
        <v>4</v>
      </c>
      <c r="F365" s="1" t="s">
        <v>349</v>
      </c>
      <c r="H365" s="1" t="s">
        <v>367</v>
      </c>
      <c r="I365" s="1">
        <v>3.2000000000000002E-3</v>
      </c>
      <c r="J365" s="27">
        <v>62400</v>
      </c>
      <c r="K365" s="1">
        <v>0.19900000000000001</v>
      </c>
      <c r="M365" s="25">
        <f t="shared" si="52"/>
        <v>199.48099999999999</v>
      </c>
      <c r="N365" s="17">
        <f t="shared" si="35"/>
        <v>199.68</v>
      </c>
      <c r="O365" s="34">
        <f>IF(ISBLANK(A365),"",SUMIFS(I$3:I365,D$3:D365,D365,H$3:H365,"Buy")+SUMIFS(I$3:I365,D$3:D365,D365,H$3:H365,"Cash Deposit")+SUMIFS(I$3:I365,D$3:D365,D365,H$3:H365,"Crypto Deposit")+SUMIFS(I$3:I365,D$3:D365,D365,H$3:H365,"Airdrop/Rewards")-SUMIFS(I$3:I365,D$3:D365,D365,H$3:H365,"Sell"))</f>
        <v>0.29713523994681657</v>
      </c>
      <c r="P365" s="2" cm="1">
        <f t="array" ref="P365">IF(ISBLANK(A365),"",IFERROR(IF(OR(H365="Sell",F365="Stable Coin"),INDEX(_xlfn._xlws.FILTER(P$2:P364, D$2:D364=D365),COUNT(_xlfn._xlws.FILTER(P$2:P364, D$2:D364=D365))),(INDEX(_xlfn._xlws.FILTER(P$2:P364, D$2:D364=D365),COUNT(_xlfn._xlws.FILTER(P$2:P364, D$2:D364=D365)))*INDEX(_xlfn._xlws.FILTER(O$2:O364, D$2:D364=D365),COUNT(_xlfn._xlws.FILTER(O$2:O364, D$2:D364=D365)))-N365) / O365), J365))</f>
        <v>32216.561571265273</v>
      </c>
      <c r="Q365" s="1" t="str">
        <f t="shared" si="63"/>
        <v>USD</v>
      </c>
      <c r="R365" s="1" cm="1">
        <f t="array" ref="R365">IF(A365="", "",
    IFERROR(
        _xlfn.SWITCH(
            TRUE,
            AND(Q365="USD", $Q$2="USD"), K365,
            AND(Q365="USD", $Q$2="GBP"), K365*$Z$3,
            AND(Q365="USD", $Q$2="HKD"), K365*$Z$4,
            AND(Q365="USD", $Q$2="EUR"), K365*$Z$5,
            AND(Q365="GBP", $Q$2="GBP"), K365,
            AND(Q365="GBP", $Q$2="USD"), K365*$Z$6,
            AND(Q365="GBP", $Q$2="HKD"), K365*$Z$7,
            AND(Q365="HKG", $Q$2="HKG"), K365,
            AND(Q365="HKD", $Q$2="USD"), K365*$Z$9,
            AND(Q365="HKD", $Q$2="GBP"), K365*$Z$10,
            AND(Q365="HKD", $Q$2="EUR"), K365*$Z$11,
            AND(Q365="EUR", $Q$2="EUR"), K365,
            AND(Q365="EUR", $Q$2="USD"), K365*$Z$12,
            AND(Q365="EUR", $Q$2="GBP"), K365*$Z$13,
            AND(Q365="EUR", $Q$2="HKD"), K365*$Z$14,
        ),
        0
    )
)</f>
        <v>0.19900000000000001</v>
      </c>
      <c r="S365" s="1" cm="1">
        <f t="array" ref="S365">IF(A365="", "",
    IFERROR(
        _xlfn.SWITCH(
            TRUE,
            AND(Q365="USD", $Q$2="USD"), M365,
            AND(Q365="USD", $Q$2="GBP"), M365*$Z$3,
            AND(Q365="USD", $Q$2="HKD"), M365*$Z$4,
            AND(Q365="USD", $Q$2="EUR"), M365*$Z$5,
            AND(Q365="GBP", $Q$2="GBP"), M365,
            AND(Q365="GBP", $Q$2="USD"), M365*$Z$6,
            AND(Q365="GBP", $Q$2="HKD"), M365*$Z$7,
            AND(Q365="GBP", $Q$2="HKD"), M365*$Z$8,
            AND(Q365="HKG", $Q$2="HKG"), M365,
            AND(Q365="HKD", $Q$2="USD"), M365*$Z$9,
            AND(Q365="HKD", $Q$2="GBP"), M365*$Z$10,
            AND(Q365="HKD", $Q$2="EUR"), M365*$Z$11,
            AND(Q365="EUR", $Q$2="EUR"), M365,
            AND(Q365="EUR", $Q$2="USD"), M365*$Z$12,
            AND(Q365="EUR", $Q$2="GBP"), M365*$Z$13,
            AND(Q365="EUR", $Q$2="HKD"), M365*$Z$14,
        ),
        0
    )
)</f>
        <v>199.48099999999999</v>
      </c>
      <c r="T365" s="1" t="str">
        <f t="shared" si="64"/>
        <v>28</v>
      </c>
      <c r="U365" s="8" t="str">
        <f t="shared" si="65"/>
        <v>02</v>
      </c>
      <c r="V365" s="1" t="str">
        <f t="shared" si="66"/>
        <v>2024</v>
      </c>
      <c r="W365" s="18" t="str">
        <f t="shared" si="67"/>
        <v>星期三</v>
      </c>
    </row>
    <row r="366" spans="1:23">
      <c r="A366" s="17" t="s">
        <v>6</v>
      </c>
      <c r="B366" s="1" t="s">
        <v>348</v>
      </c>
      <c r="C366" s="9">
        <v>45350</v>
      </c>
      <c r="D366" s="1" t="s">
        <v>364</v>
      </c>
      <c r="E366" s="1" t="s">
        <v>114</v>
      </c>
      <c r="F366" s="1" t="s">
        <v>346</v>
      </c>
      <c r="H366" s="1" t="s">
        <v>347</v>
      </c>
      <c r="I366" s="1">
        <v>199.68</v>
      </c>
      <c r="J366" s="27">
        <v>1</v>
      </c>
      <c r="M366" s="25">
        <f t="shared" si="52"/>
        <v>199.68</v>
      </c>
      <c r="N366" s="17">
        <f t="shared" si="35"/>
        <v>-199.68</v>
      </c>
      <c r="O366" s="34">
        <f>IF(ISBLANK(A366),"",SUMIFS(I$3:I366,D$3:D366,D366,H$3:H366,"Buy")+SUMIFS(I$3:I366,D$3:D366,D366,H$3:H366,"Cash Deposit")+SUMIFS(I$3:I366,D$3:D366,D366,H$3:H366,"Crypto Deposit")+SUMIFS(I$3:I366,D$3:D366,D366,H$3:H366,"Airdrop/Rewards")-SUMIFS(I$3:I366,D$3:D366,D366,H$3:H366,"Sell"))</f>
        <v>5459.6401550803821</v>
      </c>
      <c r="P366" s="2" cm="1">
        <f t="array" ref="P366">IF(ISBLANK(A366),"",IFERROR(IF(OR(H366="Sell",F366="Stable Coin"),INDEX(_xlfn._xlws.FILTER(P$2:P365, D$2:D365=D366),COUNT(_xlfn._xlws.FILTER(P$2:P365, D$2:D365=D366))),(INDEX(_xlfn._xlws.FILTER(P$2:P365, D$2:D365=D366),COUNT(_xlfn._xlws.FILTER(P$2:P365, D$2:D365=D366)))*INDEX(_xlfn._xlws.FILTER(O$2:O365, D$2:D365=D366),COUNT(_xlfn._xlws.FILTER(O$2:O365, D$2:D365=D366)))-N366) / O366), J366))</f>
        <v>1</v>
      </c>
      <c r="Q366" s="1" t="str">
        <f t="shared" si="63"/>
        <v>USD</v>
      </c>
      <c r="R366" s="1" cm="1">
        <f t="array" ref="R366">IF(A366="", "",
    IFERROR(
        _xlfn.SWITCH(
            TRUE,
            AND(Q366="USD", $Q$2="USD"), K366,
            AND(Q366="USD", $Q$2="GBP"), K366*$Z$3,
            AND(Q366="USD", $Q$2="HKD"), K366*$Z$4,
            AND(Q366="USD", $Q$2="EUR"), K366*$Z$5,
            AND(Q366="GBP", $Q$2="GBP"), K366,
            AND(Q366="GBP", $Q$2="USD"), K366*$Z$6,
            AND(Q366="GBP", $Q$2="HKD"), K366*$Z$7,
            AND(Q366="HKG", $Q$2="HKG"), K366,
            AND(Q366="HKD", $Q$2="USD"), K366*$Z$9,
            AND(Q366="HKD", $Q$2="GBP"), K366*$Z$10,
            AND(Q366="HKD", $Q$2="EUR"), K366*$Z$11,
            AND(Q366="EUR", $Q$2="EUR"), K366,
            AND(Q366="EUR", $Q$2="USD"), K366*$Z$12,
            AND(Q366="EUR", $Q$2="GBP"), K366*$Z$13,
            AND(Q366="EUR", $Q$2="HKD"), K366*$Z$14,
        ),
        0
    )
)</f>
        <v>0</v>
      </c>
      <c r="S366" s="1" cm="1">
        <f t="array" ref="S366">IF(A366="", "",
    IFERROR(
        _xlfn.SWITCH(
            TRUE,
            AND(Q366="USD", $Q$2="USD"), M366,
            AND(Q366="USD", $Q$2="GBP"), M366*$Z$3,
            AND(Q366="USD", $Q$2="HKD"), M366*$Z$4,
            AND(Q366="USD", $Q$2="EUR"), M366*$Z$5,
            AND(Q366="GBP", $Q$2="GBP"), M366,
            AND(Q366="GBP", $Q$2="USD"), M366*$Z$6,
            AND(Q366="GBP", $Q$2="HKD"), M366*$Z$7,
            AND(Q366="GBP", $Q$2="HKD"), M366*$Z$8,
            AND(Q366="HKG", $Q$2="HKG"), M366,
            AND(Q366="HKD", $Q$2="USD"), M366*$Z$9,
            AND(Q366="HKD", $Q$2="GBP"), M366*$Z$10,
            AND(Q366="HKD", $Q$2="EUR"), M366*$Z$11,
            AND(Q366="EUR", $Q$2="EUR"), M366,
            AND(Q366="EUR", $Q$2="USD"), M366*$Z$12,
            AND(Q366="EUR", $Q$2="GBP"), M366*$Z$13,
            AND(Q366="EUR", $Q$2="HKD"), M366*$Z$14,
        ),
        0
    )
)</f>
        <v>199.68</v>
      </c>
      <c r="T366" s="1" t="str">
        <f t="shared" si="64"/>
        <v>28</v>
      </c>
      <c r="U366" s="8" t="str">
        <f t="shared" si="65"/>
        <v>02</v>
      </c>
      <c r="V366" s="1" t="str">
        <f t="shared" si="66"/>
        <v>2024</v>
      </c>
      <c r="W366" s="18" t="str">
        <f t="shared" si="67"/>
        <v>星期三</v>
      </c>
    </row>
    <row r="367" spans="1:23">
      <c r="A367" s="17" t="s">
        <v>6</v>
      </c>
      <c r="B367" s="1" t="s">
        <v>348</v>
      </c>
      <c r="C367" s="9">
        <v>45350</v>
      </c>
      <c r="D367" s="1" t="s">
        <v>47</v>
      </c>
      <c r="E367" s="1" t="s">
        <v>4</v>
      </c>
      <c r="F367" s="1" t="s">
        <v>349</v>
      </c>
      <c r="H367" s="1" t="s">
        <v>367</v>
      </c>
      <c r="I367" s="1">
        <v>4.7699999999999999E-3</v>
      </c>
      <c r="J367" s="27">
        <v>62850</v>
      </c>
      <c r="K367" s="1">
        <v>0.29899999999999999</v>
      </c>
      <c r="M367" s="25">
        <f t="shared" si="52"/>
        <v>299.49549999999999</v>
      </c>
      <c r="N367" s="17">
        <f t="shared" si="35"/>
        <v>299.79449999999997</v>
      </c>
      <c r="O367" s="34">
        <f>IF(ISBLANK(A367),"",SUMIFS(I$3:I367,D$3:D367,D367,H$3:H367,"Buy")+SUMIFS(I$3:I367,D$3:D367,D367,H$3:H367,"Cash Deposit")+SUMIFS(I$3:I367,D$3:D367,D367,H$3:H367,"Crypto Deposit")+SUMIFS(I$3:I367,D$3:D367,D367,H$3:H367,"Airdrop/Rewards")-SUMIFS(I$3:I367,D$3:D367,D367,H$3:H367,"Sell"))</f>
        <v>0.29236523994681651</v>
      </c>
      <c r="P367" s="2" cm="1">
        <f t="array" ref="P367">IF(ISBLANK(A367),"",IFERROR(IF(OR(H367="Sell",F367="Stable Coin"),INDEX(_xlfn._xlws.FILTER(P$2:P366, D$2:D366=D367),COUNT(_xlfn._xlws.FILTER(P$2:P366, D$2:D366=D367))),(INDEX(_xlfn._xlws.FILTER(P$2:P366, D$2:D366=D367),COUNT(_xlfn._xlws.FILTER(P$2:P366, D$2:D366=D367)))*INDEX(_xlfn._xlws.FILTER(O$2:O366, D$2:D366=D367),COUNT(_xlfn._xlws.FILTER(O$2:O366, D$2:D366=D367)))-N367) / O367), J367))</f>
        <v>32216.561571265273</v>
      </c>
      <c r="Q367" s="1" t="str">
        <f t="shared" si="63"/>
        <v>USD</v>
      </c>
      <c r="R367" s="1" cm="1">
        <f t="array" ref="R367">IF(A367="", "",
    IFERROR(
        _xlfn.SWITCH(
            TRUE,
            AND(Q367="USD", $Q$2="USD"), K367,
            AND(Q367="USD", $Q$2="GBP"), K367*$Z$3,
            AND(Q367="USD", $Q$2="HKD"), K367*$Z$4,
            AND(Q367="USD", $Q$2="EUR"), K367*$Z$5,
            AND(Q367="GBP", $Q$2="GBP"), K367,
            AND(Q367="GBP", $Q$2="USD"), K367*$Z$6,
            AND(Q367="GBP", $Q$2="HKD"), K367*$Z$7,
            AND(Q367="HKG", $Q$2="HKG"), K367,
            AND(Q367="HKD", $Q$2="USD"), K367*$Z$9,
            AND(Q367="HKD", $Q$2="GBP"), K367*$Z$10,
            AND(Q367="HKD", $Q$2="EUR"), K367*$Z$11,
            AND(Q367="EUR", $Q$2="EUR"), K367,
            AND(Q367="EUR", $Q$2="USD"), K367*$Z$12,
            AND(Q367="EUR", $Q$2="GBP"), K367*$Z$13,
            AND(Q367="EUR", $Q$2="HKD"), K367*$Z$14,
        ),
        0
    )
)</f>
        <v>0.29899999999999999</v>
      </c>
      <c r="S367" s="1" cm="1">
        <f t="array" ref="S367">IF(A367="", "",
    IFERROR(
        _xlfn.SWITCH(
            TRUE,
            AND(Q367="USD", $Q$2="USD"), M367,
            AND(Q367="USD", $Q$2="GBP"), M367*$Z$3,
            AND(Q367="USD", $Q$2="HKD"), M367*$Z$4,
            AND(Q367="USD", $Q$2="EUR"), M367*$Z$5,
            AND(Q367="GBP", $Q$2="GBP"), M367,
            AND(Q367="GBP", $Q$2="USD"), M367*$Z$6,
            AND(Q367="GBP", $Q$2="HKD"), M367*$Z$7,
            AND(Q367="GBP", $Q$2="HKD"), M367*$Z$8,
            AND(Q367="HKG", $Q$2="HKG"), M367,
            AND(Q367="HKD", $Q$2="USD"), M367*$Z$9,
            AND(Q367="HKD", $Q$2="GBP"), M367*$Z$10,
            AND(Q367="HKD", $Q$2="EUR"), M367*$Z$11,
            AND(Q367="EUR", $Q$2="EUR"), M367,
            AND(Q367="EUR", $Q$2="USD"), M367*$Z$12,
            AND(Q367="EUR", $Q$2="GBP"), M367*$Z$13,
            AND(Q367="EUR", $Q$2="HKD"), M367*$Z$14,
        ),
        0
    )
)</f>
        <v>299.49549999999999</v>
      </c>
      <c r="T367" s="1" t="str">
        <f t="shared" si="64"/>
        <v>28</v>
      </c>
      <c r="U367" s="8" t="str">
        <f t="shared" si="65"/>
        <v>02</v>
      </c>
      <c r="V367" s="1" t="str">
        <f t="shared" si="66"/>
        <v>2024</v>
      </c>
      <c r="W367" s="18" t="str">
        <f t="shared" si="67"/>
        <v>星期三</v>
      </c>
    </row>
    <row r="368" spans="1:23">
      <c r="A368" s="17" t="s">
        <v>6</v>
      </c>
      <c r="B368" s="1" t="s">
        <v>348</v>
      </c>
      <c r="C368" s="9">
        <v>45350</v>
      </c>
      <c r="D368" s="1" t="s">
        <v>364</v>
      </c>
      <c r="E368" s="1" t="s">
        <v>114</v>
      </c>
      <c r="F368" s="1" t="s">
        <v>346</v>
      </c>
      <c r="H368" s="1" t="s">
        <v>347</v>
      </c>
      <c r="I368" s="1">
        <v>299.79450000000003</v>
      </c>
      <c r="J368" s="27">
        <v>1</v>
      </c>
      <c r="M368" s="25">
        <f t="shared" si="52"/>
        <v>299.79450000000003</v>
      </c>
      <c r="N368" s="17">
        <f t="shared" si="35"/>
        <v>-299.79450000000003</v>
      </c>
      <c r="O368" s="34">
        <f>IF(ISBLANK(A368),"",SUMIFS(I$3:I368,D$3:D368,D368,H$3:H368,"Buy")+SUMIFS(I$3:I368,D$3:D368,D368,H$3:H368,"Cash Deposit")+SUMIFS(I$3:I368,D$3:D368,D368,H$3:H368,"Crypto Deposit")+SUMIFS(I$3:I368,D$3:D368,D368,H$3:H368,"Airdrop/Rewards")-SUMIFS(I$3:I368,D$3:D368,D368,H$3:H368,"Sell"))</f>
        <v>5759.4346550803821</v>
      </c>
      <c r="P368" s="2" cm="1">
        <f t="array" ref="P368">IF(ISBLANK(A368),"",IFERROR(IF(OR(H368="Sell",F368="Stable Coin"),INDEX(_xlfn._xlws.FILTER(P$2:P367, D$2:D367=D368),COUNT(_xlfn._xlws.FILTER(P$2:P367, D$2:D367=D368))),(INDEX(_xlfn._xlws.FILTER(P$2:P367, D$2:D367=D368),COUNT(_xlfn._xlws.FILTER(P$2:P367, D$2:D367=D368)))*INDEX(_xlfn._xlws.FILTER(O$2:O367, D$2:D367=D368),COUNT(_xlfn._xlws.FILTER(O$2:O367, D$2:D367=D368)))-N368) / O368), J368))</f>
        <v>1</v>
      </c>
      <c r="Q368" s="1" t="str">
        <f t="shared" si="63"/>
        <v>USD</v>
      </c>
      <c r="R368" s="1" cm="1">
        <f t="array" ref="R368">IF(A368="", "",
    IFERROR(
        _xlfn.SWITCH(
            TRUE,
            AND(Q368="USD", $Q$2="USD"), K368,
            AND(Q368="USD", $Q$2="GBP"), K368*$Z$3,
            AND(Q368="USD", $Q$2="HKD"), K368*$Z$4,
            AND(Q368="USD", $Q$2="EUR"), K368*$Z$5,
            AND(Q368="GBP", $Q$2="GBP"), K368,
            AND(Q368="GBP", $Q$2="USD"), K368*$Z$6,
            AND(Q368="GBP", $Q$2="HKD"), K368*$Z$7,
            AND(Q368="HKG", $Q$2="HKG"), K368,
            AND(Q368="HKD", $Q$2="USD"), K368*$Z$9,
            AND(Q368="HKD", $Q$2="GBP"), K368*$Z$10,
            AND(Q368="HKD", $Q$2="EUR"), K368*$Z$11,
            AND(Q368="EUR", $Q$2="EUR"), K368,
            AND(Q368="EUR", $Q$2="USD"), K368*$Z$12,
            AND(Q368="EUR", $Q$2="GBP"), K368*$Z$13,
            AND(Q368="EUR", $Q$2="HKD"), K368*$Z$14,
        ),
        0
    )
)</f>
        <v>0</v>
      </c>
      <c r="S368" s="1" cm="1">
        <f t="array" ref="S368">IF(A368="", "",
    IFERROR(
        _xlfn.SWITCH(
            TRUE,
            AND(Q368="USD", $Q$2="USD"), M368,
            AND(Q368="USD", $Q$2="GBP"), M368*$Z$3,
            AND(Q368="USD", $Q$2="HKD"), M368*$Z$4,
            AND(Q368="USD", $Q$2="EUR"), M368*$Z$5,
            AND(Q368="GBP", $Q$2="GBP"), M368,
            AND(Q368="GBP", $Q$2="USD"), M368*$Z$6,
            AND(Q368="GBP", $Q$2="HKD"), M368*$Z$7,
            AND(Q368="GBP", $Q$2="HKD"), M368*$Z$8,
            AND(Q368="HKG", $Q$2="HKG"), M368,
            AND(Q368="HKD", $Q$2="USD"), M368*$Z$9,
            AND(Q368="HKD", $Q$2="GBP"), M368*$Z$10,
            AND(Q368="HKD", $Q$2="EUR"), M368*$Z$11,
            AND(Q368="EUR", $Q$2="EUR"), M368,
            AND(Q368="EUR", $Q$2="USD"), M368*$Z$12,
            AND(Q368="EUR", $Q$2="GBP"), M368*$Z$13,
            AND(Q368="EUR", $Q$2="HKD"), M368*$Z$14,
        ),
        0
    )
)</f>
        <v>299.79450000000003</v>
      </c>
      <c r="T368" s="1" t="str">
        <f t="shared" si="64"/>
        <v>28</v>
      </c>
      <c r="U368" s="8" t="str">
        <f t="shared" si="65"/>
        <v>02</v>
      </c>
      <c r="V368" s="1" t="str">
        <f t="shared" si="66"/>
        <v>2024</v>
      </c>
      <c r="W368" s="18" t="str">
        <f t="shared" si="67"/>
        <v>星期三</v>
      </c>
    </row>
    <row r="369" spans="1:23">
      <c r="A369" s="17" t="s">
        <v>59</v>
      </c>
      <c r="B369" s="1" t="s">
        <v>348</v>
      </c>
      <c r="C369" s="9">
        <v>45350</v>
      </c>
      <c r="D369" s="1" t="s">
        <v>23</v>
      </c>
      <c r="E369" s="1" t="s">
        <v>24</v>
      </c>
      <c r="F369" s="1" t="s">
        <v>349</v>
      </c>
      <c r="H369" s="1" t="s">
        <v>359</v>
      </c>
      <c r="I369" s="1">
        <v>1.0200000000000001E-2</v>
      </c>
      <c r="J369" s="27">
        <v>3310</v>
      </c>
      <c r="K369" s="1">
        <v>2.5</v>
      </c>
      <c r="M369" s="25">
        <f t="shared" si="52"/>
        <v>33.762</v>
      </c>
      <c r="N369" s="17">
        <f t="shared" si="35"/>
        <v>0</v>
      </c>
      <c r="O369" s="34">
        <f>IF(ISBLANK(A369),"",SUMIFS(I$3:I369,D$3:D369,D369,H$3:H369,"Buy")+SUMIFS(I$3:I369,D$3:D369,D369,H$3:H369,"Cash Deposit")+SUMIFS(I$3:I369,D$3:D369,D369,H$3:H369,"Crypto Deposit")+SUMIFS(I$3:I369,D$3:D369,D369,H$3:H369,"Airdrop/Rewards")-SUMIFS(I$3:I369,D$3:D369,D369,H$3:H369,"Sell"))</f>
        <v>10.427943702608804</v>
      </c>
      <c r="P369" s="2" cm="1">
        <f t="array" ref="P369">IF(ISBLANK(A369),"",IFERROR(IF(OR(H369="Sell",F369="Stable Coin"),INDEX(_xlfn._xlws.FILTER(P$2:P368, D$2:D368=D369),COUNT(_xlfn._xlws.FILTER(P$2:P368, D$2:D368=D369))),(INDEX(_xlfn._xlws.FILTER(P$2:P368, D$2:D368=D369),COUNT(_xlfn._xlws.FILTER(P$2:P368, D$2:D368=D369)))*INDEX(_xlfn._xlws.FILTER(O$2:O368, D$2:D368=D369),COUNT(_xlfn._xlws.FILTER(O$2:O368, D$2:D368=D369)))-N369) / O369), J369))</f>
        <v>2338.5708574331106</v>
      </c>
      <c r="Q369" s="1" t="str">
        <f t="shared" si="63"/>
        <v>USD</v>
      </c>
      <c r="R369" s="1" cm="1">
        <f t="array" ref="R369">IF(A369="", "",
    IFERROR(
        _xlfn.SWITCH(
            TRUE,
            AND(Q369="USD", $Q$2="USD"), K369,
            AND(Q369="USD", $Q$2="GBP"), K369*$Z$3,
            AND(Q369="USD", $Q$2="HKD"), K369*$Z$4,
            AND(Q369="USD", $Q$2="EUR"), K369*$Z$5,
            AND(Q369="GBP", $Q$2="GBP"), K369,
            AND(Q369="GBP", $Q$2="USD"), K369*$Z$6,
            AND(Q369="GBP", $Q$2="HKD"), K369*$Z$7,
            AND(Q369="HKG", $Q$2="HKG"), K369,
            AND(Q369="HKD", $Q$2="USD"), K369*$Z$9,
            AND(Q369="HKD", $Q$2="GBP"), K369*$Z$10,
            AND(Q369="HKD", $Q$2="EUR"), K369*$Z$11,
            AND(Q369="EUR", $Q$2="EUR"), K369,
            AND(Q369="EUR", $Q$2="USD"), K369*$Z$12,
            AND(Q369="EUR", $Q$2="GBP"), K369*$Z$13,
            AND(Q369="EUR", $Q$2="HKD"), K369*$Z$14,
        ),
        0
    )
)</f>
        <v>2.5</v>
      </c>
      <c r="S369" s="1" cm="1">
        <f t="array" ref="S369">IF(A369="", "",
    IFERROR(
        _xlfn.SWITCH(
            TRUE,
            AND(Q369="USD", $Q$2="USD"), M369,
            AND(Q369="USD", $Q$2="GBP"), M369*$Z$3,
            AND(Q369="USD", $Q$2="HKD"), M369*$Z$4,
            AND(Q369="USD", $Q$2="EUR"), M369*$Z$5,
            AND(Q369="GBP", $Q$2="GBP"), M369,
            AND(Q369="GBP", $Q$2="USD"), M369*$Z$6,
            AND(Q369="GBP", $Q$2="HKD"), M369*$Z$7,
            AND(Q369="GBP", $Q$2="HKD"), M369*$Z$8,
            AND(Q369="HKG", $Q$2="HKG"), M369,
            AND(Q369="HKD", $Q$2="USD"), M369*$Z$9,
            AND(Q369="HKD", $Q$2="GBP"), M369*$Z$10,
            AND(Q369="HKD", $Q$2="EUR"), M369*$Z$11,
            AND(Q369="EUR", $Q$2="EUR"), M369,
            AND(Q369="EUR", $Q$2="USD"), M369*$Z$12,
            AND(Q369="EUR", $Q$2="GBP"), M369*$Z$13,
            AND(Q369="EUR", $Q$2="HKD"), M369*$Z$14,
        ),
        0
    )
)</f>
        <v>33.762</v>
      </c>
      <c r="T369" s="1" t="str">
        <f t="shared" si="64"/>
        <v>28</v>
      </c>
      <c r="U369" s="8" t="str">
        <f t="shared" si="65"/>
        <v>02</v>
      </c>
      <c r="V369" s="1" t="str">
        <f t="shared" si="66"/>
        <v>2024</v>
      </c>
      <c r="W369" s="18" t="str">
        <f t="shared" si="67"/>
        <v>星期三</v>
      </c>
    </row>
    <row r="370" spans="1:23">
      <c r="A370" s="17" t="s">
        <v>6</v>
      </c>
      <c r="B370" s="1" t="s">
        <v>348</v>
      </c>
      <c r="C370" s="9">
        <v>45351</v>
      </c>
      <c r="D370" s="1" t="s">
        <v>364</v>
      </c>
      <c r="E370" s="1" t="s">
        <v>114</v>
      </c>
      <c r="F370" s="1" t="s">
        <v>346</v>
      </c>
      <c r="H370" s="1" t="s">
        <v>367</v>
      </c>
      <c r="I370" s="1">
        <v>99.6</v>
      </c>
      <c r="J370" s="27">
        <v>1</v>
      </c>
      <c r="M370" s="25">
        <f t="shared" si="52"/>
        <v>99.6</v>
      </c>
      <c r="N370" s="17">
        <f t="shared" si="35"/>
        <v>99.6</v>
      </c>
      <c r="O370" s="34">
        <f>IF(ISBLANK(A370),"",SUMIFS(I$3:I370,D$3:D370,D370,H$3:H370,"Buy")+SUMIFS(I$3:I370,D$3:D370,D370,H$3:H370,"Cash Deposit")+SUMIFS(I$3:I370,D$3:D370,D370,H$3:H370,"Crypto Deposit")+SUMIFS(I$3:I370,D$3:D370,D370,H$3:H370,"Airdrop/Rewards")-SUMIFS(I$3:I370,D$3:D370,D370,H$3:H370,"Sell"))</f>
        <v>5659.8346550803835</v>
      </c>
      <c r="P370" s="2" cm="1">
        <f t="array" ref="P370">IF(ISBLANK(A370),"",IFERROR(IF(OR(H370="Sell",F370="Stable Coin"),INDEX(_xlfn._xlws.FILTER(P$2:P369, D$2:D369=D370),COUNT(_xlfn._xlws.FILTER(P$2:P369, D$2:D369=D370))),(INDEX(_xlfn._xlws.FILTER(P$2:P369, D$2:D369=D370),COUNT(_xlfn._xlws.FILTER(P$2:P369, D$2:D369=D370)))*INDEX(_xlfn._xlws.FILTER(O$2:O369, D$2:D369=D370),COUNT(_xlfn._xlws.FILTER(O$2:O369, D$2:D369=D370)))-N370) / O370), J370))</f>
        <v>1</v>
      </c>
      <c r="Q370" s="1" t="str">
        <f t="shared" si="63"/>
        <v>USD</v>
      </c>
      <c r="R370" s="1" cm="1">
        <f t="array" ref="R370">IF(A370="", "",
    IFERROR(
        _xlfn.SWITCH(
            TRUE,
            AND(Q370="USD", $Q$2="USD"), K370,
            AND(Q370="USD", $Q$2="GBP"), K370*$Z$3,
            AND(Q370="USD", $Q$2="HKD"), K370*$Z$4,
            AND(Q370="USD", $Q$2="EUR"), K370*$Z$5,
            AND(Q370="GBP", $Q$2="GBP"), K370,
            AND(Q370="GBP", $Q$2="USD"), K370*$Z$6,
            AND(Q370="GBP", $Q$2="HKD"), K370*$Z$7,
            AND(Q370="HKG", $Q$2="HKG"), K370,
            AND(Q370="HKD", $Q$2="USD"), K370*$Z$9,
            AND(Q370="HKD", $Q$2="GBP"), K370*$Z$10,
            AND(Q370="HKD", $Q$2="EUR"), K370*$Z$11,
            AND(Q370="EUR", $Q$2="EUR"), K370,
            AND(Q370="EUR", $Q$2="USD"), K370*$Z$12,
            AND(Q370="EUR", $Q$2="GBP"), K370*$Z$13,
            AND(Q370="EUR", $Q$2="HKD"), K370*$Z$14,
        ),
        0
    )
)</f>
        <v>0</v>
      </c>
      <c r="S370" s="1" cm="1">
        <f t="array" ref="S370">IF(A370="", "",
    IFERROR(
        _xlfn.SWITCH(
            TRUE,
            AND(Q370="USD", $Q$2="USD"), M370,
            AND(Q370="USD", $Q$2="GBP"), M370*$Z$3,
            AND(Q370="USD", $Q$2="HKD"), M370*$Z$4,
            AND(Q370="USD", $Q$2="EUR"), M370*$Z$5,
            AND(Q370="GBP", $Q$2="GBP"), M370,
            AND(Q370="GBP", $Q$2="USD"), M370*$Z$6,
            AND(Q370="GBP", $Q$2="HKD"), M370*$Z$7,
            AND(Q370="GBP", $Q$2="HKD"), M370*$Z$8,
            AND(Q370="HKG", $Q$2="HKG"), M370,
            AND(Q370="HKD", $Q$2="USD"), M370*$Z$9,
            AND(Q370="HKD", $Q$2="GBP"), M370*$Z$10,
            AND(Q370="HKD", $Q$2="EUR"), M370*$Z$11,
            AND(Q370="EUR", $Q$2="EUR"), M370,
            AND(Q370="EUR", $Q$2="USD"), M370*$Z$12,
            AND(Q370="EUR", $Q$2="GBP"), M370*$Z$13,
            AND(Q370="EUR", $Q$2="HKD"), M370*$Z$14,
        ),
        0
    )
)</f>
        <v>99.6</v>
      </c>
      <c r="T370" s="1" t="str">
        <f t="shared" si="64"/>
        <v>29</v>
      </c>
      <c r="U370" s="8" t="str">
        <f t="shared" si="65"/>
        <v>02</v>
      </c>
      <c r="V370" s="1" t="str">
        <f t="shared" si="66"/>
        <v>2024</v>
      </c>
      <c r="W370" s="18" t="str">
        <f t="shared" si="67"/>
        <v>星期四</v>
      </c>
    </row>
    <row r="371" spans="1:23">
      <c r="A371" s="17" t="s">
        <v>59</v>
      </c>
      <c r="B371" s="1" t="s">
        <v>348</v>
      </c>
      <c r="C371" s="9">
        <v>45351</v>
      </c>
      <c r="D371" s="1" t="s">
        <v>353</v>
      </c>
      <c r="E371" s="1" t="s">
        <v>417</v>
      </c>
      <c r="F371" s="1" t="s">
        <v>349</v>
      </c>
      <c r="H371" s="1" t="s">
        <v>367</v>
      </c>
      <c r="I371" s="1">
        <v>0.125</v>
      </c>
      <c r="J371" s="27">
        <v>62832</v>
      </c>
      <c r="K371" s="1">
        <v>1.5</v>
      </c>
      <c r="M371" s="25">
        <f t="shared" si="52"/>
        <v>7852.5</v>
      </c>
      <c r="N371" s="17">
        <f t="shared" si="35"/>
        <v>7854</v>
      </c>
      <c r="O371" s="34">
        <f>IF(ISBLANK(A371),"",SUMIFS(I$3:I371,D$3:D371,D371,H$3:H371,"Buy")+SUMIFS(I$3:I371,D$3:D371,D371,H$3:H371,"Cash Deposit")+SUMIFS(I$3:I371,D$3:D371,D371,H$3:H371,"Crypto Deposit")+SUMIFS(I$3:I371,D$3:D371,D371,H$3:H371,"Airdrop/Rewards")-SUMIFS(I$3:I371,D$3:D371,D371,H$3:H371,"Sell"))</f>
        <v>0.15500675</v>
      </c>
      <c r="P371" s="2" cm="1">
        <f t="array" ref="P371">IF(ISBLANK(A371),"",IFERROR(IF(OR(H371="Sell",F371="Stable Coin"),INDEX(_xlfn._xlws.FILTER(P$2:P370, D$2:D370=D371),COUNT(_xlfn._xlws.FILTER(P$2:P370, D$2:D370=D371))),(INDEX(_xlfn._xlws.FILTER(P$2:P370, D$2:D370=D371),COUNT(_xlfn._xlws.FILTER(P$2:P370, D$2:D370=D371)))*INDEX(_xlfn._xlws.FILTER(O$2:O370, D$2:D370=D371),COUNT(_xlfn._xlws.FILTER(O$2:O370, D$2:D370=D371)))-N371) / O371), J371))</f>
        <v>31997.89</v>
      </c>
      <c r="Q371" s="1" t="str">
        <f t="shared" si="63"/>
        <v>USD</v>
      </c>
      <c r="R371" s="1" cm="1">
        <f t="array" ref="R371">IF(A371="", "",
    IFERROR(
        _xlfn.SWITCH(
            TRUE,
            AND(Q371="USD", $Q$2="USD"), K371,
            AND(Q371="USD", $Q$2="GBP"), K371*$Z$3,
            AND(Q371="USD", $Q$2="HKD"), K371*$Z$4,
            AND(Q371="USD", $Q$2="EUR"), K371*$Z$5,
            AND(Q371="GBP", $Q$2="GBP"), K371,
            AND(Q371="GBP", $Q$2="USD"), K371*$Z$6,
            AND(Q371="GBP", $Q$2="HKD"), K371*$Z$7,
            AND(Q371="HKG", $Q$2="HKG"), K371,
            AND(Q371="HKD", $Q$2="USD"), K371*$Z$9,
            AND(Q371="HKD", $Q$2="GBP"), K371*$Z$10,
            AND(Q371="HKD", $Q$2="EUR"), K371*$Z$11,
            AND(Q371="EUR", $Q$2="EUR"), K371,
            AND(Q371="EUR", $Q$2="USD"), K371*$Z$12,
            AND(Q371="EUR", $Q$2="GBP"), K371*$Z$13,
            AND(Q371="EUR", $Q$2="HKD"), K371*$Z$14,
        ),
        0
    )
)</f>
        <v>1.5</v>
      </c>
      <c r="S371" s="1" cm="1">
        <f t="array" ref="S371">IF(A371="", "",
    IFERROR(
        _xlfn.SWITCH(
            TRUE,
            AND(Q371="USD", $Q$2="USD"), M371,
            AND(Q371="USD", $Q$2="GBP"), M371*$Z$3,
            AND(Q371="USD", $Q$2="HKD"), M371*$Z$4,
            AND(Q371="USD", $Q$2="EUR"), M371*$Z$5,
            AND(Q371="GBP", $Q$2="GBP"), M371,
            AND(Q371="GBP", $Q$2="USD"), M371*$Z$6,
            AND(Q371="GBP", $Q$2="HKD"), M371*$Z$7,
            AND(Q371="GBP", $Q$2="HKD"), M371*$Z$8,
            AND(Q371="HKG", $Q$2="HKG"), M371,
            AND(Q371="HKD", $Q$2="USD"), M371*$Z$9,
            AND(Q371="HKD", $Q$2="GBP"), M371*$Z$10,
            AND(Q371="HKD", $Q$2="EUR"), M371*$Z$11,
            AND(Q371="EUR", $Q$2="EUR"), M371,
            AND(Q371="EUR", $Q$2="USD"), M371*$Z$12,
            AND(Q371="EUR", $Q$2="GBP"), M371*$Z$13,
            AND(Q371="EUR", $Q$2="HKD"), M371*$Z$14,
        ),
        0
    )
)</f>
        <v>7852.5</v>
      </c>
      <c r="T371" s="1" t="str">
        <f t="shared" si="64"/>
        <v>29</v>
      </c>
      <c r="U371" s="8" t="str">
        <f t="shared" si="65"/>
        <v>02</v>
      </c>
      <c r="V371" s="1" t="str">
        <f t="shared" si="66"/>
        <v>2024</v>
      </c>
      <c r="W371" s="18" t="str">
        <f t="shared" si="67"/>
        <v>星期四</v>
      </c>
    </row>
    <row r="372" spans="1:23">
      <c r="A372" s="17" t="s">
        <v>59</v>
      </c>
      <c r="B372" s="1" t="s">
        <v>348</v>
      </c>
      <c r="C372" s="9">
        <v>45351</v>
      </c>
      <c r="D372" s="1" t="s">
        <v>60</v>
      </c>
      <c r="E372" s="1" t="s">
        <v>424</v>
      </c>
      <c r="F372" s="1" t="s">
        <v>349</v>
      </c>
      <c r="H372" s="1" t="s">
        <v>347</v>
      </c>
      <c r="I372" s="1">
        <v>2.5000000000000001E-2</v>
      </c>
      <c r="J372" s="27">
        <v>62600</v>
      </c>
      <c r="K372" s="1">
        <v>0.16</v>
      </c>
      <c r="M372" s="25">
        <f t="shared" si="52"/>
        <v>1565</v>
      </c>
      <c r="N372" s="17">
        <f t="shared" si="35"/>
        <v>-1565</v>
      </c>
      <c r="O372" s="34">
        <f>IF(ISBLANK(A372),"",SUMIFS(I$3:I372,D$3:D372,D372,H$3:H372,"Buy")+SUMIFS(I$3:I372,D$3:D372,D372,H$3:H372,"Cash Deposit")+SUMIFS(I$3:I372,D$3:D372,D372,H$3:H372,"Crypto Deposit")+SUMIFS(I$3:I372,D$3:D372,D372,H$3:H372,"Airdrop/Rewards")-SUMIFS(I$3:I372,D$3:D372,D372,H$3:H372,"Sell"))</f>
        <v>0.20275499999999999</v>
      </c>
      <c r="P372" s="2" cm="1">
        <f t="array" ref="P372">IF(ISBLANK(A372),"",IFERROR(IF(OR(H372="Sell",F372="Stable Coin"),INDEX(_xlfn._xlws.FILTER(P$2:P371, D$2:D371=D372),COUNT(_xlfn._xlws.FILTER(P$2:P371, D$2:D371=D372))),(INDEX(_xlfn._xlws.FILTER(P$2:P371, D$2:D371=D372),COUNT(_xlfn._xlws.FILTER(P$2:P371, D$2:D371=D372)))*INDEX(_xlfn._xlws.FILTER(O$2:O371, D$2:D371=D372),COUNT(_xlfn._xlws.FILTER(O$2:O371, D$2:D371=D372)))-N372) / O372), J372))</f>
        <v>33897.496737195135</v>
      </c>
      <c r="Q372" s="1" t="str">
        <f t="shared" si="63"/>
        <v>USD</v>
      </c>
      <c r="R372" s="1" cm="1">
        <f t="array" ref="R372">IF(A372="", "",
    IFERROR(
        _xlfn.SWITCH(
            TRUE,
            AND(Q372="USD", $Q$2="USD"), K372,
            AND(Q372="USD", $Q$2="GBP"), K372*$Z$3,
            AND(Q372="USD", $Q$2="HKD"), K372*$Z$4,
            AND(Q372="USD", $Q$2="EUR"), K372*$Z$5,
            AND(Q372="GBP", $Q$2="GBP"), K372,
            AND(Q372="GBP", $Q$2="USD"), K372*$Z$6,
            AND(Q372="GBP", $Q$2="HKD"), K372*$Z$7,
            AND(Q372="HKG", $Q$2="HKG"), K372,
            AND(Q372="HKD", $Q$2="USD"), K372*$Z$9,
            AND(Q372="HKD", $Q$2="GBP"), K372*$Z$10,
            AND(Q372="HKD", $Q$2="EUR"), K372*$Z$11,
            AND(Q372="EUR", $Q$2="EUR"), K372,
            AND(Q372="EUR", $Q$2="USD"), K372*$Z$12,
            AND(Q372="EUR", $Q$2="GBP"), K372*$Z$13,
            AND(Q372="EUR", $Q$2="HKD"), K372*$Z$14,
        ),
        0
    )
)</f>
        <v>0.16</v>
      </c>
      <c r="S372" s="1" cm="1">
        <f t="array" ref="S372">IF(A372="", "",
    IFERROR(
        _xlfn.SWITCH(
            TRUE,
            AND(Q372="USD", $Q$2="USD"), M372,
            AND(Q372="USD", $Q$2="GBP"), M372*$Z$3,
            AND(Q372="USD", $Q$2="HKD"), M372*$Z$4,
            AND(Q372="USD", $Q$2="EUR"), M372*$Z$5,
            AND(Q372="GBP", $Q$2="GBP"), M372,
            AND(Q372="GBP", $Q$2="USD"), M372*$Z$6,
            AND(Q372="GBP", $Q$2="HKD"), M372*$Z$7,
            AND(Q372="GBP", $Q$2="HKD"), M372*$Z$8,
            AND(Q372="HKG", $Q$2="HKG"), M372,
            AND(Q372="HKD", $Q$2="USD"), M372*$Z$9,
            AND(Q372="HKD", $Q$2="GBP"), M372*$Z$10,
            AND(Q372="HKD", $Q$2="EUR"), M372*$Z$11,
            AND(Q372="EUR", $Q$2="EUR"), M372,
            AND(Q372="EUR", $Q$2="USD"), M372*$Z$12,
            AND(Q372="EUR", $Q$2="GBP"), M372*$Z$13,
            AND(Q372="EUR", $Q$2="HKD"), M372*$Z$14,
        ),
        0
    )
)</f>
        <v>1565</v>
      </c>
      <c r="T372" s="1" t="str">
        <f t="shared" si="64"/>
        <v>29</v>
      </c>
      <c r="U372" s="8" t="str">
        <f t="shared" si="65"/>
        <v>02</v>
      </c>
      <c r="V372" s="1" t="str">
        <f t="shared" si="66"/>
        <v>2024</v>
      </c>
      <c r="W372" s="18" t="str">
        <f t="shared" si="67"/>
        <v>星期四</v>
      </c>
    </row>
    <row r="373" spans="1:23">
      <c r="A373" s="17" t="s">
        <v>6</v>
      </c>
      <c r="B373" s="1" t="s">
        <v>348</v>
      </c>
      <c r="C373" s="9">
        <v>45351</v>
      </c>
      <c r="D373" s="1" t="s">
        <v>364</v>
      </c>
      <c r="E373" s="1" t="s">
        <v>114</v>
      </c>
      <c r="F373" s="1" t="s">
        <v>346</v>
      </c>
      <c r="H373" s="1" t="s">
        <v>367</v>
      </c>
      <c r="I373" s="1">
        <v>212.76</v>
      </c>
      <c r="J373" s="27">
        <v>1</v>
      </c>
      <c r="M373" s="25">
        <f t="shared" si="52"/>
        <v>212.76</v>
      </c>
      <c r="N373" s="17">
        <f t="shared" si="35"/>
        <v>212.76</v>
      </c>
      <c r="O373" s="34">
        <f>IF(ISBLANK(A373),"",SUMIFS(I$3:I373,D$3:D373,D373,H$3:H373,"Buy")+SUMIFS(I$3:I373,D$3:D373,D373,H$3:H373,"Cash Deposit")+SUMIFS(I$3:I373,D$3:D373,D373,H$3:H373,"Crypto Deposit")+SUMIFS(I$3:I373,D$3:D373,D373,H$3:H373,"Airdrop/Rewards")-SUMIFS(I$3:I373,D$3:D373,D373,H$3:H373,"Sell"))</f>
        <v>5447.0746550803851</v>
      </c>
      <c r="P373" s="2" cm="1">
        <f t="array" ref="P373">IF(ISBLANK(A373),"",IFERROR(IF(OR(H373="Sell",F373="Stable Coin"),INDEX(_xlfn._xlws.FILTER(P$2:P372, D$2:D372=D373),COUNT(_xlfn._xlws.FILTER(P$2:P372, D$2:D372=D373))),(INDEX(_xlfn._xlws.FILTER(P$2:P372, D$2:D372=D373),COUNT(_xlfn._xlws.FILTER(P$2:P372, D$2:D372=D373)))*INDEX(_xlfn._xlws.FILTER(O$2:O372, D$2:D372=D373),COUNT(_xlfn._xlws.FILTER(O$2:O372, D$2:D372=D373)))-N373) / O373), J373))</f>
        <v>1</v>
      </c>
      <c r="Q373" s="1" t="str">
        <f t="shared" si="63"/>
        <v>USD</v>
      </c>
      <c r="R373" s="1" cm="1">
        <f t="array" ref="R373">IF(A373="", "",
    IFERROR(
        _xlfn.SWITCH(
            TRUE,
            AND(Q373="USD", $Q$2="USD"), K373,
            AND(Q373="USD", $Q$2="GBP"), K373*$Z$3,
            AND(Q373="USD", $Q$2="HKD"), K373*$Z$4,
            AND(Q373="USD", $Q$2="EUR"), K373*$Z$5,
            AND(Q373="GBP", $Q$2="GBP"), K373,
            AND(Q373="GBP", $Q$2="USD"), K373*$Z$6,
            AND(Q373="GBP", $Q$2="HKD"), K373*$Z$7,
            AND(Q373="HKG", $Q$2="HKG"), K373,
            AND(Q373="HKD", $Q$2="USD"), K373*$Z$9,
            AND(Q373="HKD", $Q$2="GBP"), K373*$Z$10,
            AND(Q373="HKD", $Q$2="EUR"), K373*$Z$11,
            AND(Q373="EUR", $Q$2="EUR"), K373,
            AND(Q373="EUR", $Q$2="USD"), K373*$Z$12,
            AND(Q373="EUR", $Q$2="GBP"), K373*$Z$13,
            AND(Q373="EUR", $Q$2="HKD"), K373*$Z$14,
        ),
        0
    )
)</f>
        <v>0</v>
      </c>
      <c r="S373" s="1" cm="1">
        <f t="array" ref="S373">IF(A373="", "",
    IFERROR(
        _xlfn.SWITCH(
            TRUE,
            AND(Q373="USD", $Q$2="USD"), M373,
            AND(Q373="USD", $Q$2="GBP"), M373*$Z$3,
            AND(Q373="USD", $Q$2="HKD"), M373*$Z$4,
            AND(Q373="USD", $Q$2="EUR"), M373*$Z$5,
            AND(Q373="GBP", $Q$2="GBP"), M373,
            AND(Q373="GBP", $Q$2="USD"), M373*$Z$6,
            AND(Q373="GBP", $Q$2="HKD"), M373*$Z$7,
            AND(Q373="GBP", $Q$2="HKD"), M373*$Z$8,
            AND(Q373="HKG", $Q$2="HKG"), M373,
            AND(Q373="HKD", $Q$2="USD"), M373*$Z$9,
            AND(Q373="HKD", $Q$2="GBP"), M373*$Z$10,
            AND(Q373="HKD", $Q$2="EUR"), M373*$Z$11,
            AND(Q373="EUR", $Q$2="EUR"), M373,
            AND(Q373="EUR", $Q$2="USD"), M373*$Z$12,
            AND(Q373="EUR", $Q$2="GBP"), M373*$Z$13,
            AND(Q373="EUR", $Q$2="HKD"), M373*$Z$14,
        ),
        0
    )
)</f>
        <v>212.76</v>
      </c>
      <c r="T373" s="1" t="str">
        <f t="shared" si="64"/>
        <v>29</v>
      </c>
      <c r="U373" s="8" t="str">
        <f t="shared" si="65"/>
        <v>02</v>
      </c>
      <c r="V373" s="1" t="str">
        <f t="shared" si="66"/>
        <v>2024</v>
      </c>
      <c r="W373" s="18" t="str">
        <f t="shared" si="67"/>
        <v>星期四</v>
      </c>
    </row>
    <row r="374" spans="1:23">
      <c r="A374" s="17" t="s">
        <v>6</v>
      </c>
      <c r="B374" s="1" t="s">
        <v>348</v>
      </c>
      <c r="C374" s="9">
        <v>45351</v>
      </c>
      <c r="D374" s="1" t="s">
        <v>12</v>
      </c>
      <c r="E374" s="1" t="s">
        <v>163</v>
      </c>
      <c r="F374" s="1" t="s">
        <v>349</v>
      </c>
      <c r="H374" s="1" t="s">
        <v>347</v>
      </c>
      <c r="I374" s="1">
        <v>27</v>
      </c>
      <c r="J374" s="27">
        <v>7.88</v>
      </c>
      <c r="K374" s="1">
        <v>0.16</v>
      </c>
      <c r="M374" s="25">
        <f t="shared" si="52"/>
        <v>212.76</v>
      </c>
      <c r="N374" s="17">
        <f t="shared" si="35"/>
        <v>-212.76</v>
      </c>
      <c r="O374" s="34">
        <f>IF(ISBLANK(A374),"",SUMIFS(I$3:I374,D$3:D374,D374,H$3:H374,"Buy")+SUMIFS(I$3:I374,D$3:D374,D374,H$3:H374,"Cash Deposit")+SUMIFS(I$3:I374,D$3:D374,D374,H$3:H374,"Crypto Deposit")+SUMIFS(I$3:I374,D$3:D374,D374,H$3:H374,"Airdrop/Rewards")-SUMIFS(I$3:I374,D$3:D374,D374,H$3:H374,"Sell"))</f>
        <v>40</v>
      </c>
      <c r="P374" s="2" cm="1">
        <f t="array" ref="P374">IF(ISBLANK(A374),"",IFERROR(IF(OR(H374="Sell",F374="Stable Coin"),INDEX(_xlfn._xlws.FILTER(P$2:P373, D$2:D373=D374),COUNT(_xlfn._xlws.FILTER(P$2:P373, D$2:D373=D374))),(INDEX(_xlfn._xlws.FILTER(P$2:P373, D$2:D373=D374),COUNT(_xlfn._xlws.FILTER(P$2:P373, D$2:D373=D374)))*INDEX(_xlfn._xlws.FILTER(O$2:O373, D$2:D373=D374),COUNT(_xlfn._xlws.FILTER(O$2:O373, D$2:D373=D374)))-N374) / O374), J374))</f>
        <v>7.3860000000000001</v>
      </c>
      <c r="Q374" s="1" t="str">
        <f t="shared" si="63"/>
        <v>USD</v>
      </c>
      <c r="R374" s="1" cm="1">
        <f t="array" ref="R374">IF(A374="", "",
    IFERROR(
        _xlfn.SWITCH(
            TRUE,
            AND(Q374="USD", $Q$2="USD"), K374,
            AND(Q374="USD", $Q$2="GBP"), K374*$Z$3,
            AND(Q374="USD", $Q$2="HKD"), K374*$Z$4,
            AND(Q374="USD", $Q$2="EUR"), K374*$Z$5,
            AND(Q374="GBP", $Q$2="GBP"), K374,
            AND(Q374="GBP", $Q$2="USD"), K374*$Z$6,
            AND(Q374="GBP", $Q$2="HKD"), K374*$Z$7,
            AND(Q374="HKG", $Q$2="HKG"), K374,
            AND(Q374="HKD", $Q$2="USD"), K374*$Z$9,
            AND(Q374="HKD", $Q$2="GBP"), K374*$Z$10,
            AND(Q374="HKD", $Q$2="EUR"), K374*$Z$11,
            AND(Q374="EUR", $Q$2="EUR"), K374,
            AND(Q374="EUR", $Q$2="USD"), K374*$Z$12,
            AND(Q374="EUR", $Q$2="GBP"), K374*$Z$13,
            AND(Q374="EUR", $Q$2="HKD"), K374*$Z$14,
        ),
        0
    )
)</f>
        <v>0.16</v>
      </c>
      <c r="S374" s="1" cm="1">
        <f t="array" ref="S374">IF(A374="", "",
    IFERROR(
        _xlfn.SWITCH(
            TRUE,
            AND(Q374="USD", $Q$2="USD"), M374,
            AND(Q374="USD", $Q$2="GBP"), M374*$Z$3,
            AND(Q374="USD", $Q$2="HKD"), M374*$Z$4,
            AND(Q374="USD", $Q$2="EUR"), M374*$Z$5,
            AND(Q374="GBP", $Q$2="GBP"), M374,
            AND(Q374="GBP", $Q$2="USD"), M374*$Z$6,
            AND(Q374="GBP", $Q$2="HKD"), M374*$Z$7,
            AND(Q374="GBP", $Q$2="HKD"), M374*$Z$8,
            AND(Q374="HKG", $Q$2="HKG"), M374,
            AND(Q374="HKD", $Q$2="USD"), M374*$Z$9,
            AND(Q374="HKD", $Q$2="GBP"), M374*$Z$10,
            AND(Q374="HKD", $Q$2="EUR"), M374*$Z$11,
            AND(Q374="EUR", $Q$2="EUR"), M374,
            AND(Q374="EUR", $Q$2="USD"), M374*$Z$12,
            AND(Q374="EUR", $Q$2="GBP"), M374*$Z$13,
            AND(Q374="EUR", $Q$2="HKD"), M374*$Z$14,
        ),
        0
    )
)</f>
        <v>212.76</v>
      </c>
      <c r="T374" s="1" t="str">
        <f t="shared" si="64"/>
        <v>29</v>
      </c>
      <c r="U374" s="8" t="str">
        <f t="shared" si="65"/>
        <v>02</v>
      </c>
      <c r="V374" s="1" t="str">
        <f t="shared" si="66"/>
        <v>2024</v>
      </c>
      <c r="W374" s="18" t="str">
        <f t="shared" si="67"/>
        <v>星期四</v>
      </c>
    </row>
    <row r="375" spans="1:23">
      <c r="A375" s="17" t="s">
        <v>6</v>
      </c>
      <c r="B375" s="1" t="s">
        <v>348</v>
      </c>
      <c r="C375" s="9">
        <v>45351</v>
      </c>
      <c r="D375" s="1" t="s">
        <v>364</v>
      </c>
      <c r="E375" s="1" t="s">
        <v>114</v>
      </c>
      <c r="F375" s="1" t="s">
        <v>346</v>
      </c>
      <c r="H375" s="1" t="s">
        <v>367</v>
      </c>
      <c r="I375" s="1">
        <v>117.6</v>
      </c>
      <c r="J375" s="27">
        <v>1</v>
      </c>
      <c r="M375" s="25">
        <f t="shared" si="52"/>
        <v>117.6</v>
      </c>
      <c r="N375" s="17">
        <f t="shared" si="35"/>
        <v>117.6</v>
      </c>
      <c r="O375" s="34">
        <f>IF(ISBLANK(A375),"",SUMIFS(I$3:I375,D$3:D375,D375,H$3:H375,"Buy")+SUMIFS(I$3:I375,D$3:D375,D375,H$3:H375,"Cash Deposit")+SUMIFS(I$3:I375,D$3:D375,D375,H$3:H375,"Crypto Deposit")+SUMIFS(I$3:I375,D$3:D375,D375,H$3:H375,"Airdrop/Rewards")-SUMIFS(I$3:I375,D$3:D375,D375,H$3:H375,"Sell"))</f>
        <v>5329.4746550803866</v>
      </c>
      <c r="P375" s="2" cm="1">
        <f t="array" ref="P375">IF(ISBLANK(A375),"",IFERROR(IF(OR(H375="Sell",F375="Stable Coin"),INDEX(_xlfn._xlws.FILTER(P$2:P374, D$2:D374=D375),COUNT(_xlfn._xlws.FILTER(P$2:P374, D$2:D374=D375))),(INDEX(_xlfn._xlws.FILTER(P$2:P374, D$2:D374=D375),COUNT(_xlfn._xlws.FILTER(P$2:P374, D$2:D374=D375)))*INDEX(_xlfn._xlws.FILTER(O$2:O374, D$2:D374=D375),COUNT(_xlfn._xlws.FILTER(O$2:O374, D$2:D374=D375)))-N375) / O375), J375))</f>
        <v>1</v>
      </c>
      <c r="Q375" s="1" t="str">
        <f t="shared" si="63"/>
        <v>USD</v>
      </c>
      <c r="R375" s="1" cm="1">
        <f t="array" ref="R375">IF(A375="", "",
    IFERROR(
        _xlfn.SWITCH(
            TRUE,
            AND(Q375="USD", $Q$2="USD"), K375,
            AND(Q375="USD", $Q$2="GBP"), K375*$Z$3,
            AND(Q375="USD", $Q$2="HKD"), K375*$Z$4,
            AND(Q375="USD", $Q$2="EUR"), K375*$Z$5,
            AND(Q375="GBP", $Q$2="GBP"), K375,
            AND(Q375="GBP", $Q$2="USD"), K375*$Z$6,
            AND(Q375="GBP", $Q$2="HKD"), K375*$Z$7,
            AND(Q375="HKG", $Q$2="HKG"), K375,
            AND(Q375="HKD", $Q$2="USD"), K375*$Z$9,
            AND(Q375="HKD", $Q$2="GBP"), K375*$Z$10,
            AND(Q375="HKD", $Q$2="EUR"), K375*$Z$11,
            AND(Q375="EUR", $Q$2="EUR"), K375,
            AND(Q375="EUR", $Q$2="USD"), K375*$Z$12,
            AND(Q375="EUR", $Q$2="GBP"), K375*$Z$13,
            AND(Q375="EUR", $Q$2="HKD"), K375*$Z$14,
        ),
        0
    )
)</f>
        <v>0</v>
      </c>
      <c r="S375" s="1" cm="1">
        <f t="array" ref="S375">IF(A375="", "",
    IFERROR(
        _xlfn.SWITCH(
            TRUE,
            AND(Q375="USD", $Q$2="USD"), M375,
            AND(Q375="USD", $Q$2="GBP"), M375*$Z$3,
            AND(Q375="USD", $Q$2="HKD"), M375*$Z$4,
            AND(Q375="USD", $Q$2="EUR"), M375*$Z$5,
            AND(Q375="GBP", $Q$2="GBP"), M375,
            AND(Q375="GBP", $Q$2="USD"), M375*$Z$6,
            AND(Q375="GBP", $Q$2="HKD"), M375*$Z$7,
            AND(Q375="GBP", $Q$2="HKD"), M375*$Z$8,
            AND(Q375="HKG", $Q$2="HKG"), M375,
            AND(Q375="HKD", $Q$2="USD"), M375*$Z$9,
            AND(Q375="HKD", $Q$2="GBP"), M375*$Z$10,
            AND(Q375="HKD", $Q$2="EUR"), M375*$Z$11,
            AND(Q375="EUR", $Q$2="EUR"), M375,
            AND(Q375="EUR", $Q$2="USD"), M375*$Z$12,
            AND(Q375="EUR", $Q$2="GBP"), M375*$Z$13,
            AND(Q375="EUR", $Q$2="HKD"), M375*$Z$14,
        ),
        0
    )
)</f>
        <v>117.6</v>
      </c>
      <c r="T375" s="1" t="str">
        <f t="shared" si="64"/>
        <v>29</v>
      </c>
      <c r="U375" s="8" t="str">
        <f t="shared" si="65"/>
        <v>02</v>
      </c>
      <c r="V375" s="1" t="str">
        <f t="shared" si="66"/>
        <v>2024</v>
      </c>
      <c r="W375" s="18" t="str">
        <f t="shared" si="67"/>
        <v>星期四</v>
      </c>
    </row>
    <row r="376" spans="1:23">
      <c r="A376" s="17" t="s">
        <v>6</v>
      </c>
      <c r="B376" s="1" t="s">
        <v>348</v>
      </c>
      <c r="C376" s="9">
        <v>45351</v>
      </c>
      <c r="D376" s="1" t="s">
        <v>351</v>
      </c>
      <c r="E376" s="1" t="s">
        <v>264</v>
      </c>
      <c r="F376" s="1" t="s">
        <v>349</v>
      </c>
      <c r="H376" s="1" t="s">
        <v>347</v>
      </c>
      <c r="I376" s="1">
        <v>70</v>
      </c>
      <c r="J376" s="27">
        <v>1.68</v>
      </c>
      <c r="K376" s="1">
        <v>0.08</v>
      </c>
      <c r="M376" s="25">
        <f t="shared" si="52"/>
        <v>117.6</v>
      </c>
      <c r="N376" s="17">
        <f t="shared" si="35"/>
        <v>-117.6</v>
      </c>
      <c r="O376" s="34">
        <f>IF(ISBLANK(A376),"",SUMIFS(I$3:I376,D$3:D376,D376,H$3:H376,"Buy")+SUMIFS(I$3:I376,D$3:D376,D376,H$3:H376,"Cash Deposit")+SUMIFS(I$3:I376,D$3:D376,D376,H$3:H376,"Crypto Deposit")+SUMIFS(I$3:I376,D$3:D376,D376,H$3:H376,"Airdrop/Rewards")-SUMIFS(I$3:I376,D$3:D376,D376,H$3:H376,"Sell"))</f>
        <v>269.89999999999998</v>
      </c>
      <c r="P376" s="2" cm="1">
        <f t="array" ref="P376">IF(ISBLANK(A376),"",IFERROR(IF(OR(H376="Sell",F376="Stable Coin"),INDEX(_xlfn._xlws.FILTER(P$2:P375, D$2:D375=D376),COUNT(_xlfn._xlws.FILTER(P$2:P375, D$2:D375=D376))),(INDEX(_xlfn._xlws.FILTER(P$2:P375, D$2:D375=D376),COUNT(_xlfn._xlws.FILTER(P$2:P375, D$2:D375=D376)))*INDEX(_xlfn._xlws.FILTER(O$2:O375, D$2:D375=D376),COUNT(_xlfn._xlws.FILTER(O$2:O375, D$2:D375=D376)))-N376) / O376), J376))</f>
        <v>1.533059281215265</v>
      </c>
      <c r="Q376" s="1" t="str">
        <f t="shared" si="63"/>
        <v>USD</v>
      </c>
      <c r="R376" s="1" cm="1">
        <f t="array" ref="R376">IF(A376="", "",
    IFERROR(
        _xlfn.SWITCH(
            TRUE,
            AND(Q376="USD", $Q$2="USD"), K376,
            AND(Q376="USD", $Q$2="GBP"), K376*$Z$3,
            AND(Q376="USD", $Q$2="HKD"), K376*$Z$4,
            AND(Q376="USD", $Q$2="EUR"), K376*$Z$5,
            AND(Q376="GBP", $Q$2="GBP"), K376,
            AND(Q376="GBP", $Q$2="USD"), K376*$Z$6,
            AND(Q376="GBP", $Q$2="HKD"), K376*$Z$7,
            AND(Q376="HKG", $Q$2="HKG"), K376,
            AND(Q376="HKD", $Q$2="USD"), K376*$Z$9,
            AND(Q376="HKD", $Q$2="GBP"), K376*$Z$10,
            AND(Q376="HKD", $Q$2="EUR"), K376*$Z$11,
            AND(Q376="EUR", $Q$2="EUR"), K376,
            AND(Q376="EUR", $Q$2="USD"), K376*$Z$12,
            AND(Q376="EUR", $Q$2="GBP"), K376*$Z$13,
            AND(Q376="EUR", $Q$2="HKD"), K376*$Z$14,
        ),
        0
    )
)</f>
        <v>0.08</v>
      </c>
      <c r="S376" s="1" cm="1">
        <f t="array" ref="S376">IF(A376="", "",
    IFERROR(
        _xlfn.SWITCH(
            TRUE,
            AND(Q376="USD", $Q$2="USD"), M376,
            AND(Q376="USD", $Q$2="GBP"), M376*$Z$3,
            AND(Q376="USD", $Q$2="HKD"), M376*$Z$4,
            AND(Q376="USD", $Q$2="EUR"), M376*$Z$5,
            AND(Q376="GBP", $Q$2="GBP"), M376,
            AND(Q376="GBP", $Q$2="USD"), M376*$Z$6,
            AND(Q376="GBP", $Q$2="HKD"), M376*$Z$7,
            AND(Q376="GBP", $Q$2="HKD"), M376*$Z$8,
            AND(Q376="HKG", $Q$2="HKG"), M376,
            AND(Q376="HKD", $Q$2="USD"), M376*$Z$9,
            AND(Q376="HKD", $Q$2="GBP"), M376*$Z$10,
            AND(Q376="HKD", $Q$2="EUR"), M376*$Z$11,
            AND(Q376="EUR", $Q$2="EUR"), M376,
            AND(Q376="EUR", $Q$2="USD"), M376*$Z$12,
            AND(Q376="EUR", $Q$2="GBP"), M376*$Z$13,
            AND(Q376="EUR", $Q$2="HKD"), M376*$Z$14,
        ),
        0
    )
)</f>
        <v>117.6</v>
      </c>
      <c r="T376" s="1" t="str">
        <f t="shared" si="64"/>
        <v>29</v>
      </c>
      <c r="U376" s="8" t="str">
        <f t="shared" si="65"/>
        <v>02</v>
      </c>
      <c r="V376" s="1" t="str">
        <f t="shared" si="66"/>
        <v>2024</v>
      </c>
      <c r="W376" s="18" t="str">
        <f t="shared" si="67"/>
        <v>星期四</v>
      </c>
    </row>
    <row r="377" spans="1:23">
      <c r="A377" s="17" t="s">
        <v>59</v>
      </c>
      <c r="B377" s="1" t="s">
        <v>348</v>
      </c>
      <c r="C377" s="9">
        <v>45352</v>
      </c>
      <c r="D377" s="1" t="s">
        <v>60</v>
      </c>
      <c r="E377" s="1" t="s">
        <v>424</v>
      </c>
      <c r="F377" s="1" t="s">
        <v>349</v>
      </c>
      <c r="H377" s="1" t="s">
        <v>347</v>
      </c>
      <c r="I377" s="1">
        <v>0.1011</v>
      </c>
      <c r="J377" s="27">
        <v>61820</v>
      </c>
      <c r="K377" s="1">
        <v>0.13</v>
      </c>
      <c r="M377" s="25">
        <f t="shared" si="52"/>
        <v>6250.0019999999995</v>
      </c>
      <c r="N377" s="17">
        <f t="shared" si="35"/>
        <v>-6250.0019999999995</v>
      </c>
      <c r="O377" s="34">
        <f>IF(ISBLANK(A377),"",SUMIFS(I$3:I377,D$3:D377,D377,H$3:H377,"Buy")+SUMIFS(I$3:I377,D$3:D377,D377,H$3:H377,"Cash Deposit")+SUMIFS(I$3:I377,D$3:D377,D377,H$3:H377,"Crypto Deposit")+SUMIFS(I$3:I377,D$3:D377,D377,H$3:H377,"Airdrop/Rewards")-SUMIFS(I$3:I377,D$3:D377,D377,H$3:H377,"Sell"))</f>
        <v>0.30385499999999999</v>
      </c>
      <c r="P377" s="2" cm="1">
        <f t="array" ref="P377">IF(ISBLANK(A377),"",IFERROR(IF(OR(H377="Sell",F377="Stable Coin"),INDEX(_xlfn._xlws.FILTER(P$2:P376, D$2:D376=D377),COUNT(_xlfn._xlws.FILTER(P$2:P376, D$2:D376=D377))),(INDEX(_xlfn._xlws.FILTER(P$2:P376, D$2:D376=D377),COUNT(_xlfn._xlws.FILTER(P$2:P376, D$2:D376=D377)))*INDEX(_xlfn._xlws.FILTER(O$2:O376, D$2:D376=D377),COUNT(_xlfn._xlws.FILTER(O$2:O376, D$2:D376=D377)))-N377) / O377), J377))</f>
        <v>43187.997403202186</v>
      </c>
      <c r="Q377" s="1" t="str">
        <f t="shared" si="63"/>
        <v>USD</v>
      </c>
      <c r="R377" s="1" cm="1">
        <f t="array" ref="R377">IF(A377="", "",
    IFERROR(
        _xlfn.SWITCH(
            TRUE,
            AND(Q377="USD", $Q$2="USD"), K377,
            AND(Q377="USD", $Q$2="GBP"), K377*$Z$3,
            AND(Q377="USD", $Q$2="HKD"), K377*$Z$4,
            AND(Q377="USD", $Q$2="EUR"), K377*$Z$5,
            AND(Q377="GBP", $Q$2="GBP"), K377,
            AND(Q377="GBP", $Q$2="USD"), K377*$Z$6,
            AND(Q377="GBP", $Q$2="HKD"), K377*$Z$7,
            AND(Q377="HKG", $Q$2="HKG"), K377,
            AND(Q377="HKD", $Q$2="USD"), K377*$Z$9,
            AND(Q377="HKD", $Q$2="GBP"), K377*$Z$10,
            AND(Q377="HKD", $Q$2="EUR"), K377*$Z$11,
            AND(Q377="EUR", $Q$2="EUR"), K377,
            AND(Q377="EUR", $Q$2="USD"), K377*$Z$12,
            AND(Q377="EUR", $Q$2="GBP"), K377*$Z$13,
            AND(Q377="EUR", $Q$2="HKD"), K377*$Z$14,
        ),
        0
    )
)</f>
        <v>0.13</v>
      </c>
      <c r="S377" s="1" cm="1">
        <f t="array" ref="S377">IF(A377="", "",
    IFERROR(
        _xlfn.SWITCH(
            TRUE,
            AND(Q377="USD", $Q$2="USD"), M377,
            AND(Q377="USD", $Q$2="GBP"), M377*$Z$3,
            AND(Q377="USD", $Q$2="HKD"), M377*$Z$4,
            AND(Q377="USD", $Q$2="EUR"), M377*$Z$5,
            AND(Q377="GBP", $Q$2="GBP"), M377,
            AND(Q377="GBP", $Q$2="USD"), M377*$Z$6,
            AND(Q377="GBP", $Q$2="HKD"), M377*$Z$7,
            AND(Q377="GBP", $Q$2="HKD"), M377*$Z$8,
            AND(Q377="HKG", $Q$2="HKG"), M377,
            AND(Q377="HKD", $Q$2="USD"), M377*$Z$9,
            AND(Q377="HKD", $Q$2="GBP"), M377*$Z$10,
            AND(Q377="HKD", $Q$2="EUR"), M377*$Z$11,
            AND(Q377="EUR", $Q$2="EUR"), M377,
            AND(Q377="EUR", $Q$2="USD"), M377*$Z$12,
            AND(Q377="EUR", $Q$2="GBP"), M377*$Z$13,
            AND(Q377="EUR", $Q$2="HKD"), M377*$Z$14,
        ),
        0
    )
)</f>
        <v>6250.0019999999995</v>
      </c>
      <c r="T377" s="1" t="str">
        <f t="shared" si="64"/>
        <v>1</v>
      </c>
      <c r="U377" s="8" t="str">
        <f t="shared" si="65"/>
        <v>03</v>
      </c>
      <c r="V377" s="1" t="str">
        <f t="shared" si="66"/>
        <v>2024</v>
      </c>
      <c r="W377" s="18" t="str">
        <f t="shared" si="67"/>
        <v>星期五</v>
      </c>
    </row>
    <row r="378" spans="1:23">
      <c r="A378" s="17" t="s">
        <v>6</v>
      </c>
      <c r="B378" s="1" t="s">
        <v>348</v>
      </c>
      <c r="C378" s="9">
        <v>45352</v>
      </c>
      <c r="D378" s="1" t="s">
        <v>7</v>
      </c>
      <c r="E378" s="1" t="s">
        <v>37</v>
      </c>
      <c r="F378" s="1" t="s">
        <v>349</v>
      </c>
      <c r="H378" s="1" t="s">
        <v>490</v>
      </c>
      <c r="I378" s="1">
        <v>5.1081700000000003</v>
      </c>
      <c r="J378" s="27">
        <v>130</v>
      </c>
      <c r="K378" s="1">
        <v>1</v>
      </c>
      <c r="M378" s="25">
        <f t="shared" si="52"/>
        <v>664.06209999999999</v>
      </c>
      <c r="N378" s="17">
        <f t="shared" si="35"/>
        <v>0</v>
      </c>
      <c r="O378" s="34">
        <f>IF(ISBLANK(A378),"",SUMIFS(I$3:I378,D$3:D378,D378,H$3:H378,"Buy")+SUMIFS(I$3:I378,D$3:D378,D378,H$3:H378,"Cash Deposit")+SUMIFS(I$3:I378,D$3:D378,D378,H$3:H378,"Crypto Deposit")+SUMIFS(I$3:I378,D$3:D378,D378,H$3:H378,"Airdrop/Rewards")-SUMIFS(I$3:I378,D$3:D378,D378,H$3:H378,"Sell"))</f>
        <v>6.3861733199999993</v>
      </c>
      <c r="P378" s="2" cm="1">
        <f t="array" ref="P378">IF(ISBLANK(A378),"",IFERROR(IF(OR(H378="Sell",F378="Stable Coin"),INDEX(_xlfn._xlws.FILTER(P$2:P377, D$2:D377=D378),COUNT(_xlfn._xlws.FILTER(P$2:P377, D$2:D377=D378))),(INDEX(_xlfn._xlws.FILTER(P$2:P377, D$2:D377=D378),COUNT(_xlfn._xlws.FILTER(P$2:P377, D$2:D377=D378)))*INDEX(_xlfn._xlws.FILTER(O$2:O377, D$2:D377=D378),COUNT(_xlfn._xlws.FILTER(O$2:O377, D$2:D377=D378)))-N378) / O378), J378))</f>
        <v>68.153098238054085</v>
      </c>
      <c r="Q378" s="1" t="str">
        <f t="shared" si="63"/>
        <v>USD</v>
      </c>
      <c r="R378" s="1" cm="1">
        <f t="array" ref="R378">IF(A378="", "",
    IFERROR(
        _xlfn.SWITCH(
            TRUE,
            AND(Q378="USD", $Q$2="USD"), K378,
            AND(Q378="USD", $Q$2="GBP"), K378*$Z$3,
            AND(Q378="USD", $Q$2="HKD"), K378*$Z$4,
            AND(Q378="USD", $Q$2="EUR"), K378*$Z$5,
            AND(Q378="GBP", $Q$2="GBP"), K378,
            AND(Q378="GBP", $Q$2="USD"), K378*$Z$6,
            AND(Q378="GBP", $Q$2="HKD"), K378*$Z$7,
            AND(Q378="HKG", $Q$2="HKG"), K378,
            AND(Q378="HKD", $Q$2="USD"), K378*$Z$9,
            AND(Q378="HKD", $Q$2="GBP"), K378*$Z$10,
            AND(Q378="HKD", $Q$2="EUR"), K378*$Z$11,
            AND(Q378="EUR", $Q$2="EUR"), K378,
            AND(Q378="EUR", $Q$2="USD"), K378*$Z$12,
            AND(Q378="EUR", $Q$2="GBP"), K378*$Z$13,
            AND(Q378="EUR", $Q$2="HKD"), K378*$Z$14,
        ),
        0
    )
)</f>
        <v>1</v>
      </c>
      <c r="S378" s="1" cm="1">
        <f t="array" ref="S378">IF(A378="", "",
    IFERROR(
        _xlfn.SWITCH(
            TRUE,
            AND(Q378="USD", $Q$2="USD"), M378,
            AND(Q378="USD", $Q$2="GBP"), M378*$Z$3,
            AND(Q378="USD", $Q$2="HKD"), M378*$Z$4,
            AND(Q378="USD", $Q$2="EUR"), M378*$Z$5,
            AND(Q378="GBP", $Q$2="GBP"), M378,
            AND(Q378="GBP", $Q$2="USD"), M378*$Z$6,
            AND(Q378="GBP", $Q$2="HKD"), M378*$Z$7,
            AND(Q378="GBP", $Q$2="HKD"), M378*$Z$8,
            AND(Q378="HKG", $Q$2="HKG"), M378,
            AND(Q378="HKD", $Q$2="USD"), M378*$Z$9,
            AND(Q378="HKD", $Q$2="GBP"), M378*$Z$10,
            AND(Q378="HKD", $Q$2="EUR"), M378*$Z$11,
            AND(Q378="EUR", $Q$2="EUR"), M378,
            AND(Q378="EUR", $Q$2="USD"), M378*$Z$12,
            AND(Q378="EUR", $Q$2="GBP"), M378*$Z$13,
            AND(Q378="EUR", $Q$2="HKD"), M378*$Z$14,
        ),
        0
    )
)</f>
        <v>664.06209999999999</v>
      </c>
      <c r="T378" s="1" t="str">
        <f t="shared" si="64"/>
        <v>1</v>
      </c>
      <c r="U378" s="8" t="str">
        <f t="shared" si="65"/>
        <v>03</v>
      </c>
      <c r="V378" s="1" t="str">
        <f t="shared" si="66"/>
        <v>2024</v>
      </c>
      <c r="W378" s="18" t="str">
        <f t="shared" si="67"/>
        <v>星期五</v>
      </c>
    </row>
    <row r="379" spans="1:23">
      <c r="A379" s="17" t="s">
        <v>559</v>
      </c>
      <c r="B379" s="1" t="s">
        <v>348</v>
      </c>
      <c r="C379" s="9">
        <v>45352</v>
      </c>
      <c r="D379" s="1" t="s">
        <v>7</v>
      </c>
      <c r="E379" s="1" t="s">
        <v>37</v>
      </c>
      <c r="F379" s="1" t="s">
        <v>349</v>
      </c>
      <c r="H379" s="1" t="s">
        <v>491</v>
      </c>
      <c r="I379" s="1">
        <v>5.1081700000000003</v>
      </c>
      <c r="J379" s="27">
        <v>130</v>
      </c>
      <c r="M379" s="25">
        <f t="shared" si="52"/>
        <v>664.06209999999999</v>
      </c>
      <c r="N379" s="17">
        <f t="shared" si="35"/>
        <v>0</v>
      </c>
      <c r="O379" s="34">
        <f>IF(ISBLANK(A379),"",SUMIFS(I$3:I379,D$3:D379,D379,H$3:H379,"Buy")+SUMIFS(I$3:I379,D$3:D379,D379,H$3:H379,"Cash Deposit")+SUMIFS(I$3:I379,D$3:D379,D379,H$3:H379,"Crypto Deposit")+SUMIFS(I$3:I379,D$3:D379,D379,H$3:H379,"Airdrop/Rewards")-SUMIFS(I$3:I379,D$3:D379,D379,H$3:H379,"Sell"))</f>
        <v>6.3861733199999993</v>
      </c>
      <c r="P379" s="2" cm="1">
        <f t="array" ref="P379">IF(ISBLANK(A379),"",IFERROR(IF(OR(H379="Sell",F379="Stable Coin"),INDEX(_xlfn._xlws.FILTER(P$2:P378, D$2:D378=D379),COUNT(_xlfn._xlws.FILTER(P$2:P378, D$2:D378=D379))),(INDEX(_xlfn._xlws.FILTER(P$2:P378, D$2:D378=D379),COUNT(_xlfn._xlws.FILTER(P$2:P378, D$2:D378=D379)))*INDEX(_xlfn._xlws.FILTER(O$2:O378, D$2:D378=D379),COUNT(_xlfn._xlws.FILTER(O$2:O378, D$2:D378=D379)))-N379) / O379), J379))</f>
        <v>68.153098238054085</v>
      </c>
      <c r="Q379" s="1" t="str">
        <f t="shared" si="63"/>
        <v>USD</v>
      </c>
      <c r="R379" s="1" cm="1">
        <f t="array" ref="R379">IF(A379="", "",
    IFERROR(
        _xlfn.SWITCH(
            TRUE,
            AND(Q379="USD", $Q$2="USD"), K379,
            AND(Q379="USD", $Q$2="GBP"), K379*$Z$3,
            AND(Q379="USD", $Q$2="HKD"), K379*$Z$4,
            AND(Q379="USD", $Q$2="EUR"), K379*$Z$5,
            AND(Q379="GBP", $Q$2="GBP"), K379,
            AND(Q379="GBP", $Q$2="USD"), K379*$Z$6,
            AND(Q379="GBP", $Q$2="HKD"), K379*$Z$7,
            AND(Q379="HKG", $Q$2="HKG"), K379,
            AND(Q379="HKD", $Q$2="USD"), K379*$Z$9,
            AND(Q379="HKD", $Q$2="GBP"), K379*$Z$10,
            AND(Q379="HKD", $Q$2="EUR"), K379*$Z$11,
            AND(Q379="EUR", $Q$2="EUR"), K379,
            AND(Q379="EUR", $Q$2="USD"), K379*$Z$12,
            AND(Q379="EUR", $Q$2="GBP"), K379*$Z$13,
            AND(Q379="EUR", $Q$2="HKD"), K379*$Z$14,
        ),
        0
    )
)</f>
        <v>0</v>
      </c>
      <c r="S379" s="1" cm="1">
        <f t="array" ref="S379">IF(A379="", "",
    IFERROR(
        _xlfn.SWITCH(
            TRUE,
            AND(Q379="USD", $Q$2="USD"), M379,
            AND(Q379="USD", $Q$2="GBP"), M379*$Z$3,
            AND(Q379="USD", $Q$2="HKD"), M379*$Z$4,
            AND(Q379="USD", $Q$2="EUR"), M379*$Z$5,
            AND(Q379="GBP", $Q$2="GBP"), M379,
            AND(Q379="GBP", $Q$2="USD"), M379*$Z$6,
            AND(Q379="GBP", $Q$2="HKD"), M379*$Z$7,
            AND(Q379="GBP", $Q$2="HKD"), M379*$Z$8,
            AND(Q379="HKG", $Q$2="HKG"), M379,
            AND(Q379="HKD", $Q$2="USD"), M379*$Z$9,
            AND(Q379="HKD", $Q$2="GBP"), M379*$Z$10,
            AND(Q379="HKD", $Q$2="EUR"), M379*$Z$11,
            AND(Q379="EUR", $Q$2="EUR"), M379,
            AND(Q379="EUR", $Q$2="USD"), M379*$Z$12,
            AND(Q379="EUR", $Q$2="GBP"), M379*$Z$13,
            AND(Q379="EUR", $Q$2="HKD"), M379*$Z$14,
        ),
        0
    )
)</f>
        <v>664.06209999999999</v>
      </c>
      <c r="T379" s="1" t="str">
        <f t="shared" si="64"/>
        <v>1</v>
      </c>
      <c r="U379" s="8" t="str">
        <f t="shared" si="65"/>
        <v>03</v>
      </c>
      <c r="V379" s="1" t="str">
        <f t="shared" si="66"/>
        <v>2024</v>
      </c>
      <c r="W379" s="18" t="str">
        <f t="shared" si="67"/>
        <v>星期五</v>
      </c>
    </row>
    <row r="380" spans="1:23">
      <c r="A380" s="17" t="s">
        <v>59</v>
      </c>
      <c r="B380" s="1" t="s">
        <v>348</v>
      </c>
      <c r="C380" s="9">
        <v>45355</v>
      </c>
      <c r="D380" s="1" t="s">
        <v>23</v>
      </c>
      <c r="E380" s="1" t="s">
        <v>24</v>
      </c>
      <c r="F380" s="1" t="s">
        <v>349</v>
      </c>
      <c r="H380" s="1" t="s">
        <v>359</v>
      </c>
      <c r="I380" s="1">
        <v>1.985E-2</v>
      </c>
      <c r="J380" s="27">
        <v>3520</v>
      </c>
      <c r="K380" s="1">
        <v>1.24</v>
      </c>
      <c r="M380" s="25">
        <f t="shared" si="52"/>
        <v>69.872</v>
      </c>
      <c r="N380" s="17">
        <f t="shared" si="35"/>
        <v>0</v>
      </c>
      <c r="O380" s="34">
        <f>IF(ISBLANK(A380),"",SUMIFS(I$3:I380,D$3:D380,D380,H$3:H380,"Buy")+SUMIFS(I$3:I380,D$3:D380,D380,H$3:H380,"Cash Deposit")+SUMIFS(I$3:I380,D$3:D380,D380,H$3:H380,"Crypto Deposit")+SUMIFS(I$3:I380,D$3:D380,D380,H$3:H380,"Airdrop/Rewards")-SUMIFS(I$3:I380,D$3:D380,D380,H$3:H380,"Sell"))</f>
        <v>10.447793702608804</v>
      </c>
      <c r="P380" s="2" cm="1">
        <f t="array" ref="P380">IF(ISBLANK(A380),"",IFERROR(IF(OR(H380="Sell",F380="Stable Coin"),INDEX(_xlfn._xlws.FILTER(P$2:P377, D$2:D377=D380),COUNT(_xlfn._xlws.FILTER(P$2:P377, D$2:D377=D380))),(INDEX(_xlfn._xlws.FILTER(P$2:P377, D$2:D377=D380),COUNT(_xlfn._xlws.FILTER(P$2:P377, D$2:D377=D380)))*INDEX(_xlfn._xlws.FILTER(O$2:O377, D$2:D377=D380),COUNT(_xlfn._xlws.FILTER(O$2:O377, D$2:D377=D380)))-N380) / O380), J380))</f>
        <v>2334.127753669638</v>
      </c>
      <c r="Q380" s="1" t="str">
        <f t="shared" si="63"/>
        <v>USD</v>
      </c>
      <c r="R380" s="1" cm="1">
        <f t="array" ref="R380">IF(A380="", "",
    IFERROR(
        _xlfn.SWITCH(
            TRUE,
            AND(Q380="USD", $Q$2="USD"), K380,
            AND(Q380="USD", $Q$2="GBP"), K380*$Z$3,
            AND(Q380="USD", $Q$2="HKD"), K380*$Z$4,
            AND(Q380="USD", $Q$2="EUR"), K380*$Z$5,
            AND(Q380="GBP", $Q$2="GBP"), K380,
            AND(Q380="GBP", $Q$2="USD"), K380*$Z$6,
            AND(Q380="GBP", $Q$2="HKD"), K380*$Z$7,
            AND(Q380="HKG", $Q$2="HKG"), K380,
            AND(Q380="HKD", $Q$2="USD"), K380*$Z$9,
            AND(Q380="HKD", $Q$2="GBP"), K380*$Z$10,
            AND(Q380="HKD", $Q$2="EUR"), K380*$Z$11,
            AND(Q380="EUR", $Q$2="EUR"), K380,
            AND(Q380="EUR", $Q$2="USD"), K380*$Z$12,
            AND(Q380="EUR", $Q$2="GBP"), K380*$Z$13,
            AND(Q380="EUR", $Q$2="HKD"), K380*$Z$14,
        ),
        0
    )
)</f>
        <v>1.24</v>
      </c>
      <c r="S380" s="1" cm="1">
        <f t="array" ref="S380">IF(A380="", "",
    IFERROR(
        _xlfn.SWITCH(
            TRUE,
            AND(Q380="USD", $Q$2="USD"), M380,
            AND(Q380="USD", $Q$2="GBP"), M380*$Z$3,
            AND(Q380="USD", $Q$2="HKD"), M380*$Z$4,
            AND(Q380="USD", $Q$2="EUR"), M380*$Z$5,
            AND(Q380="GBP", $Q$2="GBP"), M380,
            AND(Q380="GBP", $Q$2="USD"), M380*$Z$6,
            AND(Q380="GBP", $Q$2="HKD"), M380*$Z$7,
            AND(Q380="GBP", $Q$2="HKD"), M380*$Z$8,
            AND(Q380="HKG", $Q$2="HKG"), M380,
            AND(Q380="HKD", $Q$2="USD"), M380*$Z$9,
            AND(Q380="HKD", $Q$2="GBP"), M380*$Z$10,
            AND(Q380="HKD", $Q$2="EUR"), M380*$Z$11,
            AND(Q380="EUR", $Q$2="EUR"), M380,
            AND(Q380="EUR", $Q$2="USD"), M380*$Z$12,
            AND(Q380="EUR", $Q$2="GBP"), M380*$Z$13,
            AND(Q380="EUR", $Q$2="HKD"), M380*$Z$14,
        ),
        0
    )
)</f>
        <v>69.872</v>
      </c>
      <c r="T380" s="1" t="str">
        <f t="shared" si="64"/>
        <v>4</v>
      </c>
      <c r="U380" s="8" t="str">
        <f t="shared" si="65"/>
        <v>03</v>
      </c>
      <c r="V380" s="1" t="str">
        <f t="shared" si="66"/>
        <v>2024</v>
      </c>
      <c r="W380" s="18" t="str">
        <f t="shared" si="67"/>
        <v>星期一</v>
      </c>
    </row>
    <row r="381" spans="1:23">
      <c r="A381" s="17" t="s">
        <v>59</v>
      </c>
      <c r="B381" s="1" t="s">
        <v>348</v>
      </c>
      <c r="C381" s="9">
        <v>45355</v>
      </c>
      <c r="D381" s="1" t="s">
        <v>364</v>
      </c>
      <c r="E381" s="1" t="s">
        <v>114</v>
      </c>
      <c r="F381" s="1" t="s">
        <v>346</v>
      </c>
      <c r="H381" s="1" t="s">
        <v>359</v>
      </c>
      <c r="I381" s="1">
        <v>338</v>
      </c>
      <c r="J381" s="27">
        <v>1</v>
      </c>
      <c r="K381" s="1">
        <v>0</v>
      </c>
      <c r="M381" s="25">
        <f t="shared" si="52"/>
        <v>338</v>
      </c>
      <c r="N381" s="17">
        <f t="shared" si="35"/>
        <v>0</v>
      </c>
      <c r="O381" s="34">
        <f>IF(ISBLANK(A381),"",SUMIFS(I$3:I381,D$3:D381,D381,H$3:H381,"Buy")+SUMIFS(I$3:I381,D$3:D381,D381,H$3:H381,"Cash Deposit")+SUMIFS(I$3:I381,D$3:D381,D381,H$3:H381,"Crypto Deposit")+SUMIFS(I$3:I381,D$3:D381,D381,H$3:H381,"Airdrop/Rewards")-SUMIFS(I$3:I381,D$3:D381,D381,H$3:H381,"Sell"))</f>
        <v>5667.4746550803902</v>
      </c>
      <c r="P381" s="2" cm="1">
        <f t="array" ref="P381">IF(ISBLANK(A381),"",IFERROR(IF(OR(H381="Sell",F381="Stable Coin"),INDEX(_xlfn._xlws.FILTER(P$2:P380, D$2:D380=D381),COUNT(_xlfn._xlws.FILTER(P$2:P380, D$2:D380=D381))),(INDEX(_xlfn._xlws.FILTER(P$2:P380, D$2:D380=D381),COUNT(_xlfn._xlws.FILTER(P$2:P380, D$2:D380=D381)))*INDEX(_xlfn._xlws.FILTER(O$2:O380, D$2:D380=D381),COUNT(_xlfn._xlws.FILTER(O$2:O380, D$2:D380=D381)))-N381) / O381), J381))</f>
        <v>1</v>
      </c>
      <c r="Q381" s="1" t="str">
        <f t="shared" si="63"/>
        <v>USD</v>
      </c>
      <c r="R381" s="1" cm="1">
        <f t="array" ref="R381">IF(A381="", "",
    IFERROR(
        _xlfn.SWITCH(
            TRUE,
            AND(Q381="USD", $Q$2="USD"), K381,
            AND(Q381="USD", $Q$2="GBP"), K381*$Z$3,
            AND(Q381="USD", $Q$2="HKD"), K381*$Z$4,
            AND(Q381="USD", $Q$2="EUR"), K381*$Z$5,
            AND(Q381="GBP", $Q$2="GBP"), K381,
            AND(Q381="GBP", $Q$2="USD"), K381*$Z$6,
            AND(Q381="GBP", $Q$2="HKD"), K381*$Z$7,
            AND(Q381="HKG", $Q$2="HKG"), K381,
            AND(Q381="HKD", $Q$2="USD"), K381*$Z$9,
            AND(Q381="HKD", $Q$2="GBP"), K381*$Z$10,
            AND(Q381="HKD", $Q$2="EUR"), K381*$Z$11,
            AND(Q381="EUR", $Q$2="EUR"), K381,
            AND(Q381="EUR", $Q$2="USD"), K381*$Z$12,
            AND(Q381="EUR", $Q$2="GBP"), K381*$Z$13,
            AND(Q381="EUR", $Q$2="HKD"), K381*$Z$14,
        ),
        0
    )
)</f>
        <v>0</v>
      </c>
      <c r="S381" s="1" cm="1">
        <f t="array" ref="S381">IF(A381="", "",
    IFERROR(
        _xlfn.SWITCH(
            TRUE,
            AND(Q381="USD", $Q$2="USD"), M381,
            AND(Q381="USD", $Q$2="GBP"), M381*$Z$3,
            AND(Q381="USD", $Q$2="HKD"), M381*$Z$4,
            AND(Q381="USD", $Q$2="EUR"), M381*$Z$5,
            AND(Q381="GBP", $Q$2="GBP"), M381,
            AND(Q381="GBP", $Q$2="USD"), M381*$Z$6,
            AND(Q381="GBP", $Q$2="HKD"), M381*$Z$7,
            AND(Q381="GBP", $Q$2="HKD"), M381*$Z$8,
            AND(Q381="HKG", $Q$2="HKG"), M381,
            AND(Q381="HKD", $Q$2="USD"), M381*$Z$9,
            AND(Q381="HKD", $Q$2="GBP"), M381*$Z$10,
            AND(Q381="HKD", $Q$2="EUR"), M381*$Z$11,
            AND(Q381="EUR", $Q$2="EUR"), M381,
            AND(Q381="EUR", $Q$2="USD"), M381*$Z$12,
            AND(Q381="EUR", $Q$2="GBP"), M381*$Z$13,
            AND(Q381="EUR", $Q$2="HKD"), M381*$Z$14,
        ),
        0
    )
)</f>
        <v>338</v>
      </c>
      <c r="T381" s="1" t="str">
        <f t="shared" si="64"/>
        <v>4</v>
      </c>
      <c r="U381" s="8" t="str">
        <f t="shared" si="65"/>
        <v>03</v>
      </c>
      <c r="V381" s="1" t="str">
        <f t="shared" si="66"/>
        <v>2024</v>
      </c>
      <c r="W381" s="18" t="str">
        <f t="shared" si="67"/>
        <v>星期一</v>
      </c>
    </row>
    <row r="382" spans="1:23">
      <c r="A382" s="17" t="s">
        <v>6</v>
      </c>
      <c r="B382" s="1" t="s">
        <v>348</v>
      </c>
      <c r="C382" s="9">
        <v>45355</v>
      </c>
      <c r="D382" s="1" t="s">
        <v>364</v>
      </c>
      <c r="E382" s="1" t="s">
        <v>114</v>
      </c>
      <c r="F382" s="1" t="s">
        <v>346</v>
      </c>
      <c r="H382" s="1" t="s">
        <v>367</v>
      </c>
      <c r="I382" s="1">
        <v>317</v>
      </c>
      <c r="J382" s="27">
        <v>1</v>
      </c>
      <c r="K382" s="1">
        <v>0.23</v>
      </c>
      <c r="M382" s="25">
        <f t="shared" si="52"/>
        <v>316.77</v>
      </c>
      <c r="N382" s="17">
        <f t="shared" si="35"/>
        <v>317</v>
      </c>
      <c r="O382" s="34">
        <f>IF(ISBLANK(A382),"",SUMIFS(I$3:I382,D$3:D382,D382,H$3:H382,"Buy")+SUMIFS(I$3:I382,D$3:D382,D382,H$3:H382,"Cash Deposit")+SUMIFS(I$3:I382,D$3:D382,D382,H$3:H382,"Crypto Deposit")+SUMIFS(I$3:I382,D$3:D382,D382,H$3:H382,"Airdrop/Rewards")-SUMIFS(I$3:I382,D$3:D382,D382,H$3:H382,"Sell"))</f>
        <v>5350.4746550803902</v>
      </c>
      <c r="P382" s="2" cm="1">
        <f t="array" ref="P382">IF(ISBLANK(A382),"",IFERROR(IF(OR(H382="Sell",F382="Stable Coin"),INDEX(_xlfn._xlws.FILTER(P$2:P381, D$2:D381=D382),COUNT(_xlfn._xlws.FILTER(P$2:P381, D$2:D381=D382))),(INDEX(_xlfn._xlws.FILTER(P$2:P381, D$2:D381=D382),COUNT(_xlfn._xlws.FILTER(P$2:P381, D$2:D381=D382)))*INDEX(_xlfn._xlws.FILTER(O$2:O381, D$2:D381=D382),COUNT(_xlfn._xlws.FILTER(O$2:O381, D$2:D381=D382)))-N382) / O382), J382))</f>
        <v>1</v>
      </c>
      <c r="Q382" s="1" t="str">
        <f t="shared" si="63"/>
        <v>USD</v>
      </c>
      <c r="R382" s="1" cm="1">
        <f t="array" ref="R382">IF(A382="", "",
    IFERROR(
        _xlfn.SWITCH(
            TRUE,
            AND(Q382="USD", $Q$2="USD"), K382,
            AND(Q382="USD", $Q$2="GBP"), K382*$Z$3,
            AND(Q382="USD", $Q$2="HKD"), K382*$Z$4,
            AND(Q382="USD", $Q$2="EUR"), K382*$Z$5,
            AND(Q382="GBP", $Q$2="GBP"), K382,
            AND(Q382="GBP", $Q$2="USD"), K382*$Z$6,
            AND(Q382="GBP", $Q$2="HKD"), K382*$Z$7,
            AND(Q382="HKG", $Q$2="HKG"), K382,
            AND(Q382="HKD", $Q$2="USD"), K382*$Z$9,
            AND(Q382="HKD", $Q$2="GBP"), K382*$Z$10,
            AND(Q382="HKD", $Q$2="EUR"), K382*$Z$11,
            AND(Q382="EUR", $Q$2="EUR"), K382,
            AND(Q382="EUR", $Q$2="USD"), K382*$Z$12,
            AND(Q382="EUR", $Q$2="GBP"), K382*$Z$13,
            AND(Q382="EUR", $Q$2="HKD"), K382*$Z$14,
        ),
        0
    )
)</f>
        <v>0.23</v>
      </c>
      <c r="S382" s="1" cm="1">
        <f t="array" ref="S382">IF(A382="", "",
    IFERROR(
        _xlfn.SWITCH(
            TRUE,
            AND(Q382="USD", $Q$2="USD"), M382,
            AND(Q382="USD", $Q$2="GBP"), M382*$Z$3,
            AND(Q382="USD", $Q$2="HKD"), M382*$Z$4,
            AND(Q382="USD", $Q$2="EUR"), M382*$Z$5,
            AND(Q382="GBP", $Q$2="GBP"), M382,
            AND(Q382="GBP", $Q$2="USD"), M382*$Z$6,
            AND(Q382="GBP", $Q$2="HKD"), M382*$Z$7,
            AND(Q382="GBP", $Q$2="HKD"), M382*$Z$8,
            AND(Q382="HKG", $Q$2="HKG"), M382,
            AND(Q382="HKD", $Q$2="USD"), M382*$Z$9,
            AND(Q382="HKD", $Q$2="GBP"), M382*$Z$10,
            AND(Q382="HKD", $Q$2="EUR"), M382*$Z$11,
            AND(Q382="EUR", $Q$2="EUR"), M382,
            AND(Q382="EUR", $Q$2="USD"), M382*$Z$12,
            AND(Q382="EUR", $Q$2="GBP"), M382*$Z$13,
            AND(Q382="EUR", $Q$2="HKD"), M382*$Z$14,
        ),
        0
    )
)</f>
        <v>316.77</v>
      </c>
      <c r="T382" s="1" t="str">
        <f t="shared" si="64"/>
        <v>4</v>
      </c>
      <c r="U382" s="8" t="str">
        <f t="shared" si="65"/>
        <v>03</v>
      </c>
      <c r="V382" s="1" t="str">
        <f t="shared" si="66"/>
        <v>2024</v>
      </c>
      <c r="W382" s="18" t="str">
        <f t="shared" si="67"/>
        <v>星期一</v>
      </c>
    </row>
    <row r="383" spans="1:23">
      <c r="A383" s="17" t="s">
        <v>6</v>
      </c>
      <c r="B383" s="1" t="s">
        <v>348</v>
      </c>
      <c r="C383" s="9">
        <v>45355</v>
      </c>
      <c r="D383" s="1" t="s">
        <v>493</v>
      </c>
      <c r="E383" s="1" t="s">
        <v>168</v>
      </c>
      <c r="F383" s="1" t="s">
        <v>349</v>
      </c>
      <c r="H383" s="1" t="s">
        <v>347</v>
      </c>
      <c r="I383" s="1">
        <v>20</v>
      </c>
      <c r="J383" s="27">
        <v>15.85</v>
      </c>
      <c r="M383" s="25">
        <f t="shared" si="52"/>
        <v>317</v>
      </c>
      <c r="N383" s="17">
        <f t="shared" si="35"/>
        <v>-317</v>
      </c>
      <c r="O383" s="34">
        <f>IF(ISBLANK(A383),"",SUMIFS(I$3:I383,D$3:D383,D383,H$3:H383,"Buy")+SUMIFS(I$3:I383,D$3:D383,D383,H$3:H383,"Cash Deposit")+SUMIFS(I$3:I383,D$3:D383,D383,H$3:H383,"Crypto Deposit")+SUMIFS(I$3:I383,D$3:D383,D383,H$3:H383,"Airdrop/Rewards")-SUMIFS(I$3:I383,D$3:D383,D383,H$3:H383,"Sell"))</f>
        <v>20</v>
      </c>
      <c r="P383" s="2" cm="1">
        <f t="array" ref="P383">IF(ISBLANK(A383),"",IFERROR(IF(OR(H383="Sell",F383="Stable Coin"),INDEX(_xlfn._xlws.FILTER(P$2:P382, D$2:D382=D383),COUNT(_xlfn._xlws.FILTER(P$2:P382, D$2:D382=D383))),(INDEX(_xlfn._xlws.FILTER(P$2:P382, D$2:D382=D383),COUNT(_xlfn._xlws.FILTER(P$2:P382, D$2:D382=D383)))*INDEX(_xlfn._xlws.FILTER(O$2:O382, D$2:D382=D383),COUNT(_xlfn._xlws.FILTER(O$2:O382, D$2:D382=D383)))-N383) / O383), J383))</f>
        <v>15.85</v>
      </c>
      <c r="Q383" s="1" t="str">
        <f t="shared" si="63"/>
        <v>USD</v>
      </c>
      <c r="R383" s="1" cm="1">
        <f t="array" ref="R383">IF(A383="", "",
    IFERROR(
        _xlfn.SWITCH(
            TRUE,
            AND(Q383="USD", $Q$2="USD"), K383,
            AND(Q383="USD", $Q$2="GBP"), K383*$Z$3,
            AND(Q383="USD", $Q$2="HKD"), K383*$Z$4,
            AND(Q383="USD", $Q$2="EUR"), K383*$Z$5,
            AND(Q383="GBP", $Q$2="GBP"), K383,
            AND(Q383="GBP", $Q$2="USD"), K383*$Z$6,
            AND(Q383="GBP", $Q$2="HKD"), K383*$Z$7,
            AND(Q383="HKG", $Q$2="HKG"), K383,
            AND(Q383="HKD", $Q$2="USD"), K383*$Z$9,
            AND(Q383="HKD", $Q$2="GBP"), K383*$Z$10,
            AND(Q383="HKD", $Q$2="EUR"), K383*$Z$11,
            AND(Q383="EUR", $Q$2="EUR"), K383,
            AND(Q383="EUR", $Q$2="USD"), K383*$Z$12,
            AND(Q383="EUR", $Q$2="GBP"), K383*$Z$13,
            AND(Q383="EUR", $Q$2="HKD"), K383*$Z$14,
        ),
        0
    )
)</f>
        <v>0</v>
      </c>
      <c r="S383" s="1" cm="1">
        <f t="array" ref="S383">IF(A383="", "",
    IFERROR(
        _xlfn.SWITCH(
            TRUE,
            AND(Q383="USD", $Q$2="USD"), M383,
            AND(Q383="USD", $Q$2="GBP"), M383*$Z$3,
            AND(Q383="USD", $Q$2="HKD"), M383*$Z$4,
            AND(Q383="USD", $Q$2="EUR"), M383*$Z$5,
            AND(Q383="GBP", $Q$2="GBP"), M383,
            AND(Q383="GBP", $Q$2="USD"), M383*$Z$6,
            AND(Q383="GBP", $Q$2="HKD"), M383*$Z$7,
            AND(Q383="GBP", $Q$2="HKD"), M383*$Z$8,
            AND(Q383="HKG", $Q$2="HKG"), M383,
            AND(Q383="HKD", $Q$2="USD"), M383*$Z$9,
            AND(Q383="HKD", $Q$2="GBP"), M383*$Z$10,
            AND(Q383="HKD", $Q$2="EUR"), M383*$Z$11,
            AND(Q383="EUR", $Q$2="EUR"), M383,
            AND(Q383="EUR", $Q$2="USD"), M383*$Z$12,
            AND(Q383="EUR", $Q$2="GBP"), M383*$Z$13,
            AND(Q383="EUR", $Q$2="HKD"), M383*$Z$14,
        ),
        0
    )
)</f>
        <v>317</v>
      </c>
      <c r="T383" s="1" t="str">
        <f t="shared" si="64"/>
        <v>4</v>
      </c>
      <c r="U383" s="8" t="str">
        <f t="shared" si="65"/>
        <v>03</v>
      </c>
      <c r="V383" s="1" t="str">
        <f t="shared" si="66"/>
        <v>2024</v>
      </c>
      <c r="W383" s="18" t="str">
        <f t="shared" si="67"/>
        <v>星期一</v>
      </c>
    </row>
    <row r="384" spans="1:23">
      <c r="A384" s="17" t="s">
        <v>6</v>
      </c>
      <c r="B384" s="1" t="s">
        <v>348</v>
      </c>
      <c r="C384" s="9">
        <v>45355</v>
      </c>
      <c r="D384" s="1" t="s">
        <v>47</v>
      </c>
      <c r="E384" s="1" t="s">
        <v>4</v>
      </c>
      <c r="F384" s="1" t="s">
        <v>349</v>
      </c>
      <c r="H384" s="1" t="s">
        <v>367</v>
      </c>
      <c r="I384" s="1">
        <v>4.6100000000000004E-3</v>
      </c>
      <c r="J384" s="27">
        <v>64950</v>
      </c>
      <c r="K384" s="1">
        <v>0.23</v>
      </c>
      <c r="M384" s="25">
        <f t="shared" si="52"/>
        <v>299.18950000000001</v>
      </c>
      <c r="N384" s="17">
        <f t="shared" si="35"/>
        <v>299.41950000000003</v>
      </c>
      <c r="O384" s="34">
        <f>IF(ISBLANK(A384),"",SUMIFS(I$3:I384,D$3:D384,D384,H$3:H384,"Buy")+SUMIFS(I$3:I384,D$3:D384,D384,H$3:H384,"Cash Deposit")+SUMIFS(I$3:I384,D$3:D384,D384,H$3:H384,"Crypto Deposit")+SUMIFS(I$3:I384,D$3:D384,D384,H$3:H384,"Airdrop/Rewards")-SUMIFS(I$3:I384,D$3:D384,D384,H$3:H384,"Sell"))</f>
        <v>0.28775523994681651</v>
      </c>
      <c r="P384" s="2" cm="1">
        <f t="array" ref="P384">IF(ISBLANK(A384),"",IFERROR(IF(OR(H384="Sell",F384="Stable Coin"),INDEX(_xlfn._xlws.FILTER(P$2:P383, D$2:D383=D384),COUNT(_xlfn._xlws.FILTER(P$2:P383, D$2:D383=D384))),(INDEX(_xlfn._xlws.FILTER(P$2:P383, D$2:D383=D384),COUNT(_xlfn._xlws.FILTER(P$2:P383, D$2:D383=D384)))*INDEX(_xlfn._xlws.FILTER(O$2:O383, D$2:D383=D384),COUNT(_xlfn._xlws.FILTER(O$2:O383, D$2:D383=D384)))-N384) / O384), J384))</f>
        <v>32216.561571265273</v>
      </c>
      <c r="Q384" s="1" t="str">
        <f t="shared" ref="Q384:Q385" si="68">B384</f>
        <v>USD</v>
      </c>
      <c r="R384" s="1" cm="1">
        <f t="array" ref="R384">IF(A384="", "",
    IFERROR(
        _xlfn.SWITCH(
            TRUE,
            AND(Q384="USD", $Q$2="USD"), K384,
            AND(Q384="USD", $Q$2="GBP"), K384*$Z$3,
            AND(Q384="USD", $Q$2="HKD"), K384*$Z$4,
            AND(Q384="USD", $Q$2="EUR"), K384*$Z$5,
            AND(Q384="GBP", $Q$2="GBP"), K384,
            AND(Q384="GBP", $Q$2="USD"), K384*$Z$6,
            AND(Q384="GBP", $Q$2="HKD"), K384*$Z$7,
            AND(Q384="HKG", $Q$2="HKG"), K384,
            AND(Q384="HKD", $Q$2="USD"), K384*$Z$9,
            AND(Q384="HKD", $Q$2="GBP"), K384*$Z$10,
            AND(Q384="HKD", $Q$2="EUR"), K384*$Z$11,
            AND(Q384="EUR", $Q$2="EUR"), K384,
            AND(Q384="EUR", $Q$2="USD"), K384*$Z$12,
            AND(Q384="EUR", $Q$2="GBP"), K384*$Z$13,
            AND(Q384="EUR", $Q$2="HKD"), K384*$Z$14,
        ),
        0
    )
)</f>
        <v>0.23</v>
      </c>
      <c r="S384" s="1" cm="1">
        <f t="array" ref="S384">IF(A384="", "",
    IFERROR(
        _xlfn.SWITCH(
            TRUE,
            AND(Q384="USD", $Q$2="USD"), M384,
            AND(Q384="USD", $Q$2="GBP"), M384*$Z$3,
            AND(Q384="USD", $Q$2="HKD"), M384*$Z$4,
            AND(Q384="USD", $Q$2="EUR"), M384*$Z$5,
            AND(Q384="GBP", $Q$2="GBP"), M384,
            AND(Q384="GBP", $Q$2="USD"), M384*$Z$6,
            AND(Q384="GBP", $Q$2="HKD"), M384*$Z$7,
            AND(Q384="GBP", $Q$2="HKD"), M384*$Z$8,
            AND(Q384="HKG", $Q$2="HKG"), M384,
            AND(Q384="HKD", $Q$2="USD"), M384*$Z$9,
            AND(Q384="HKD", $Q$2="GBP"), M384*$Z$10,
            AND(Q384="HKD", $Q$2="EUR"), M384*$Z$11,
            AND(Q384="EUR", $Q$2="EUR"), M384,
            AND(Q384="EUR", $Q$2="USD"), M384*$Z$12,
            AND(Q384="EUR", $Q$2="GBP"), M384*$Z$13,
            AND(Q384="EUR", $Q$2="HKD"), M384*$Z$14,
        ),
        0
    )
)</f>
        <v>299.18950000000001</v>
      </c>
      <c r="T384" s="1" t="str">
        <f t="shared" ref="T384:T385" si="69">IF(ISBLANK(A384),"",TEXT(C384,"D"))</f>
        <v>4</v>
      </c>
      <c r="U384" s="8" t="str">
        <f t="shared" ref="U384:U385" si="70">IF(ISBLANK(A384),"",TEXT(C384,"MM"))</f>
        <v>03</v>
      </c>
      <c r="V384" s="1" t="str">
        <f t="shared" ref="V384:V385" si="71">IF(ISBLANK(A384),"",TEXT(C384,"YYYY"))</f>
        <v>2024</v>
      </c>
      <c r="W384" s="18" t="str">
        <f t="shared" ref="W384:W385" si="72">IF(ISBLANK(A384),"",TEXT(WEEKDAY(C384,1),"dddd"))</f>
        <v>星期一</v>
      </c>
    </row>
    <row r="385" spans="1:23">
      <c r="A385" s="17" t="s">
        <v>6</v>
      </c>
      <c r="B385" s="1" t="s">
        <v>348</v>
      </c>
      <c r="C385" s="9">
        <v>45355</v>
      </c>
      <c r="D385" s="1" t="s">
        <v>364</v>
      </c>
      <c r="E385" s="1" t="s">
        <v>114</v>
      </c>
      <c r="F385" s="1" t="s">
        <v>346</v>
      </c>
      <c r="H385" s="1" t="s">
        <v>347</v>
      </c>
      <c r="I385" s="1">
        <v>299.41950000000003</v>
      </c>
      <c r="J385" s="27">
        <v>1</v>
      </c>
      <c r="M385" s="25">
        <f t="shared" si="52"/>
        <v>299.41950000000003</v>
      </c>
      <c r="N385" s="17">
        <f t="shared" si="35"/>
        <v>-299.41950000000003</v>
      </c>
      <c r="O385" s="34">
        <f>IF(ISBLANK(A385),"",SUMIFS(I$3:I385,D$3:D385,D385,H$3:H385,"Buy")+SUMIFS(I$3:I385,D$3:D385,D385,H$3:H385,"Cash Deposit")+SUMIFS(I$3:I385,D$3:D385,D385,H$3:H385,"Crypto Deposit")+SUMIFS(I$3:I385,D$3:D385,D385,H$3:H385,"Airdrop/Rewards")-SUMIFS(I$3:I385,D$3:D385,D385,H$3:H385,"Sell"))</f>
        <v>5649.8941550803866</v>
      </c>
      <c r="P385" s="2" cm="1">
        <f t="array" ref="P385">IF(ISBLANK(A385),"",IFERROR(IF(OR(H385="Sell",F385="Stable Coin"),INDEX(_xlfn._xlws.FILTER(P$2:P384, D$2:D384=D385),COUNT(_xlfn._xlws.FILTER(P$2:P384, D$2:D384=D385))),(INDEX(_xlfn._xlws.FILTER(P$2:P384, D$2:D384=D385),COUNT(_xlfn._xlws.FILTER(P$2:P384, D$2:D384=D385)))*INDEX(_xlfn._xlws.FILTER(O$2:O384, D$2:D384=D385),COUNT(_xlfn._xlws.FILTER(O$2:O384, D$2:D384=D385)))-N385) / O385), J385))</f>
        <v>1</v>
      </c>
      <c r="Q385" s="1" t="str">
        <f t="shared" si="68"/>
        <v>USD</v>
      </c>
      <c r="R385" s="1" cm="1">
        <f t="array" ref="R385">IF(A385="", "",
    IFERROR(
        _xlfn.SWITCH(
            TRUE,
            AND(Q385="USD", $Q$2="USD"), K385,
            AND(Q385="USD", $Q$2="GBP"), K385*$Z$3,
            AND(Q385="USD", $Q$2="HKD"), K385*$Z$4,
            AND(Q385="USD", $Q$2="EUR"), K385*$Z$5,
            AND(Q385="GBP", $Q$2="GBP"), K385,
            AND(Q385="GBP", $Q$2="USD"), K385*$Z$6,
            AND(Q385="GBP", $Q$2="HKD"), K385*$Z$7,
            AND(Q385="HKG", $Q$2="HKG"), K385,
            AND(Q385="HKD", $Q$2="USD"), K385*$Z$9,
            AND(Q385="HKD", $Q$2="GBP"), K385*$Z$10,
            AND(Q385="HKD", $Q$2="EUR"), K385*$Z$11,
            AND(Q385="EUR", $Q$2="EUR"), K385,
            AND(Q385="EUR", $Q$2="USD"), K385*$Z$12,
            AND(Q385="EUR", $Q$2="GBP"), K385*$Z$13,
            AND(Q385="EUR", $Q$2="HKD"), K385*$Z$14,
        ),
        0
    )
)</f>
        <v>0</v>
      </c>
      <c r="S385" s="1" cm="1">
        <f t="array" ref="S385">IF(A385="", "",
    IFERROR(
        _xlfn.SWITCH(
            TRUE,
            AND(Q385="USD", $Q$2="USD"), M385,
            AND(Q385="USD", $Q$2="GBP"), M385*$Z$3,
            AND(Q385="USD", $Q$2="HKD"), M385*$Z$4,
            AND(Q385="USD", $Q$2="EUR"), M385*$Z$5,
            AND(Q385="GBP", $Q$2="GBP"), M385,
            AND(Q385="GBP", $Q$2="USD"), M385*$Z$6,
            AND(Q385="GBP", $Q$2="HKD"), M385*$Z$7,
            AND(Q385="GBP", $Q$2="HKD"), M385*$Z$8,
            AND(Q385="HKG", $Q$2="HKG"), M385,
            AND(Q385="HKD", $Q$2="USD"), M385*$Z$9,
            AND(Q385="HKD", $Q$2="GBP"), M385*$Z$10,
            AND(Q385="HKD", $Q$2="EUR"), M385*$Z$11,
            AND(Q385="EUR", $Q$2="EUR"), M385,
            AND(Q385="EUR", $Q$2="USD"), M385*$Z$12,
            AND(Q385="EUR", $Q$2="GBP"), M385*$Z$13,
            AND(Q385="EUR", $Q$2="HKD"), M385*$Z$14,
        ),
        0
    )
)</f>
        <v>299.41950000000003</v>
      </c>
      <c r="T385" s="1" t="str">
        <f t="shared" si="69"/>
        <v>4</v>
      </c>
      <c r="U385" s="8" t="str">
        <f t="shared" si="70"/>
        <v>03</v>
      </c>
      <c r="V385" s="1" t="str">
        <f t="shared" si="71"/>
        <v>2024</v>
      </c>
      <c r="W385" s="18" t="str">
        <f t="shared" si="72"/>
        <v>星期一</v>
      </c>
    </row>
    <row r="386" spans="1:23">
      <c r="A386" s="17" t="s">
        <v>59</v>
      </c>
      <c r="B386" s="1" t="s">
        <v>348</v>
      </c>
      <c r="C386" s="9">
        <v>45355</v>
      </c>
      <c r="D386" s="1" t="s">
        <v>23</v>
      </c>
      <c r="E386" s="1" t="s">
        <v>24</v>
      </c>
      <c r="F386" s="1" t="s">
        <v>349</v>
      </c>
      <c r="H386" s="1" t="s">
        <v>359</v>
      </c>
      <c r="I386" s="1">
        <v>2.696E-3</v>
      </c>
      <c r="J386" s="27">
        <v>3500</v>
      </c>
      <c r="K386" s="1">
        <v>2.6</v>
      </c>
      <c r="M386" s="25">
        <f t="shared" si="52"/>
        <v>9.4359999999999999</v>
      </c>
      <c r="N386" s="17">
        <f t="shared" si="35"/>
        <v>0</v>
      </c>
      <c r="O386" s="34">
        <f>IF(ISBLANK(A386),"",SUMIFS(I$3:I386,D$3:D386,D386,H$3:H386,"Buy")+SUMIFS(I$3:I386,D$3:D386,D386,H$3:H386,"Cash Deposit")+SUMIFS(I$3:I386,D$3:D386,D386,H$3:H386,"Crypto Deposit")+SUMIFS(I$3:I386,D$3:D386,D386,H$3:H386,"Airdrop/Rewards")-SUMIFS(I$3:I386,D$3:D386,D386,H$3:H386,"Sell"))</f>
        <v>10.450489702608804</v>
      </c>
      <c r="P386" s="2" cm="1">
        <f t="array" ref="P386">IF(ISBLANK(A386),"",IFERROR(IF(OR(H386="Sell",F386="Stable Coin"),INDEX(_xlfn._xlws.FILTER(P$2:P385, D$2:D385=D386),COUNT(_xlfn._xlws.FILTER(P$2:P385, D$2:D385=D386))),(INDEX(_xlfn._xlws.FILTER(P$2:P385, D$2:D385=D386),COUNT(_xlfn._xlws.FILTER(P$2:P385, D$2:D385=D386)))*INDEX(_xlfn._xlws.FILTER(O$2:O385, D$2:D385=D386),COUNT(_xlfn._xlws.FILTER(O$2:O385, D$2:D385=D386)))-N386) / O386), J386))</f>
        <v>2333.5255992631969</v>
      </c>
      <c r="Q386" s="1" t="str">
        <f t="shared" ref="Q386:Q388" si="73">B386</f>
        <v>USD</v>
      </c>
      <c r="R386" s="1" cm="1">
        <f t="array" ref="R386">IF(A386="", "",
    IFERROR(
        _xlfn.SWITCH(
            TRUE,
            AND(Q386="USD", $Q$2="USD"), K386,
            AND(Q386="USD", $Q$2="GBP"), K386*$Z$3,
            AND(Q386="USD", $Q$2="HKD"), K386*$Z$4,
            AND(Q386="USD", $Q$2="EUR"), K386*$Z$5,
            AND(Q386="GBP", $Q$2="GBP"), K386,
            AND(Q386="GBP", $Q$2="USD"), K386*$Z$6,
            AND(Q386="GBP", $Q$2="HKD"), K386*$Z$7,
            AND(Q386="HKG", $Q$2="HKG"), K386,
            AND(Q386="HKD", $Q$2="USD"), K386*$Z$9,
            AND(Q386="HKD", $Q$2="GBP"), K386*$Z$10,
            AND(Q386="HKD", $Q$2="EUR"), K386*$Z$11,
            AND(Q386="EUR", $Q$2="EUR"), K386,
            AND(Q386="EUR", $Q$2="USD"), K386*$Z$12,
            AND(Q386="EUR", $Q$2="GBP"), K386*$Z$13,
            AND(Q386="EUR", $Q$2="HKD"), K386*$Z$14,
        ),
        0
    )
)</f>
        <v>2.6</v>
      </c>
      <c r="S386" s="1" cm="1">
        <f t="array" ref="S386">IF(A386="", "",
    IFERROR(
        _xlfn.SWITCH(
            TRUE,
            AND(Q386="USD", $Q$2="USD"), M386,
            AND(Q386="USD", $Q$2="GBP"), M386*$Z$3,
            AND(Q386="USD", $Q$2="HKD"), M386*$Z$4,
            AND(Q386="USD", $Q$2="EUR"), M386*$Z$5,
            AND(Q386="GBP", $Q$2="GBP"), M386,
            AND(Q386="GBP", $Q$2="USD"), M386*$Z$6,
            AND(Q386="GBP", $Q$2="HKD"), M386*$Z$7,
            AND(Q386="GBP", $Q$2="HKD"), M386*$Z$8,
            AND(Q386="HKG", $Q$2="HKG"), M386,
            AND(Q386="HKD", $Q$2="USD"), M386*$Z$9,
            AND(Q386="HKD", $Q$2="GBP"), M386*$Z$10,
            AND(Q386="HKD", $Q$2="EUR"), M386*$Z$11,
            AND(Q386="EUR", $Q$2="EUR"), M386,
            AND(Q386="EUR", $Q$2="USD"), M386*$Z$12,
            AND(Q386="EUR", $Q$2="GBP"), M386*$Z$13,
            AND(Q386="EUR", $Q$2="HKD"), M386*$Z$14,
        ),
        0
    )
)</f>
        <v>9.4359999999999999</v>
      </c>
      <c r="T386" s="1" t="str">
        <f t="shared" ref="T386:T388" si="74">IF(ISBLANK(A386),"",TEXT(C386,"D"))</f>
        <v>4</v>
      </c>
      <c r="U386" s="8" t="str">
        <f t="shared" ref="U386:U388" si="75">IF(ISBLANK(A386),"",TEXT(C386,"MM"))</f>
        <v>03</v>
      </c>
      <c r="V386" s="1" t="str">
        <f t="shared" ref="V386:V388" si="76">IF(ISBLANK(A386),"",TEXT(C386,"YYYY"))</f>
        <v>2024</v>
      </c>
      <c r="W386" s="18" t="str">
        <f t="shared" ref="W386:W388" si="77">IF(ISBLANK(A386),"",TEXT(WEEKDAY(C386,1),"dddd"))</f>
        <v>星期一</v>
      </c>
    </row>
    <row r="387" spans="1:23">
      <c r="A387" s="17" t="s">
        <v>399</v>
      </c>
      <c r="B387" s="1" t="s">
        <v>348</v>
      </c>
      <c r="C387" s="9">
        <v>45355</v>
      </c>
      <c r="D387" s="1" t="e" vm="17">
        <v>#VALUE!</v>
      </c>
      <c r="E387" s="1" t="s">
        <v>32</v>
      </c>
      <c r="F387" s="1" t="s">
        <v>401</v>
      </c>
      <c r="H387" s="1" t="s">
        <v>367</v>
      </c>
      <c r="I387" s="1">
        <v>10</v>
      </c>
      <c r="J387" s="27">
        <v>220</v>
      </c>
      <c r="K387" s="1">
        <v>2</v>
      </c>
      <c r="M387" s="25">
        <f t="shared" si="52"/>
        <v>2198</v>
      </c>
      <c r="N387" s="17">
        <f t="shared" si="35"/>
        <v>2200</v>
      </c>
      <c r="O387" s="34">
        <f>IF(ISBLANK(A387),"",SUMIFS(I$3:I387,D$3:D387,D387,H$3:H387,"Buy")+SUMIFS(I$3:I387,D$3:D387,D387,H$3:H387,"Cash Deposit")+SUMIFS(I$3:I387,D$3:D387,D387,H$3:H387,"Crypto Deposit")+SUMIFS(I$3:I387,D$3:D387,D387,H$3:H387,"Airdrop/Rewards")-SUMIFS(I$3:I387,D$3:D387,D387,H$3:H387,"Sell"))</f>
        <v>78</v>
      </c>
      <c r="P387" s="2" cm="1">
        <f t="array" ref="P387">IF(ISBLANK(A387),"",IFERROR(IF(OR(H387="Sell",F387="Stable Coin"),INDEX(_xlfn._xlws.FILTER(P$2:P386, D$2:D386=D387),COUNT(_xlfn._xlws.FILTER(P$2:P386, D$2:D386=D387))),(INDEX(_xlfn._xlws.FILTER(P$2:P386, D$2:D386=D387),COUNT(_xlfn._xlws.FILTER(P$2:P386, D$2:D386=D387)))*INDEX(_xlfn._xlws.FILTER(O$2:O386, D$2:D386=D387),COUNT(_xlfn._xlws.FILTER(O$2:O386, D$2:D386=D387)))-N387) / O387), J387))</f>
        <v>82.934843603411494</v>
      </c>
      <c r="Q387" s="1" t="str">
        <f t="shared" si="73"/>
        <v>USD</v>
      </c>
      <c r="R387" s="1" cm="1">
        <f t="array" ref="R387">IF(A387="", "",
    IFERROR(
        _xlfn.SWITCH(
            TRUE,
            AND(Q387="USD", $Q$2="USD"), K387,
            AND(Q387="USD", $Q$2="GBP"), K387*$Z$3,
            AND(Q387="USD", $Q$2="HKD"), K387*$Z$4,
            AND(Q387="USD", $Q$2="EUR"), K387*$Z$5,
            AND(Q387="GBP", $Q$2="GBP"), K387,
            AND(Q387="GBP", $Q$2="USD"), K387*$Z$6,
            AND(Q387="GBP", $Q$2="HKD"), K387*$Z$7,
            AND(Q387="HKG", $Q$2="HKG"), K387,
            AND(Q387="HKD", $Q$2="USD"), K387*$Z$9,
            AND(Q387="HKD", $Q$2="GBP"), K387*$Z$10,
            AND(Q387="HKD", $Q$2="EUR"), K387*$Z$11,
            AND(Q387="EUR", $Q$2="EUR"), K387,
            AND(Q387="EUR", $Q$2="USD"), K387*$Z$12,
            AND(Q387="EUR", $Q$2="GBP"), K387*$Z$13,
            AND(Q387="EUR", $Q$2="HKD"), K387*$Z$14,
        ),
        0
    )
)</f>
        <v>2</v>
      </c>
      <c r="S387" s="1" cm="1">
        <f t="array" ref="S387">IF(A387="", "",
    IFERROR(
        _xlfn.SWITCH(
            TRUE,
            AND(Q387="USD", $Q$2="USD"), M387,
            AND(Q387="USD", $Q$2="GBP"), M387*$Z$3,
            AND(Q387="USD", $Q$2="HKD"), M387*$Z$4,
            AND(Q387="USD", $Q$2="EUR"), M387*$Z$5,
            AND(Q387="GBP", $Q$2="GBP"), M387,
            AND(Q387="GBP", $Q$2="USD"), M387*$Z$6,
            AND(Q387="GBP", $Q$2="HKD"), M387*$Z$7,
            AND(Q387="GBP", $Q$2="HKD"), M387*$Z$8,
            AND(Q387="HKG", $Q$2="HKG"), M387,
            AND(Q387="HKD", $Q$2="USD"), M387*$Z$9,
            AND(Q387="HKD", $Q$2="GBP"), M387*$Z$10,
            AND(Q387="HKD", $Q$2="EUR"), M387*$Z$11,
            AND(Q387="EUR", $Q$2="EUR"), M387,
            AND(Q387="EUR", $Q$2="USD"), M387*$Z$12,
            AND(Q387="EUR", $Q$2="GBP"), M387*$Z$13,
            AND(Q387="EUR", $Q$2="HKD"), M387*$Z$14,
        ),
        0
    )
)</f>
        <v>2198</v>
      </c>
      <c r="T387" s="1" t="str">
        <f t="shared" si="74"/>
        <v>4</v>
      </c>
      <c r="U387" s="8" t="str">
        <f t="shared" si="75"/>
        <v>03</v>
      </c>
      <c r="V387" s="1" t="str">
        <f t="shared" si="76"/>
        <v>2024</v>
      </c>
      <c r="W387" s="18" t="str">
        <f t="shared" si="77"/>
        <v>星期一</v>
      </c>
    </row>
    <row r="388" spans="1:23">
      <c r="A388" s="17" t="s">
        <v>399</v>
      </c>
      <c r="B388" s="1" t="s">
        <v>348</v>
      </c>
      <c r="C388" s="9">
        <v>45355</v>
      </c>
      <c r="D388" s="1" t="e" vm="21">
        <v>#VALUE!</v>
      </c>
      <c r="E388" s="1" t="s">
        <v>403</v>
      </c>
      <c r="F388" s="1" t="s">
        <v>401</v>
      </c>
      <c r="H388" s="1" t="s">
        <v>367</v>
      </c>
      <c r="I388" s="1">
        <v>2</v>
      </c>
      <c r="J388" s="27">
        <v>1280</v>
      </c>
      <c r="K388" s="1">
        <v>2</v>
      </c>
      <c r="M388" s="25">
        <f t="shared" si="52"/>
        <v>2558</v>
      </c>
      <c r="N388" s="17">
        <f t="shared" si="35"/>
        <v>2560</v>
      </c>
      <c r="O388" s="34">
        <f>IF(ISBLANK(A388),"",SUMIFS(I$3:I388,D$3:D388,D388,H$3:H388,"Buy")+SUMIFS(I$3:I388,D$3:D388,D388,H$3:H388,"Cash Deposit")+SUMIFS(I$3:I388,D$3:D388,D388,H$3:H388,"Crypto Deposit")+SUMIFS(I$3:I388,D$3:D388,D388,H$3:H388,"Airdrop/Rewards")-SUMIFS(I$3:I388,D$3:D388,D388,H$3:H388,"Sell"))</f>
        <v>4</v>
      </c>
      <c r="P388" s="2" cm="1">
        <f t="array" ref="P388">IF(ISBLANK(A388),"",IFERROR(IF(OR(H388="Sell",F388="Stable Coin"),INDEX(_xlfn._xlws.FILTER(P$2:P387, D$2:D387=D388),COUNT(_xlfn._xlws.FILTER(P$2:P387, D$2:D387=D388))),(INDEX(_xlfn._xlws.FILTER(P$2:P387, D$2:D387=D388),COUNT(_xlfn._xlws.FILTER(P$2:P387, D$2:D387=D388)))*INDEX(_xlfn._xlws.FILTER(O$2:O387, D$2:D387=D388),COUNT(_xlfn._xlws.FILTER(O$2:O387, D$2:D387=D388)))-N388) / O388), J388))</f>
        <v>353.55666666666667</v>
      </c>
      <c r="Q388" s="1" t="str">
        <f t="shared" si="73"/>
        <v>USD</v>
      </c>
      <c r="R388" s="1" cm="1">
        <f t="array" ref="R388">IF(A388="", "",
    IFERROR(
        _xlfn.SWITCH(
            TRUE,
            AND(Q388="USD", $Q$2="USD"), K388,
            AND(Q388="USD", $Q$2="GBP"), K388*$Z$3,
            AND(Q388="USD", $Q$2="HKD"), K388*$Z$4,
            AND(Q388="USD", $Q$2="EUR"), K388*$Z$5,
            AND(Q388="GBP", $Q$2="GBP"), K388,
            AND(Q388="GBP", $Q$2="USD"), K388*$Z$6,
            AND(Q388="GBP", $Q$2="HKD"), K388*$Z$7,
            AND(Q388="HKG", $Q$2="HKG"), K388,
            AND(Q388="HKD", $Q$2="USD"), K388*$Z$9,
            AND(Q388="HKD", $Q$2="GBP"), K388*$Z$10,
            AND(Q388="HKD", $Q$2="EUR"), K388*$Z$11,
            AND(Q388="EUR", $Q$2="EUR"), K388,
            AND(Q388="EUR", $Q$2="USD"), K388*$Z$12,
            AND(Q388="EUR", $Q$2="GBP"), K388*$Z$13,
            AND(Q388="EUR", $Q$2="HKD"), K388*$Z$14,
        ),
        0
    )
)</f>
        <v>2</v>
      </c>
      <c r="S388" s="1" cm="1">
        <f t="array" ref="S388">IF(A388="", "",
    IFERROR(
        _xlfn.SWITCH(
            TRUE,
            AND(Q388="USD", $Q$2="USD"), M388,
            AND(Q388="USD", $Q$2="GBP"), M388*$Z$3,
            AND(Q388="USD", $Q$2="HKD"), M388*$Z$4,
            AND(Q388="USD", $Q$2="EUR"), M388*$Z$5,
            AND(Q388="GBP", $Q$2="GBP"), M388,
            AND(Q388="GBP", $Q$2="USD"), M388*$Z$6,
            AND(Q388="GBP", $Q$2="HKD"), M388*$Z$7,
            AND(Q388="GBP", $Q$2="HKD"), M388*$Z$8,
            AND(Q388="HKG", $Q$2="HKG"), M388,
            AND(Q388="HKD", $Q$2="USD"), M388*$Z$9,
            AND(Q388="HKD", $Q$2="GBP"), M388*$Z$10,
            AND(Q388="HKD", $Q$2="EUR"), M388*$Z$11,
            AND(Q388="EUR", $Q$2="EUR"), M388,
            AND(Q388="EUR", $Q$2="USD"), M388*$Z$12,
            AND(Q388="EUR", $Q$2="GBP"), M388*$Z$13,
            AND(Q388="EUR", $Q$2="HKD"), M388*$Z$14,
        ),
        0
    )
)</f>
        <v>2558</v>
      </c>
      <c r="T388" s="1" t="str">
        <f t="shared" si="74"/>
        <v>4</v>
      </c>
      <c r="U388" s="8" t="str">
        <f t="shared" si="75"/>
        <v>03</v>
      </c>
      <c r="V388" s="1" t="str">
        <f t="shared" si="76"/>
        <v>2024</v>
      </c>
      <c r="W388" s="18" t="str">
        <f t="shared" si="77"/>
        <v>星期一</v>
      </c>
    </row>
    <row r="389" spans="1:23">
      <c r="A389" s="17" t="s">
        <v>6</v>
      </c>
      <c r="B389" s="1" t="s">
        <v>348</v>
      </c>
      <c r="C389" s="9">
        <v>45355</v>
      </c>
      <c r="D389" s="1" t="s">
        <v>47</v>
      </c>
      <c r="E389" s="1" t="s">
        <v>4</v>
      </c>
      <c r="F389" s="1" t="s">
        <v>349</v>
      </c>
      <c r="H389" s="1" t="s">
        <v>367</v>
      </c>
      <c r="I389" s="1">
        <v>4.5500000000000002E-3</v>
      </c>
      <c r="J389" s="27">
        <v>65880</v>
      </c>
      <c r="K389" s="1">
        <v>0.23</v>
      </c>
      <c r="M389" s="25">
        <f t="shared" si="52"/>
        <v>299.524</v>
      </c>
      <c r="N389" s="17">
        <f t="shared" si="35"/>
        <v>299.75400000000002</v>
      </c>
      <c r="O389" s="34">
        <f>IF(ISBLANK(A389),"",SUMIFS(I$3:I389,D$3:D389,D389,H$3:H389,"Buy")+SUMIFS(I$3:I389,D$3:D389,D389,H$3:H389,"Cash Deposit")+SUMIFS(I$3:I389,D$3:D389,D389,H$3:H389,"Crypto Deposit")+SUMIFS(I$3:I389,D$3:D389,D389,H$3:H389,"Airdrop/Rewards")-SUMIFS(I$3:I389,D$3:D389,D389,H$3:H389,"Sell"))</f>
        <v>0.28320523994681657</v>
      </c>
      <c r="P389" s="2" cm="1">
        <f t="array" ref="P389">IF(ISBLANK(A389),"",IFERROR(IF(OR(H389="Sell",F389="Stable Coin"),INDEX(_xlfn._xlws.FILTER(P$2:P388, D$2:D388=D389),COUNT(_xlfn._xlws.FILTER(P$2:P388, D$2:D388=D389))),(INDEX(_xlfn._xlws.FILTER(P$2:P388, D$2:D388=D389),COUNT(_xlfn._xlws.FILTER(P$2:P388, D$2:D388=D389)))*INDEX(_xlfn._xlws.FILTER(O$2:O388, D$2:D388=D389),COUNT(_xlfn._xlws.FILTER(O$2:O388, D$2:D388=D389)))-N389) / O389), J389))</f>
        <v>32216.561571265273</v>
      </c>
      <c r="Q389" s="1" t="str">
        <f t="shared" ref="Q389:Q390" si="78">B389</f>
        <v>USD</v>
      </c>
      <c r="R389" s="1" cm="1">
        <f t="array" ref="R389">IF(A389="", "",
    IFERROR(
        _xlfn.SWITCH(
            TRUE,
            AND(Q389="USD", $Q$2="USD"), K389,
            AND(Q389="USD", $Q$2="GBP"), K389*$Z$3,
            AND(Q389="USD", $Q$2="HKD"), K389*$Z$4,
            AND(Q389="USD", $Q$2="EUR"), K389*$Z$5,
            AND(Q389="GBP", $Q$2="GBP"), K389,
            AND(Q389="GBP", $Q$2="USD"), K389*$Z$6,
            AND(Q389="GBP", $Q$2="HKD"), K389*$Z$7,
            AND(Q389="HKG", $Q$2="HKG"), K389,
            AND(Q389="HKD", $Q$2="USD"), K389*$Z$9,
            AND(Q389="HKD", $Q$2="GBP"), K389*$Z$10,
            AND(Q389="HKD", $Q$2="EUR"), K389*$Z$11,
            AND(Q389="EUR", $Q$2="EUR"), K389,
            AND(Q389="EUR", $Q$2="USD"), K389*$Z$12,
            AND(Q389="EUR", $Q$2="GBP"), K389*$Z$13,
            AND(Q389="EUR", $Q$2="HKD"), K389*$Z$14,
        ),
        0
    )
)</f>
        <v>0.23</v>
      </c>
      <c r="S389" s="1" cm="1">
        <f t="array" ref="S389">IF(A389="", "",
    IFERROR(
        _xlfn.SWITCH(
            TRUE,
            AND(Q389="USD", $Q$2="USD"), M389,
            AND(Q389="USD", $Q$2="GBP"), M389*$Z$3,
            AND(Q389="USD", $Q$2="HKD"), M389*$Z$4,
            AND(Q389="USD", $Q$2="EUR"), M389*$Z$5,
            AND(Q389="GBP", $Q$2="GBP"), M389,
            AND(Q389="GBP", $Q$2="USD"), M389*$Z$6,
            AND(Q389="GBP", $Q$2="HKD"), M389*$Z$7,
            AND(Q389="GBP", $Q$2="HKD"), M389*$Z$8,
            AND(Q389="HKG", $Q$2="HKG"), M389,
            AND(Q389="HKD", $Q$2="USD"), M389*$Z$9,
            AND(Q389="HKD", $Q$2="GBP"), M389*$Z$10,
            AND(Q389="HKD", $Q$2="EUR"), M389*$Z$11,
            AND(Q389="EUR", $Q$2="EUR"), M389,
            AND(Q389="EUR", $Q$2="USD"), M389*$Z$12,
            AND(Q389="EUR", $Q$2="GBP"), M389*$Z$13,
            AND(Q389="EUR", $Q$2="HKD"), M389*$Z$14,
        ),
        0
    )
)</f>
        <v>299.524</v>
      </c>
      <c r="T389" s="1" t="str">
        <f t="shared" ref="T389:T390" si="79">IF(ISBLANK(A389),"",TEXT(C389,"D"))</f>
        <v>4</v>
      </c>
      <c r="U389" s="8" t="str">
        <f t="shared" ref="U389:U390" si="80">IF(ISBLANK(A389),"",TEXT(C389,"MM"))</f>
        <v>03</v>
      </c>
      <c r="V389" s="1" t="str">
        <f t="shared" ref="V389:V390" si="81">IF(ISBLANK(A389),"",TEXT(C389,"YYYY"))</f>
        <v>2024</v>
      </c>
      <c r="W389" s="18" t="str">
        <f t="shared" ref="W389:W390" si="82">IF(ISBLANK(A389),"",TEXT(WEEKDAY(C389,1),"dddd"))</f>
        <v>星期一</v>
      </c>
    </row>
    <row r="390" spans="1:23">
      <c r="A390" s="17" t="s">
        <v>6</v>
      </c>
      <c r="B390" s="1" t="s">
        <v>348</v>
      </c>
      <c r="C390" s="9">
        <v>45355</v>
      </c>
      <c r="D390" s="1" t="s">
        <v>364</v>
      </c>
      <c r="E390" s="1" t="s">
        <v>114</v>
      </c>
      <c r="F390" s="1" t="s">
        <v>346</v>
      </c>
      <c r="H390" s="1" t="s">
        <v>347</v>
      </c>
      <c r="I390" s="1">
        <v>299.75400000000002</v>
      </c>
      <c r="J390" s="27">
        <v>1</v>
      </c>
      <c r="M390" s="25">
        <f t="shared" si="52"/>
        <v>299.75400000000002</v>
      </c>
      <c r="N390" s="17">
        <f t="shared" si="35"/>
        <v>-299.75400000000002</v>
      </c>
      <c r="O390" s="34">
        <f>IF(ISBLANK(A390),"",SUMIFS(I$3:I390,D$3:D390,D390,H$3:H390,"Buy")+SUMIFS(I$3:I390,D$3:D390,D390,H$3:H390,"Cash Deposit")+SUMIFS(I$3:I390,D$3:D390,D390,H$3:H390,"Crypto Deposit")+SUMIFS(I$3:I390,D$3:D390,D390,H$3:H390,"Airdrop/Rewards")-SUMIFS(I$3:I390,D$3:D390,D390,H$3:H390,"Sell"))</f>
        <v>5949.6481550803874</v>
      </c>
      <c r="P390" s="2" cm="1">
        <f t="array" ref="P390">IF(ISBLANK(A390),"",IFERROR(IF(OR(H390="Sell",F390="Stable Coin"),INDEX(_xlfn._xlws.FILTER(P$2:P389, D$2:D389=D390),COUNT(_xlfn._xlws.FILTER(P$2:P389, D$2:D389=D390))),(INDEX(_xlfn._xlws.FILTER(P$2:P389, D$2:D389=D390),COUNT(_xlfn._xlws.FILTER(P$2:P389, D$2:D389=D390)))*INDEX(_xlfn._xlws.FILTER(O$2:O389, D$2:D389=D390),COUNT(_xlfn._xlws.FILTER(O$2:O389, D$2:D389=D390)))-N390) / O390), J390))</f>
        <v>1</v>
      </c>
      <c r="Q390" s="1" t="str">
        <f t="shared" si="78"/>
        <v>USD</v>
      </c>
      <c r="R390" s="1" cm="1">
        <f t="array" ref="R390">IF(A390="", "",
    IFERROR(
        _xlfn.SWITCH(
            TRUE,
            AND(Q390="USD", $Q$2="USD"), K390,
            AND(Q390="USD", $Q$2="GBP"), K390*$Z$3,
            AND(Q390="USD", $Q$2="HKD"), K390*$Z$4,
            AND(Q390="USD", $Q$2="EUR"), K390*$Z$5,
            AND(Q390="GBP", $Q$2="GBP"), K390,
            AND(Q390="GBP", $Q$2="USD"), K390*$Z$6,
            AND(Q390="GBP", $Q$2="HKD"), K390*$Z$7,
            AND(Q390="HKG", $Q$2="HKG"), K390,
            AND(Q390="HKD", $Q$2="USD"), K390*$Z$9,
            AND(Q390="HKD", $Q$2="GBP"), K390*$Z$10,
            AND(Q390="HKD", $Q$2="EUR"), K390*$Z$11,
            AND(Q390="EUR", $Q$2="EUR"), K390,
            AND(Q390="EUR", $Q$2="USD"), K390*$Z$12,
            AND(Q390="EUR", $Q$2="GBP"), K390*$Z$13,
            AND(Q390="EUR", $Q$2="HKD"), K390*$Z$14,
        ),
        0
    )
)</f>
        <v>0</v>
      </c>
      <c r="S390" s="1" cm="1">
        <f t="array" ref="S390">IF(A390="", "",
    IFERROR(
        _xlfn.SWITCH(
            TRUE,
            AND(Q390="USD", $Q$2="USD"), M390,
            AND(Q390="USD", $Q$2="GBP"), M390*$Z$3,
            AND(Q390="USD", $Q$2="HKD"), M390*$Z$4,
            AND(Q390="USD", $Q$2="EUR"), M390*$Z$5,
            AND(Q390="GBP", $Q$2="GBP"), M390,
            AND(Q390="GBP", $Q$2="USD"), M390*$Z$6,
            AND(Q390="GBP", $Q$2="HKD"), M390*$Z$7,
            AND(Q390="GBP", $Q$2="HKD"), M390*$Z$8,
            AND(Q390="HKG", $Q$2="HKG"), M390,
            AND(Q390="HKD", $Q$2="USD"), M390*$Z$9,
            AND(Q390="HKD", $Q$2="GBP"), M390*$Z$10,
            AND(Q390="HKD", $Q$2="EUR"), M390*$Z$11,
            AND(Q390="EUR", $Q$2="EUR"), M390,
            AND(Q390="EUR", $Q$2="USD"), M390*$Z$12,
            AND(Q390="EUR", $Q$2="GBP"), M390*$Z$13,
            AND(Q390="EUR", $Q$2="HKD"), M390*$Z$14,
        ),
        0
    )
)</f>
        <v>299.75400000000002</v>
      </c>
      <c r="T390" s="1" t="str">
        <f t="shared" si="79"/>
        <v>4</v>
      </c>
      <c r="U390" s="8" t="str">
        <f t="shared" si="80"/>
        <v>03</v>
      </c>
      <c r="V390" s="1" t="str">
        <f t="shared" si="81"/>
        <v>2024</v>
      </c>
      <c r="W390" s="18" t="str">
        <f t="shared" si="82"/>
        <v>星期一</v>
      </c>
    </row>
    <row r="391" spans="1:23">
      <c r="A391" s="17" t="s">
        <v>6</v>
      </c>
      <c r="B391" s="1" t="s">
        <v>348</v>
      </c>
      <c r="C391" s="9">
        <v>45355</v>
      </c>
      <c r="D391" s="1" t="s">
        <v>47</v>
      </c>
      <c r="E391" s="1" t="s">
        <v>4</v>
      </c>
      <c r="F391" s="1" t="s">
        <v>349</v>
      </c>
      <c r="H391" s="1" t="s">
        <v>367</v>
      </c>
      <c r="I391" s="1">
        <v>6.0000000000000001E-3</v>
      </c>
      <c r="J391" s="27">
        <v>66660</v>
      </c>
      <c r="K391" s="1">
        <v>0.3</v>
      </c>
      <c r="M391" s="25">
        <f t="shared" si="52"/>
        <v>399.66</v>
      </c>
      <c r="N391" s="17">
        <f t="shared" si="35"/>
        <v>399.96000000000004</v>
      </c>
      <c r="O391" s="34">
        <f>IF(ISBLANK(A391),"",SUMIFS(I$3:I391,D$3:D391,D391,H$3:H391,"Buy")+SUMIFS(I$3:I391,D$3:D391,D391,H$3:H391,"Cash Deposit")+SUMIFS(I$3:I391,D$3:D391,D391,H$3:H391,"Crypto Deposit")+SUMIFS(I$3:I391,D$3:D391,D391,H$3:H391,"Airdrop/Rewards")-SUMIFS(I$3:I391,D$3:D391,D391,H$3:H391,"Sell"))</f>
        <v>0.27720523994681656</v>
      </c>
      <c r="P391" s="2" cm="1">
        <f t="array" ref="P391">IF(ISBLANK(A391),"",IFERROR(IF(OR(H391="Sell",F391="Stable Coin"),INDEX(_xlfn._xlws.FILTER(P$2:P390, D$2:D390=D391),COUNT(_xlfn._xlws.FILTER(P$2:P390, D$2:D390=D391))),(INDEX(_xlfn._xlws.FILTER(P$2:P390, D$2:D390=D391),COUNT(_xlfn._xlws.FILTER(P$2:P390, D$2:D390=D391)))*INDEX(_xlfn._xlws.FILTER(O$2:O390, D$2:D390=D391),COUNT(_xlfn._xlws.FILTER(O$2:O390, D$2:D390=D391)))-N391) / O391), J391))</f>
        <v>32216.561571265273</v>
      </c>
      <c r="Q391" s="1" t="str">
        <f t="shared" ref="Q391:Q392" si="83">B391</f>
        <v>USD</v>
      </c>
      <c r="R391" s="1" cm="1">
        <f t="array" ref="R391">IF(A391="", "",
    IFERROR(
        _xlfn.SWITCH(
            TRUE,
            AND(Q391="USD", $Q$2="USD"), K391,
            AND(Q391="USD", $Q$2="GBP"), K391*$Z$3,
            AND(Q391="USD", $Q$2="HKD"), K391*$Z$4,
            AND(Q391="USD", $Q$2="EUR"), K391*$Z$5,
            AND(Q391="GBP", $Q$2="GBP"), K391,
            AND(Q391="GBP", $Q$2="USD"), K391*$Z$6,
            AND(Q391="GBP", $Q$2="HKD"), K391*$Z$7,
            AND(Q391="HKG", $Q$2="HKG"), K391,
            AND(Q391="HKD", $Q$2="USD"), K391*$Z$9,
            AND(Q391="HKD", $Q$2="GBP"), K391*$Z$10,
            AND(Q391="HKD", $Q$2="EUR"), K391*$Z$11,
            AND(Q391="EUR", $Q$2="EUR"), K391,
            AND(Q391="EUR", $Q$2="USD"), K391*$Z$12,
            AND(Q391="EUR", $Q$2="GBP"), K391*$Z$13,
            AND(Q391="EUR", $Q$2="HKD"), K391*$Z$14,
        ),
        0
    )
)</f>
        <v>0.3</v>
      </c>
      <c r="S391" s="1" cm="1">
        <f t="array" ref="S391">IF(A391="", "",
    IFERROR(
        _xlfn.SWITCH(
            TRUE,
            AND(Q391="USD", $Q$2="USD"), M391,
            AND(Q391="USD", $Q$2="GBP"), M391*$Z$3,
            AND(Q391="USD", $Q$2="HKD"), M391*$Z$4,
            AND(Q391="USD", $Q$2="EUR"), M391*$Z$5,
            AND(Q391="GBP", $Q$2="GBP"), M391,
            AND(Q391="GBP", $Q$2="USD"), M391*$Z$6,
            AND(Q391="GBP", $Q$2="HKD"), M391*$Z$7,
            AND(Q391="GBP", $Q$2="HKD"), M391*$Z$8,
            AND(Q391="HKG", $Q$2="HKG"), M391,
            AND(Q391="HKD", $Q$2="USD"), M391*$Z$9,
            AND(Q391="HKD", $Q$2="GBP"), M391*$Z$10,
            AND(Q391="HKD", $Q$2="EUR"), M391*$Z$11,
            AND(Q391="EUR", $Q$2="EUR"), M391,
            AND(Q391="EUR", $Q$2="USD"), M391*$Z$12,
            AND(Q391="EUR", $Q$2="GBP"), M391*$Z$13,
            AND(Q391="EUR", $Q$2="HKD"), M391*$Z$14,
        ),
        0
    )
)</f>
        <v>399.66</v>
      </c>
      <c r="T391" s="1" t="str">
        <f t="shared" ref="T391:T392" si="84">IF(ISBLANK(A391),"",TEXT(C391,"D"))</f>
        <v>4</v>
      </c>
      <c r="U391" s="8" t="str">
        <f t="shared" ref="U391:U392" si="85">IF(ISBLANK(A391),"",TEXT(C391,"MM"))</f>
        <v>03</v>
      </c>
      <c r="V391" s="1" t="str">
        <f t="shared" ref="V391:V392" si="86">IF(ISBLANK(A391),"",TEXT(C391,"YYYY"))</f>
        <v>2024</v>
      </c>
      <c r="W391" s="18" t="str">
        <f t="shared" ref="W391:W392" si="87">IF(ISBLANK(A391),"",TEXT(WEEKDAY(C391,1),"dddd"))</f>
        <v>星期一</v>
      </c>
    </row>
    <row r="392" spans="1:23">
      <c r="A392" s="17" t="s">
        <v>6</v>
      </c>
      <c r="B392" s="1" t="s">
        <v>348</v>
      </c>
      <c r="C392" s="9">
        <v>45355</v>
      </c>
      <c r="D392" s="1" t="s">
        <v>364</v>
      </c>
      <c r="E392" s="1" t="s">
        <v>114</v>
      </c>
      <c r="F392" s="1" t="s">
        <v>346</v>
      </c>
      <c r="H392" s="1" t="s">
        <v>347</v>
      </c>
      <c r="I392" s="1">
        <v>399.96</v>
      </c>
      <c r="J392" s="27">
        <v>1</v>
      </c>
      <c r="M392" s="25">
        <f t="shared" si="52"/>
        <v>399.96</v>
      </c>
      <c r="N392" s="17">
        <f t="shared" si="35"/>
        <v>-399.96</v>
      </c>
      <c r="O392" s="34">
        <f>IF(ISBLANK(A392),"",SUMIFS(I$3:I392,D$3:D392,D392,H$3:H392,"Buy")+SUMIFS(I$3:I392,D$3:D392,D392,H$3:H392,"Cash Deposit")+SUMIFS(I$3:I392,D$3:D392,D392,H$3:H392,"Crypto Deposit")+SUMIFS(I$3:I392,D$3:D392,D392,H$3:H392,"Airdrop/Rewards")-SUMIFS(I$3:I392,D$3:D392,D392,H$3:H392,"Sell"))</f>
        <v>6349.6081550803865</v>
      </c>
      <c r="P392" s="2" cm="1">
        <f t="array" ref="P392">IF(ISBLANK(A392),"",IFERROR(IF(OR(H392="Sell",F392="Stable Coin"),INDEX(_xlfn._xlws.FILTER(P$2:P391, D$2:D391=D392),COUNT(_xlfn._xlws.FILTER(P$2:P391, D$2:D391=D392))),(INDEX(_xlfn._xlws.FILTER(P$2:P391, D$2:D391=D392),COUNT(_xlfn._xlws.FILTER(P$2:P391, D$2:D391=D392)))*INDEX(_xlfn._xlws.FILTER(O$2:O391, D$2:D391=D392),COUNT(_xlfn._xlws.FILTER(O$2:O391, D$2:D391=D392)))-N392) / O392), J392))</f>
        <v>1</v>
      </c>
      <c r="Q392" s="1" t="str">
        <f t="shared" si="83"/>
        <v>USD</v>
      </c>
      <c r="R392" s="1" cm="1">
        <f t="array" ref="R392">IF(A392="", "",
    IFERROR(
        _xlfn.SWITCH(
            TRUE,
            AND(Q392="USD", $Q$2="USD"), K392,
            AND(Q392="USD", $Q$2="GBP"), K392*$Z$3,
            AND(Q392="USD", $Q$2="HKD"), K392*$Z$4,
            AND(Q392="USD", $Q$2="EUR"), K392*$Z$5,
            AND(Q392="GBP", $Q$2="GBP"), K392,
            AND(Q392="GBP", $Q$2="USD"), K392*$Z$6,
            AND(Q392="GBP", $Q$2="HKD"), K392*$Z$7,
            AND(Q392="HKG", $Q$2="HKG"), K392,
            AND(Q392="HKD", $Q$2="USD"), K392*$Z$9,
            AND(Q392="HKD", $Q$2="GBP"), K392*$Z$10,
            AND(Q392="HKD", $Q$2="EUR"), K392*$Z$11,
            AND(Q392="EUR", $Q$2="EUR"), K392,
            AND(Q392="EUR", $Q$2="USD"), K392*$Z$12,
            AND(Q392="EUR", $Q$2="GBP"), K392*$Z$13,
            AND(Q392="EUR", $Q$2="HKD"), K392*$Z$14,
        ),
        0
    )
)</f>
        <v>0</v>
      </c>
      <c r="S392" s="1" cm="1">
        <f t="array" ref="S392">IF(A392="", "",
    IFERROR(
        _xlfn.SWITCH(
            TRUE,
            AND(Q392="USD", $Q$2="USD"), M392,
            AND(Q392="USD", $Q$2="GBP"), M392*$Z$3,
            AND(Q392="USD", $Q$2="HKD"), M392*$Z$4,
            AND(Q392="USD", $Q$2="EUR"), M392*$Z$5,
            AND(Q392="GBP", $Q$2="GBP"), M392,
            AND(Q392="GBP", $Q$2="USD"), M392*$Z$6,
            AND(Q392="GBP", $Q$2="HKD"), M392*$Z$7,
            AND(Q392="GBP", $Q$2="HKD"), M392*$Z$8,
            AND(Q392="HKG", $Q$2="HKG"), M392,
            AND(Q392="HKD", $Q$2="USD"), M392*$Z$9,
            AND(Q392="HKD", $Q$2="GBP"), M392*$Z$10,
            AND(Q392="HKD", $Q$2="EUR"), M392*$Z$11,
            AND(Q392="EUR", $Q$2="EUR"), M392,
            AND(Q392="EUR", $Q$2="USD"), M392*$Z$12,
            AND(Q392="EUR", $Q$2="GBP"), M392*$Z$13,
            AND(Q392="EUR", $Q$2="HKD"), M392*$Z$14,
        ),
        0
    )
)</f>
        <v>399.96</v>
      </c>
      <c r="T392" s="1" t="str">
        <f t="shared" si="84"/>
        <v>4</v>
      </c>
      <c r="U392" s="8" t="str">
        <f t="shared" si="85"/>
        <v>03</v>
      </c>
      <c r="V392" s="1" t="str">
        <f t="shared" si="86"/>
        <v>2024</v>
      </c>
      <c r="W392" s="18" t="str">
        <f t="shared" si="87"/>
        <v>星期一</v>
      </c>
    </row>
    <row r="393" spans="1:23">
      <c r="A393" s="17" t="s">
        <v>6</v>
      </c>
      <c r="B393" s="1" t="s">
        <v>348</v>
      </c>
      <c r="C393" s="9">
        <v>45355</v>
      </c>
      <c r="D393" s="1" t="s">
        <v>47</v>
      </c>
      <c r="E393" s="1" t="s">
        <v>4</v>
      </c>
      <c r="F393" s="1" t="s">
        <v>349</v>
      </c>
      <c r="H393" s="1" t="s">
        <v>367</v>
      </c>
      <c r="I393" s="1">
        <v>7.3800000000000003E-3</v>
      </c>
      <c r="J393" s="27">
        <v>67700</v>
      </c>
      <c r="K393" s="1">
        <v>0.377</v>
      </c>
      <c r="M393" s="25">
        <f t="shared" si="52"/>
        <v>499.24900000000002</v>
      </c>
      <c r="N393" s="17">
        <f t="shared" si="35"/>
        <v>499.62600000000003</v>
      </c>
      <c r="O393" s="34">
        <f>IF(ISBLANK(A393),"",SUMIFS(I$3:I393,D$3:D393,D393,H$3:H393,"Buy")+SUMIFS(I$3:I393,D$3:D393,D393,H$3:H393,"Cash Deposit")+SUMIFS(I$3:I393,D$3:D393,D393,H$3:H393,"Crypto Deposit")+SUMIFS(I$3:I393,D$3:D393,D393,H$3:H393,"Airdrop/Rewards")-SUMIFS(I$3:I393,D$3:D393,D393,H$3:H393,"Sell"))</f>
        <v>0.26982523994681651</v>
      </c>
      <c r="P393" s="2" cm="1">
        <f t="array" ref="P393">IF(ISBLANK(A393),"",IFERROR(IF(OR(H393="Sell",F393="Stable Coin"),INDEX(_xlfn._xlws.FILTER(P$2:P392, D$2:D392=D393),COUNT(_xlfn._xlws.FILTER(P$2:P392, D$2:D392=D393))),(INDEX(_xlfn._xlws.FILTER(P$2:P392, D$2:D392=D393),COUNT(_xlfn._xlws.FILTER(P$2:P392, D$2:D392=D393)))*INDEX(_xlfn._xlws.FILTER(O$2:O392, D$2:D392=D393),COUNT(_xlfn._xlws.FILTER(O$2:O392, D$2:D392=D393)))-N393) / O393), J393))</f>
        <v>32216.561571265273</v>
      </c>
      <c r="Q393" s="1" t="str">
        <f t="shared" ref="Q393:Q396" si="88">B393</f>
        <v>USD</v>
      </c>
      <c r="R393" s="1" cm="1">
        <f t="array" ref="R393">IF(A393="", "",
    IFERROR(
        _xlfn.SWITCH(
            TRUE,
            AND(Q393="USD", $Q$2="USD"), K393,
            AND(Q393="USD", $Q$2="GBP"), K393*$Z$3,
            AND(Q393="USD", $Q$2="HKD"), K393*$Z$4,
            AND(Q393="USD", $Q$2="EUR"), K393*$Z$5,
            AND(Q393="GBP", $Q$2="GBP"), K393,
            AND(Q393="GBP", $Q$2="USD"), K393*$Z$6,
            AND(Q393="GBP", $Q$2="HKD"), K393*$Z$7,
            AND(Q393="HKG", $Q$2="HKG"), K393,
            AND(Q393="HKD", $Q$2="USD"), K393*$Z$9,
            AND(Q393="HKD", $Q$2="GBP"), K393*$Z$10,
            AND(Q393="HKD", $Q$2="EUR"), K393*$Z$11,
            AND(Q393="EUR", $Q$2="EUR"), K393,
            AND(Q393="EUR", $Q$2="USD"), K393*$Z$12,
            AND(Q393="EUR", $Q$2="GBP"), K393*$Z$13,
            AND(Q393="EUR", $Q$2="HKD"), K393*$Z$14,
        ),
        0
    )
)</f>
        <v>0.377</v>
      </c>
      <c r="S393" s="1" cm="1">
        <f t="array" ref="S393">IF(A393="", "",
    IFERROR(
        _xlfn.SWITCH(
            TRUE,
            AND(Q393="USD", $Q$2="USD"), M393,
            AND(Q393="USD", $Q$2="GBP"), M393*$Z$3,
            AND(Q393="USD", $Q$2="HKD"), M393*$Z$4,
            AND(Q393="USD", $Q$2="EUR"), M393*$Z$5,
            AND(Q393="GBP", $Q$2="GBP"), M393,
            AND(Q393="GBP", $Q$2="USD"), M393*$Z$6,
            AND(Q393="GBP", $Q$2="HKD"), M393*$Z$7,
            AND(Q393="GBP", $Q$2="HKD"), M393*$Z$8,
            AND(Q393="HKG", $Q$2="HKG"), M393,
            AND(Q393="HKD", $Q$2="USD"), M393*$Z$9,
            AND(Q393="HKD", $Q$2="GBP"), M393*$Z$10,
            AND(Q393="HKD", $Q$2="EUR"), M393*$Z$11,
            AND(Q393="EUR", $Q$2="EUR"), M393,
            AND(Q393="EUR", $Q$2="USD"), M393*$Z$12,
            AND(Q393="EUR", $Q$2="GBP"), M393*$Z$13,
            AND(Q393="EUR", $Q$2="HKD"), M393*$Z$14,
        ),
        0
    )
)</f>
        <v>499.24900000000002</v>
      </c>
      <c r="T393" s="1" t="str">
        <f t="shared" ref="T393:T396" si="89">IF(ISBLANK(A393),"",TEXT(C393,"D"))</f>
        <v>4</v>
      </c>
      <c r="U393" s="8" t="str">
        <f t="shared" ref="U393:U396" si="90">IF(ISBLANK(A393),"",TEXT(C393,"MM"))</f>
        <v>03</v>
      </c>
      <c r="V393" s="1" t="str">
        <f t="shared" ref="V393:V396" si="91">IF(ISBLANK(A393),"",TEXT(C393,"YYYY"))</f>
        <v>2024</v>
      </c>
      <c r="W393" s="18" t="str">
        <f t="shared" ref="W393:W396" si="92">IF(ISBLANK(A393),"",TEXT(WEEKDAY(C393,1),"dddd"))</f>
        <v>星期一</v>
      </c>
    </row>
    <row r="394" spans="1:23">
      <c r="A394" s="17" t="s">
        <v>6</v>
      </c>
      <c r="B394" s="1" t="s">
        <v>348</v>
      </c>
      <c r="C394" s="9">
        <v>45355</v>
      </c>
      <c r="D394" s="1" t="s">
        <v>364</v>
      </c>
      <c r="E394" s="1" t="s">
        <v>114</v>
      </c>
      <c r="F394" s="1" t="s">
        <v>346</v>
      </c>
      <c r="H394" s="1" t="s">
        <v>347</v>
      </c>
      <c r="I394" s="1">
        <v>499.62599999999998</v>
      </c>
      <c r="J394" s="27">
        <v>1</v>
      </c>
      <c r="M394" s="25">
        <f t="shared" si="52"/>
        <v>499.62599999999998</v>
      </c>
      <c r="N394" s="17">
        <f t="shared" si="35"/>
        <v>-499.62599999999998</v>
      </c>
      <c r="O394" s="34">
        <f>IF(ISBLANK(A394),"",SUMIFS(I$3:I394,D$3:D394,D394,H$3:H394,"Buy")+SUMIFS(I$3:I394,D$3:D394,D394,H$3:H394,"Cash Deposit")+SUMIFS(I$3:I394,D$3:D394,D394,H$3:H394,"Crypto Deposit")+SUMIFS(I$3:I394,D$3:D394,D394,H$3:H394,"Airdrop/Rewards")-SUMIFS(I$3:I394,D$3:D394,D394,H$3:H394,"Sell"))</f>
        <v>6849.2341550803831</v>
      </c>
      <c r="P394" s="2" cm="1">
        <f t="array" ref="P394">IF(ISBLANK(A394),"",IFERROR(IF(OR(H394="Sell",F394="Stable Coin"),INDEX(_xlfn._xlws.FILTER(P$2:P393, D$2:D393=D394),COUNT(_xlfn._xlws.FILTER(P$2:P393, D$2:D393=D394))),(INDEX(_xlfn._xlws.FILTER(P$2:P393, D$2:D393=D394),COUNT(_xlfn._xlws.FILTER(P$2:P393, D$2:D393=D394)))*INDEX(_xlfn._xlws.FILTER(O$2:O393, D$2:D393=D394),COUNT(_xlfn._xlws.FILTER(O$2:O393, D$2:D393=D394)))-N394) / O394), J394))</f>
        <v>1</v>
      </c>
      <c r="Q394" s="1" t="str">
        <f t="shared" si="88"/>
        <v>USD</v>
      </c>
      <c r="R394" s="1" cm="1">
        <f t="array" ref="R394">IF(A394="", "",
    IFERROR(
        _xlfn.SWITCH(
            TRUE,
            AND(Q394="USD", $Q$2="USD"), K394,
            AND(Q394="USD", $Q$2="GBP"), K394*$Z$3,
            AND(Q394="USD", $Q$2="HKD"), K394*$Z$4,
            AND(Q394="USD", $Q$2="EUR"), K394*$Z$5,
            AND(Q394="GBP", $Q$2="GBP"), K394,
            AND(Q394="GBP", $Q$2="USD"), K394*$Z$6,
            AND(Q394="GBP", $Q$2="HKD"), K394*$Z$7,
            AND(Q394="HKG", $Q$2="HKG"), K394,
            AND(Q394="HKD", $Q$2="USD"), K394*$Z$9,
            AND(Q394="HKD", $Q$2="GBP"), K394*$Z$10,
            AND(Q394="HKD", $Q$2="EUR"), K394*$Z$11,
            AND(Q394="EUR", $Q$2="EUR"), K394,
            AND(Q394="EUR", $Q$2="USD"), K394*$Z$12,
            AND(Q394="EUR", $Q$2="GBP"), K394*$Z$13,
            AND(Q394="EUR", $Q$2="HKD"), K394*$Z$14,
        ),
        0
    )
)</f>
        <v>0</v>
      </c>
      <c r="S394" s="1" cm="1">
        <f t="array" ref="S394">IF(A394="", "",
    IFERROR(
        _xlfn.SWITCH(
            TRUE,
            AND(Q394="USD", $Q$2="USD"), M394,
            AND(Q394="USD", $Q$2="GBP"), M394*$Z$3,
            AND(Q394="USD", $Q$2="HKD"), M394*$Z$4,
            AND(Q394="USD", $Q$2="EUR"), M394*$Z$5,
            AND(Q394="GBP", $Q$2="GBP"), M394,
            AND(Q394="GBP", $Q$2="USD"), M394*$Z$6,
            AND(Q394="GBP", $Q$2="HKD"), M394*$Z$7,
            AND(Q394="GBP", $Q$2="HKD"), M394*$Z$8,
            AND(Q394="HKG", $Q$2="HKG"), M394,
            AND(Q394="HKD", $Q$2="USD"), M394*$Z$9,
            AND(Q394="HKD", $Q$2="GBP"), M394*$Z$10,
            AND(Q394="HKD", $Q$2="EUR"), M394*$Z$11,
            AND(Q394="EUR", $Q$2="EUR"), M394,
            AND(Q394="EUR", $Q$2="USD"), M394*$Z$12,
            AND(Q394="EUR", $Q$2="GBP"), M394*$Z$13,
            AND(Q394="EUR", $Q$2="HKD"), M394*$Z$14,
        ),
        0
    )
)</f>
        <v>499.62599999999998</v>
      </c>
      <c r="T394" s="1" t="str">
        <f t="shared" si="89"/>
        <v>4</v>
      </c>
      <c r="U394" s="8" t="str">
        <f t="shared" si="90"/>
        <v>03</v>
      </c>
      <c r="V394" s="1" t="str">
        <f t="shared" si="91"/>
        <v>2024</v>
      </c>
      <c r="W394" s="18" t="str">
        <f t="shared" si="92"/>
        <v>星期一</v>
      </c>
    </row>
    <row r="395" spans="1:23">
      <c r="A395" s="17" t="s">
        <v>6</v>
      </c>
      <c r="B395" s="1" t="s">
        <v>348</v>
      </c>
      <c r="C395" s="9">
        <v>45356</v>
      </c>
      <c r="D395" s="1" t="s">
        <v>47</v>
      </c>
      <c r="E395" s="1" t="s">
        <v>4</v>
      </c>
      <c r="F395" s="1" t="s">
        <v>349</v>
      </c>
      <c r="H395" s="1" t="s">
        <v>367</v>
      </c>
      <c r="I395" s="1">
        <v>7.4999999999999997E-3</v>
      </c>
      <c r="J395" s="27">
        <v>66660</v>
      </c>
      <c r="K395" s="1">
        <v>0.375</v>
      </c>
      <c r="M395" s="25">
        <f t="shared" si="52"/>
        <v>499.57499999999999</v>
      </c>
      <c r="N395" s="17">
        <f t="shared" si="35"/>
        <v>499.95</v>
      </c>
      <c r="O395" s="34">
        <f>IF(ISBLANK(A395),"",SUMIFS(I$3:I395,D$3:D395,D395,H$3:H395,"Buy")+SUMIFS(I$3:I395,D$3:D395,D395,H$3:H395,"Cash Deposit")+SUMIFS(I$3:I395,D$3:D395,D395,H$3:H395,"Crypto Deposit")+SUMIFS(I$3:I395,D$3:D395,D395,H$3:H395,"Airdrop/Rewards")-SUMIFS(I$3:I395,D$3:D395,D395,H$3:H395,"Sell"))</f>
        <v>0.26232523994681656</v>
      </c>
      <c r="P395" s="2" cm="1">
        <f t="array" ref="P395">IF(ISBLANK(A395),"",IFERROR(IF(OR(H395="Sell",F395="Stable Coin"),INDEX(_xlfn._xlws.FILTER(P$2:P394, D$2:D394=D395),COUNT(_xlfn._xlws.FILTER(P$2:P394, D$2:D394=D395))),(INDEX(_xlfn._xlws.FILTER(P$2:P394, D$2:D394=D395),COUNT(_xlfn._xlws.FILTER(P$2:P394, D$2:D394=D395)))*INDEX(_xlfn._xlws.FILTER(O$2:O394, D$2:D394=D395),COUNT(_xlfn._xlws.FILTER(O$2:O394, D$2:D394=D395)))-N395) / O395), J395))</f>
        <v>32216.561571265273</v>
      </c>
      <c r="Q395" s="1" t="str">
        <f t="shared" si="88"/>
        <v>USD</v>
      </c>
      <c r="R395" s="1" cm="1">
        <f t="array" ref="R395">IF(A395="", "",
    IFERROR(
        _xlfn.SWITCH(
            TRUE,
            AND(Q395="USD", $Q$2="USD"), K395,
            AND(Q395="USD", $Q$2="GBP"), K395*$Z$3,
            AND(Q395="USD", $Q$2="HKD"), K395*$Z$4,
            AND(Q395="USD", $Q$2="EUR"), K395*$Z$5,
            AND(Q395="GBP", $Q$2="GBP"), K395,
            AND(Q395="GBP", $Q$2="USD"), K395*$Z$6,
            AND(Q395="GBP", $Q$2="HKD"), K395*$Z$7,
            AND(Q395="HKG", $Q$2="HKG"), K395,
            AND(Q395="HKD", $Q$2="USD"), K395*$Z$9,
            AND(Q395="HKD", $Q$2="GBP"), K395*$Z$10,
            AND(Q395="HKD", $Q$2="EUR"), K395*$Z$11,
            AND(Q395="EUR", $Q$2="EUR"), K395,
            AND(Q395="EUR", $Q$2="USD"), K395*$Z$12,
            AND(Q395="EUR", $Q$2="GBP"), K395*$Z$13,
            AND(Q395="EUR", $Q$2="HKD"), K395*$Z$14,
        ),
        0
    )
)</f>
        <v>0.375</v>
      </c>
      <c r="S395" s="1" cm="1">
        <f t="array" ref="S395">IF(A395="", "",
    IFERROR(
        _xlfn.SWITCH(
            TRUE,
            AND(Q395="USD", $Q$2="USD"), M395,
            AND(Q395="USD", $Q$2="GBP"), M395*$Z$3,
            AND(Q395="USD", $Q$2="HKD"), M395*$Z$4,
            AND(Q395="USD", $Q$2="EUR"), M395*$Z$5,
            AND(Q395="GBP", $Q$2="GBP"), M395,
            AND(Q395="GBP", $Q$2="USD"), M395*$Z$6,
            AND(Q395="GBP", $Q$2="HKD"), M395*$Z$7,
            AND(Q395="GBP", $Q$2="HKD"), M395*$Z$8,
            AND(Q395="HKG", $Q$2="HKG"), M395,
            AND(Q395="HKD", $Q$2="USD"), M395*$Z$9,
            AND(Q395="HKD", $Q$2="GBP"), M395*$Z$10,
            AND(Q395="HKD", $Q$2="EUR"), M395*$Z$11,
            AND(Q395="EUR", $Q$2="EUR"), M395,
            AND(Q395="EUR", $Q$2="USD"), M395*$Z$12,
            AND(Q395="EUR", $Q$2="GBP"), M395*$Z$13,
            AND(Q395="EUR", $Q$2="HKD"), M395*$Z$14,
        ),
        0
    )
)</f>
        <v>499.57499999999999</v>
      </c>
      <c r="T395" s="1" t="str">
        <f t="shared" si="89"/>
        <v>5</v>
      </c>
      <c r="U395" s="8" t="str">
        <f t="shared" si="90"/>
        <v>03</v>
      </c>
      <c r="V395" s="1" t="str">
        <f t="shared" si="91"/>
        <v>2024</v>
      </c>
      <c r="W395" s="18" t="str">
        <f t="shared" si="92"/>
        <v>星期二</v>
      </c>
    </row>
    <row r="396" spans="1:23">
      <c r="A396" s="17" t="s">
        <v>6</v>
      </c>
      <c r="B396" s="1" t="s">
        <v>348</v>
      </c>
      <c r="C396" s="9">
        <v>45356</v>
      </c>
      <c r="D396" s="1" t="s">
        <v>364</v>
      </c>
      <c r="E396" s="1" t="s">
        <v>114</v>
      </c>
      <c r="F396" s="1" t="s">
        <v>346</v>
      </c>
      <c r="H396" s="1" t="s">
        <v>347</v>
      </c>
      <c r="I396" s="1">
        <v>499.95</v>
      </c>
      <c r="J396" s="27">
        <v>1</v>
      </c>
      <c r="M396" s="25">
        <f t="shared" si="52"/>
        <v>499.95</v>
      </c>
      <c r="N396" s="17">
        <f t="shared" si="35"/>
        <v>-499.95</v>
      </c>
      <c r="O396" s="34">
        <f>IF(ISBLANK(A396),"",SUMIFS(I$3:I396,D$3:D396,D396,H$3:H396,"Buy")+SUMIFS(I$3:I396,D$3:D396,D396,H$3:H396,"Cash Deposit")+SUMIFS(I$3:I396,D$3:D396,D396,H$3:H396,"Crypto Deposit")+SUMIFS(I$3:I396,D$3:D396,D396,H$3:H396,"Airdrop/Rewards")-SUMIFS(I$3:I396,D$3:D396,D396,H$3:H396,"Sell"))</f>
        <v>7349.1841550803874</v>
      </c>
      <c r="P396" s="2" cm="1">
        <f t="array" ref="P396">IF(ISBLANK(A396),"",IFERROR(IF(OR(H396="Sell",F396="Stable Coin"),INDEX(_xlfn._xlws.FILTER(P$2:P395, D$2:D395=D396),COUNT(_xlfn._xlws.FILTER(P$2:P395, D$2:D395=D396))),(INDEX(_xlfn._xlws.FILTER(P$2:P395, D$2:D395=D396),COUNT(_xlfn._xlws.FILTER(P$2:P395, D$2:D395=D396)))*INDEX(_xlfn._xlws.FILTER(O$2:O395, D$2:D395=D396),COUNT(_xlfn._xlws.FILTER(O$2:O395, D$2:D395=D396)))-N396) / O396), J396))</f>
        <v>1</v>
      </c>
      <c r="Q396" s="1" t="str">
        <f t="shared" si="88"/>
        <v>USD</v>
      </c>
      <c r="R396" s="1" cm="1">
        <f t="array" ref="R396">IF(A396="", "",
    IFERROR(
        _xlfn.SWITCH(
            TRUE,
            AND(Q396="USD", $Q$2="USD"), K396,
            AND(Q396="USD", $Q$2="GBP"), K396*$Z$3,
            AND(Q396="USD", $Q$2="HKD"), K396*$Z$4,
            AND(Q396="USD", $Q$2="EUR"), K396*$Z$5,
            AND(Q396="GBP", $Q$2="GBP"), K396,
            AND(Q396="GBP", $Q$2="USD"), K396*$Z$6,
            AND(Q396="GBP", $Q$2="HKD"), K396*$Z$7,
            AND(Q396="HKG", $Q$2="HKG"), K396,
            AND(Q396="HKD", $Q$2="USD"), K396*$Z$9,
            AND(Q396="HKD", $Q$2="GBP"), K396*$Z$10,
            AND(Q396="HKD", $Q$2="EUR"), K396*$Z$11,
            AND(Q396="EUR", $Q$2="EUR"), K396,
            AND(Q396="EUR", $Q$2="USD"), K396*$Z$12,
            AND(Q396="EUR", $Q$2="GBP"), K396*$Z$13,
            AND(Q396="EUR", $Q$2="HKD"), K396*$Z$14,
        ),
        0
    )
)</f>
        <v>0</v>
      </c>
      <c r="S396" s="1" cm="1">
        <f t="array" ref="S396">IF(A396="", "",
    IFERROR(
        _xlfn.SWITCH(
            TRUE,
            AND(Q396="USD", $Q$2="USD"), M396,
            AND(Q396="USD", $Q$2="GBP"), M396*$Z$3,
            AND(Q396="USD", $Q$2="HKD"), M396*$Z$4,
            AND(Q396="USD", $Q$2="EUR"), M396*$Z$5,
            AND(Q396="GBP", $Q$2="GBP"), M396,
            AND(Q396="GBP", $Q$2="USD"), M396*$Z$6,
            AND(Q396="GBP", $Q$2="HKD"), M396*$Z$7,
            AND(Q396="GBP", $Q$2="HKD"), M396*$Z$8,
            AND(Q396="HKG", $Q$2="HKG"), M396,
            AND(Q396="HKD", $Q$2="USD"), M396*$Z$9,
            AND(Q396="HKD", $Q$2="GBP"), M396*$Z$10,
            AND(Q396="HKD", $Q$2="EUR"), M396*$Z$11,
            AND(Q396="EUR", $Q$2="EUR"), M396,
            AND(Q396="EUR", $Q$2="USD"), M396*$Z$12,
            AND(Q396="EUR", $Q$2="GBP"), M396*$Z$13,
            AND(Q396="EUR", $Q$2="HKD"), M396*$Z$14,
        ),
        0
    )
)</f>
        <v>499.95</v>
      </c>
      <c r="T396" s="1" t="str">
        <f t="shared" si="89"/>
        <v>5</v>
      </c>
      <c r="U396" s="8" t="str">
        <f t="shared" si="90"/>
        <v>03</v>
      </c>
      <c r="V396" s="1" t="str">
        <f t="shared" si="91"/>
        <v>2024</v>
      </c>
      <c r="W396" s="18" t="str">
        <f t="shared" si="92"/>
        <v>星期二</v>
      </c>
    </row>
    <row r="397" spans="1:23">
      <c r="A397" s="17" t="s">
        <v>59</v>
      </c>
      <c r="B397" s="1" t="s">
        <v>348</v>
      </c>
      <c r="C397" s="9">
        <v>45356</v>
      </c>
      <c r="D397" s="1" t="s">
        <v>10</v>
      </c>
      <c r="E397" s="1" t="s">
        <v>10</v>
      </c>
      <c r="F397" s="1" t="s">
        <v>349</v>
      </c>
      <c r="H397" s="1" t="s">
        <v>359</v>
      </c>
      <c r="I397" s="1">
        <v>0.14699999999999999</v>
      </c>
      <c r="J397" s="27">
        <v>418</v>
      </c>
      <c r="K397" s="1">
        <v>0.34</v>
      </c>
      <c r="M397" s="25">
        <f t="shared" si="52"/>
        <v>61.445999999999998</v>
      </c>
      <c r="N397" s="17">
        <f t="shared" si="35"/>
        <v>0</v>
      </c>
      <c r="O397" s="34">
        <f>IF(ISBLANK(A397),"",SUMIFS(I$3:I397,D$3:D397,D397,H$3:H397,"Buy")+SUMIFS(I$3:I397,D$3:D397,D397,H$3:H397,"Cash Deposit")+SUMIFS(I$3:I397,D$3:D397,D397,H$3:H397,"Crypto Deposit")+SUMIFS(I$3:I397,D$3:D397,D397,H$3:H397,"Airdrop/Rewards")-SUMIFS(I$3:I397,D$3:D397,D397,H$3:H397,"Sell"))</f>
        <v>10.579829999999999</v>
      </c>
      <c r="P397" s="2" cm="1">
        <f t="array" ref="P397">IF(ISBLANK(A397),"",IFERROR(IF(OR(H397="Sell",F397="Stable Coin"),INDEX(_xlfn._xlws.FILTER(P$2:P396, D$2:D396=D397),COUNT(_xlfn._xlws.FILTER(P$2:P396, D$2:D396=D397))),(INDEX(_xlfn._xlws.FILTER(P$2:P396, D$2:D396=D397),COUNT(_xlfn._xlws.FILTER(P$2:P396, D$2:D396=D397)))*INDEX(_xlfn._xlws.FILTER(O$2:O396, D$2:D396=D397),COUNT(_xlfn._xlws.FILTER(O$2:O396, D$2:D396=D397)))-N397) / O397), J397))</f>
        <v>335.58218827712722</v>
      </c>
      <c r="Q397" s="1" t="str">
        <f t="shared" ref="Q397:Q400" si="93">B397</f>
        <v>USD</v>
      </c>
      <c r="R397" s="1" cm="1">
        <f t="array" ref="R397">IF(A397="", "",
    IFERROR(
        _xlfn.SWITCH(
            TRUE,
            AND(Q397="USD", $Q$2="USD"), K397,
            AND(Q397="USD", $Q$2="GBP"), K397*$Z$3,
            AND(Q397="USD", $Q$2="HKD"), K397*$Z$4,
            AND(Q397="USD", $Q$2="EUR"), K397*$Z$5,
            AND(Q397="GBP", $Q$2="GBP"), K397,
            AND(Q397="GBP", $Q$2="USD"), K397*$Z$6,
            AND(Q397="GBP", $Q$2="HKD"), K397*$Z$7,
            AND(Q397="HKG", $Q$2="HKG"), K397,
            AND(Q397="HKD", $Q$2="USD"), K397*$Z$9,
            AND(Q397="HKD", $Q$2="GBP"), K397*$Z$10,
            AND(Q397="HKD", $Q$2="EUR"), K397*$Z$11,
            AND(Q397="EUR", $Q$2="EUR"), K397,
            AND(Q397="EUR", $Q$2="USD"), K397*$Z$12,
            AND(Q397="EUR", $Q$2="GBP"), K397*$Z$13,
            AND(Q397="EUR", $Q$2="HKD"), K397*$Z$14,
        ),
        0
    )
)</f>
        <v>0.34</v>
      </c>
      <c r="S397" s="1" cm="1">
        <f t="array" ref="S397">IF(A397="", "",
    IFERROR(
        _xlfn.SWITCH(
            TRUE,
            AND(Q397="USD", $Q$2="USD"), M397,
            AND(Q397="USD", $Q$2="GBP"), M397*$Z$3,
            AND(Q397="USD", $Q$2="HKD"), M397*$Z$4,
            AND(Q397="USD", $Q$2="EUR"), M397*$Z$5,
            AND(Q397="GBP", $Q$2="GBP"), M397,
            AND(Q397="GBP", $Q$2="USD"), M397*$Z$6,
            AND(Q397="GBP", $Q$2="HKD"), M397*$Z$7,
            AND(Q397="GBP", $Q$2="HKD"), M397*$Z$8,
            AND(Q397="HKG", $Q$2="HKG"), M397,
            AND(Q397="HKD", $Q$2="USD"), M397*$Z$9,
            AND(Q397="HKD", $Q$2="GBP"), M397*$Z$10,
            AND(Q397="HKD", $Q$2="EUR"), M397*$Z$11,
            AND(Q397="EUR", $Q$2="EUR"), M397,
            AND(Q397="EUR", $Q$2="USD"), M397*$Z$12,
            AND(Q397="EUR", $Q$2="GBP"), M397*$Z$13,
            AND(Q397="EUR", $Q$2="HKD"), M397*$Z$14,
        ),
        0
    )
)</f>
        <v>61.445999999999998</v>
      </c>
      <c r="T397" s="1" t="str">
        <f t="shared" ref="T397:T400" si="94">IF(ISBLANK(A397),"",TEXT(C397,"D"))</f>
        <v>5</v>
      </c>
      <c r="U397" s="8" t="str">
        <f t="shared" ref="U397:U400" si="95">IF(ISBLANK(A397),"",TEXT(C397,"MM"))</f>
        <v>03</v>
      </c>
      <c r="V397" s="1" t="str">
        <f t="shared" ref="V397:V400" si="96">IF(ISBLANK(A397),"",TEXT(C397,"YYYY"))</f>
        <v>2024</v>
      </c>
      <c r="W397" s="18" t="str">
        <f t="shared" ref="W397:W400" si="97">IF(ISBLANK(A397),"",TEXT(WEEKDAY(C397,1),"dddd"))</f>
        <v>星期二</v>
      </c>
    </row>
    <row r="398" spans="1:23">
      <c r="A398" s="17" t="s">
        <v>6</v>
      </c>
      <c r="B398" s="1" t="s">
        <v>348</v>
      </c>
      <c r="C398" s="9">
        <v>45356</v>
      </c>
      <c r="D398" s="1" t="s">
        <v>364</v>
      </c>
      <c r="E398" s="1" t="s">
        <v>114</v>
      </c>
      <c r="F398" s="1" t="s">
        <v>346</v>
      </c>
      <c r="H398" s="1" t="s">
        <v>490</v>
      </c>
      <c r="I398" s="1">
        <v>1000</v>
      </c>
      <c r="J398" s="27">
        <v>1</v>
      </c>
      <c r="K398" s="1">
        <v>1</v>
      </c>
      <c r="M398" s="25">
        <f t="shared" si="52"/>
        <v>1000</v>
      </c>
      <c r="N398" s="17">
        <f t="shared" si="35"/>
        <v>0</v>
      </c>
      <c r="O398" s="34">
        <f>IF(ISBLANK(A398),"",SUMIFS(I$3:I398,D$3:D398,D398,H$3:H398,"Buy")+SUMIFS(I$3:I398,D$3:D398,D398,H$3:H398,"Cash Deposit")+SUMIFS(I$3:I398,D$3:D398,D398,H$3:H398,"Crypto Deposit")+SUMIFS(I$3:I398,D$3:D398,D398,H$3:H398,"Airdrop/Rewards")-SUMIFS(I$3:I398,D$3:D398,D398,H$3:H398,"Sell"))</f>
        <v>7349.1841550803874</v>
      </c>
      <c r="P398" s="2" cm="1">
        <f t="array" ref="P398">IF(ISBLANK(A398),"",IFERROR(IF(OR(H398="Sell",F398="Stable Coin"),INDEX(_xlfn._xlws.FILTER(P$2:P397, D$2:D397=D398),COUNT(_xlfn._xlws.FILTER(P$2:P397, D$2:D397=D398))),(INDEX(_xlfn._xlws.FILTER(P$2:P397, D$2:D397=D398),COUNT(_xlfn._xlws.FILTER(P$2:P397, D$2:D397=D398)))*INDEX(_xlfn._xlws.FILTER(O$2:O397, D$2:D397=D398),COUNT(_xlfn._xlws.FILTER(O$2:O397, D$2:D397=D398)))-N398) / O398), J398))</f>
        <v>1</v>
      </c>
      <c r="Q398" s="1" t="str">
        <f t="shared" si="93"/>
        <v>USD</v>
      </c>
      <c r="R398" s="1" cm="1">
        <f t="array" ref="R398">IF(A398="", "",
    IFERROR(
        _xlfn.SWITCH(
            TRUE,
            AND(Q398="USD", $Q$2="USD"), K398,
            AND(Q398="USD", $Q$2="GBP"), K398*$Z$3,
            AND(Q398="USD", $Q$2="HKD"), K398*$Z$4,
            AND(Q398="USD", $Q$2="EUR"), K398*$Z$5,
            AND(Q398="GBP", $Q$2="GBP"), K398,
            AND(Q398="GBP", $Q$2="USD"), K398*$Z$6,
            AND(Q398="GBP", $Q$2="HKD"), K398*$Z$7,
            AND(Q398="HKG", $Q$2="HKG"), K398,
            AND(Q398="HKD", $Q$2="USD"), K398*$Z$9,
            AND(Q398="HKD", $Q$2="GBP"), K398*$Z$10,
            AND(Q398="HKD", $Q$2="EUR"), K398*$Z$11,
            AND(Q398="EUR", $Q$2="EUR"), K398,
            AND(Q398="EUR", $Q$2="USD"), K398*$Z$12,
            AND(Q398="EUR", $Q$2="GBP"), K398*$Z$13,
            AND(Q398="EUR", $Q$2="HKD"), K398*$Z$14,
        ),
        0
    )
)</f>
        <v>1</v>
      </c>
      <c r="S398" s="1" cm="1">
        <f t="array" ref="S398">IF(A398="", "",
    IFERROR(
        _xlfn.SWITCH(
            TRUE,
            AND(Q398="USD", $Q$2="USD"), M398,
            AND(Q398="USD", $Q$2="GBP"), M398*$Z$3,
            AND(Q398="USD", $Q$2="HKD"), M398*$Z$4,
            AND(Q398="USD", $Q$2="EUR"), M398*$Z$5,
            AND(Q398="GBP", $Q$2="GBP"), M398,
            AND(Q398="GBP", $Q$2="USD"), M398*$Z$6,
            AND(Q398="GBP", $Q$2="HKD"), M398*$Z$7,
            AND(Q398="GBP", $Q$2="HKD"), M398*$Z$8,
            AND(Q398="HKG", $Q$2="HKG"), M398,
            AND(Q398="HKD", $Q$2="USD"), M398*$Z$9,
            AND(Q398="HKD", $Q$2="GBP"), M398*$Z$10,
            AND(Q398="HKD", $Q$2="EUR"), M398*$Z$11,
            AND(Q398="EUR", $Q$2="EUR"), M398,
            AND(Q398="EUR", $Q$2="USD"), M398*$Z$12,
            AND(Q398="EUR", $Q$2="GBP"), M398*$Z$13,
            AND(Q398="EUR", $Q$2="HKD"), M398*$Z$14,
        ),
        0
    )
)</f>
        <v>1000</v>
      </c>
      <c r="T398" s="1" t="str">
        <f t="shared" si="94"/>
        <v>5</v>
      </c>
      <c r="U398" s="8" t="str">
        <f t="shared" si="95"/>
        <v>03</v>
      </c>
      <c r="V398" s="1" t="str">
        <f t="shared" si="96"/>
        <v>2024</v>
      </c>
      <c r="W398" s="18" t="str">
        <f t="shared" si="97"/>
        <v>星期二</v>
      </c>
    </row>
    <row r="399" spans="1:23">
      <c r="A399" s="17" t="s">
        <v>559</v>
      </c>
      <c r="B399" s="1" t="s">
        <v>348</v>
      </c>
      <c r="C399" s="9">
        <v>45356</v>
      </c>
      <c r="D399" s="1" t="s">
        <v>364</v>
      </c>
      <c r="E399" s="1" t="s">
        <v>114</v>
      </c>
      <c r="F399" s="1" t="s">
        <v>346</v>
      </c>
      <c r="H399" s="1" t="s">
        <v>491</v>
      </c>
      <c r="I399" s="1">
        <v>1000</v>
      </c>
      <c r="J399" s="27">
        <v>1</v>
      </c>
      <c r="M399" s="25">
        <f t="shared" si="52"/>
        <v>1000</v>
      </c>
      <c r="N399" s="17">
        <f t="shared" si="35"/>
        <v>0</v>
      </c>
      <c r="O399" s="34">
        <f>IF(ISBLANK(A399),"",SUMIFS(I$3:I399,D$3:D399,D399,H$3:H399,"Buy")+SUMIFS(I$3:I399,D$3:D399,D399,H$3:H399,"Cash Deposit")+SUMIFS(I$3:I399,D$3:D399,D399,H$3:H399,"Crypto Deposit")+SUMIFS(I$3:I399,D$3:D399,D399,H$3:H399,"Airdrop/Rewards")-SUMIFS(I$3:I399,D$3:D399,D399,H$3:H399,"Sell"))</f>
        <v>7349.1841550803874</v>
      </c>
      <c r="P399" s="2" cm="1">
        <f t="array" ref="P399">IF(ISBLANK(A399),"",IFERROR(IF(OR(H399="Sell",F399="Stable Coin"),INDEX(_xlfn._xlws.FILTER(P$2:P398, D$2:D398=D399),COUNT(_xlfn._xlws.FILTER(P$2:P398, D$2:D398=D399))),(INDEX(_xlfn._xlws.FILTER(P$2:P398, D$2:D398=D399),COUNT(_xlfn._xlws.FILTER(P$2:P398, D$2:D398=D399)))*INDEX(_xlfn._xlws.FILTER(O$2:O398, D$2:D398=D399),COUNT(_xlfn._xlws.FILTER(O$2:O398, D$2:D398=D399)))-N399) / O399), J399))</f>
        <v>1</v>
      </c>
      <c r="Q399" s="1" t="str">
        <f t="shared" si="93"/>
        <v>USD</v>
      </c>
      <c r="R399" s="1" cm="1">
        <f t="array" ref="R399">IF(A399="", "",
    IFERROR(
        _xlfn.SWITCH(
            TRUE,
            AND(Q399="USD", $Q$2="USD"), K399,
            AND(Q399="USD", $Q$2="GBP"), K399*$Z$3,
            AND(Q399="USD", $Q$2="HKD"), K399*$Z$4,
            AND(Q399="USD", $Q$2="EUR"), K399*$Z$5,
            AND(Q399="GBP", $Q$2="GBP"), K399,
            AND(Q399="GBP", $Q$2="USD"), K399*$Z$6,
            AND(Q399="GBP", $Q$2="HKD"), K399*$Z$7,
            AND(Q399="HKG", $Q$2="HKG"), K399,
            AND(Q399="HKD", $Q$2="USD"), K399*$Z$9,
            AND(Q399="HKD", $Q$2="GBP"), K399*$Z$10,
            AND(Q399="HKD", $Q$2="EUR"), K399*$Z$11,
            AND(Q399="EUR", $Q$2="EUR"), K399,
            AND(Q399="EUR", $Q$2="USD"), K399*$Z$12,
            AND(Q399="EUR", $Q$2="GBP"), K399*$Z$13,
            AND(Q399="EUR", $Q$2="HKD"), K399*$Z$14,
        ),
        0
    )
)</f>
        <v>0</v>
      </c>
      <c r="S399" s="1" cm="1">
        <f t="array" ref="S399">IF(A399="", "",
    IFERROR(
        _xlfn.SWITCH(
            TRUE,
            AND(Q399="USD", $Q$2="USD"), M399,
            AND(Q399="USD", $Q$2="GBP"), M399*$Z$3,
            AND(Q399="USD", $Q$2="HKD"), M399*$Z$4,
            AND(Q399="USD", $Q$2="EUR"), M399*$Z$5,
            AND(Q399="GBP", $Q$2="GBP"), M399,
            AND(Q399="GBP", $Q$2="USD"), M399*$Z$6,
            AND(Q399="GBP", $Q$2="HKD"), M399*$Z$7,
            AND(Q399="GBP", $Q$2="HKD"), M399*$Z$8,
            AND(Q399="HKG", $Q$2="HKG"), M399,
            AND(Q399="HKD", $Q$2="USD"), M399*$Z$9,
            AND(Q399="HKD", $Q$2="GBP"), M399*$Z$10,
            AND(Q399="HKD", $Q$2="EUR"), M399*$Z$11,
            AND(Q399="EUR", $Q$2="EUR"), M399,
            AND(Q399="EUR", $Q$2="USD"), M399*$Z$12,
            AND(Q399="EUR", $Q$2="GBP"), M399*$Z$13,
            AND(Q399="EUR", $Q$2="HKD"), M399*$Z$14,
        ),
        0
    )
)</f>
        <v>1000</v>
      </c>
      <c r="T399" s="1" t="str">
        <f t="shared" si="94"/>
        <v>5</v>
      </c>
      <c r="U399" s="8" t="str">
        <f t="shared" si="95"/>
        <v>03</v>
      </c>
      <c r="V399" s="1" t="str">
        <f t="shared" si="96"/>
        <v>2024</v>
      </c>
      <c r="W399" s="18" t="str">
        <f t="shared" si="97"/>
        <v>星期二</v>
      </c>
    </row>
    <row r="400" spans="1:23">
      <c r="A400" s="17" t="s">
        <v>399</v>
      </c>
      <c r="B400" s="1" t="s">
        <v>348</v>
      </c>
      <c r="C400" s="9">
        <v>45356</v>
      </c>
      <c r="D400" s="1" t="e" vm="17">
        <v>#VALUE!</v>
      </c>
      <c r="E400" s="1" t="s">
        <v>32</v>
      </c>
      <c r="F400" s="1" t="s">
        <v>401</v>
      </c>
      <c r="H400" s="1" t="s">
        <v>367</v>
      </c>
      <c r="I400" s="1">
        <v>10</v>
      </c>
      <c r="J400" s="27">
        <v>238</v>
      </c>
      <c r="K400" s="1">
        <v>2</v>
      </c>
      <c r="M400" s="25">
        <f t="shared" si="52"/>
        <v>2378</v>
      </c>
      <c r="N400" s="17">
        <f t="shared" si="35"/>
        <v>2380</v>
      </c>
      <c r="O400" s="34">
        <f>IF(ISBLANK(A400),"",SUMIFS(I$3:I400,D$3:D400,D400,H$3:H400,"Buy")+SUMIFS(I$3:I400,D$3:D400,D400,H$3:H400,"Cash Deposit")+SUMIFS(I$3:I400,D$3:D400,D400,H$3:H400,"Crypto Deposit")+SUMIFS(I$3:I400,D$3:D400,D400,H$3:H400,"Airdrop/Rewards")-SUMIFS(I$3:I400,D$3:D400,D400,H$3:H400,"Sell"))</f>
        <v>68</v>
      </c>
      <c r="P400" s="2" cm="1">
        <f t="array" ref="P400">IF(ISBLANK(A400),"",IFERROR(IF(OR(H400="Sell",F400="Stable Coin"),INDEX(_xlfn._xlws.FILTER(P$2:P399, D$2:D399=D400),COUNT(_xlfn._xlws.FILTER(P$2:P399, D$2:D399=D400))),(INDEX(_xlfn._xlws.FILTER(P$2:P399, D$2:D399=D400),COUNT(_xlfn._xlws.FILTER(P$2:P399, D$2:D399=D400)))*INDEX(_xlfn._xlws.FILTER(O$2:O399, D$2:D399=D400),COUNT(_xlfn._xlws.FILTER(O$2:O399, D$2:D399=D400)))-N400) / O400), J400))</f>
        <v>82.934843603411494</v>
      </c>
      <c r="Q400" s="1" t="str">
        <f t="shared" si="93"/>
        <v>USD</v>
      </c>
      <c r="R400" s="1" cm="1">
        <f t="array" ref="R400">IF(A400="", "",
    IFERROR(
        _xlfn.SWITCH(
            TRUE,
            AND(Q400="USD", $Q$2="USD"), K400,
            AND(Q400="USD", $Q$2="GBP"), K400*$Z$3,
            AND(Q400="USD", $Q$2="HKD"), K400*$Z$4,
            AND(Q400="USD", $Q$2="EUR"), K400*$Z$5,
            AND(Q400="GBP", $Q$2="GBP"), K400,
            AND(Q400="GBP", $Q$2="USD"), K400*$Z$6,
            AND(Q400="GBP", $Q$2="HKD"), K400*$Z$7,
            AND(Q400="HKG", $Q$2="HKG"), K400,
            AND(Q400="HKD", $Q$2="USD"), K400*$Z$9,
            AND(Q400="HKD", $Q$2="GBP"), K400*$Z$10,
            AND(Q400="HKD", $Q$2="EUR"), K400*$Z$11,
            AND(Q400="EUR", $Q$2="EUR"), K400,
            AND(Q400="EUR", $Q$2="USD"), K400*$Z$12,
            AND(Q400="EUR", $Q$2="GBP"), K400*$Z$13,
            AND(Q400="EUR", $Q$2="HKD"), K400*$Z$14,
        ),
        0
    )
)</f>
        <v>2</v>
      </c>
      <c r="S400" s="1" cm="1">
        <f t="array" ref="S400">IF(A400="", "",
    IFERROR(
        _xlfn.SWITCH(
            TRUE,
            AND(Q400="USD", $Q$2="USD"), M400,
            AND(Q400="USD", $Q$2="GBP"), M400*$Z$3,
            AND(Q400="USD", $Q$2="HKD"), M400*$Z$4,
            AND(Q400="USD", $Q$2="EUR"), M400*$Z$5,
            AND(Q400="GBP", $Q$2="GBP"), M400,
            AND(Q400="GBP", $Q$2="USD"), M400*$Z$6,
            AND(Q400="GBP", $Q$2="HKD"), M400*$Z$7,
            AND(Q400="GBP", $Q$2="HKD"), M400*$Z$8,
            AND(Q400="HKG", $Q$2="HKG"), M400,
            AND(Q400="HKD", $Q$2="USD"), M400*$Z$9,
            AND(Q400="HKD", $Q$2="GBP"), M400*$Z$10,
            AND(Q400="HKD", $Q$2="EUR"), M400*$Z$11,
            AND(Q400="EUR", $Q$2="EUR"), M400,
            AND(Q400="EUR", $Q$2="USD"), M400*$Z$12,
            AND(Q400="EUR", $Q$2="GBP"), M400*$Z$13,
            AND(Q400="EUR", $Q$2="HKD"), M400*$Z$14,
        ),
        0
    )
)</f>
        <v>2378</v>
      </c>
      <c r="T400" s="1" t="str">
        <f t="shared" si="94"/>
        <v>5</v>
      </c>
      <c r="U400" s="8" t="str">
        <f t="shared" si="95"/>
        <v>03</v>
      </c>
      <c r="V400" s="1" t="str">
        <f t="shared" si="96"/>
        <v>2024</v>
      </c>
      <c r="W400" s="18" t="str">
        <f t="shared" si="97"/>
        <v>星期二</v>
      </c>
    </row>
    <row r="401" spans="1:23">
      <c r="A401" s="17" t="s">
        <v>6</v>
      </c>
      <c r="B401" s="1" t="s">
        <v>348</v>
      </c>
      <c r="C401" s="9">
        <v>45356</v>
      </c>
      <c r="D401" s="1" t="s">
        <v>47</v>
      </c>
      <c r="E401" s="1" t="s">
        <v>4</v>
      </c>
      <c r="F401" s="1" t="s">
        <v>349</v>
      </c>
      <c r="H401" s="1" t="s">
        <v>367</v>
      </c>
      <c r="I401" s="1">
        <v>7.3400000000000002E-3</v>
      </c>
      <c r="J401" s="27">
        <v>68100</v>
      </c>
      <c r="K401" s="1">
        <v>0.374</v>
      </c>
      <c r="M401" s="25">
        <f t="shared" si="52"/>
        <v>499.47999999999996</v>
      </c>
      <c r="N401" s="17">
        <f t="shared" si="35"/>
        <v>499.85399999999998</v>
      </c>
      <c r="O401" s="34">
        <f>IF(ISBLANK(A401),"",SUMIFS(I$3:I401,D$3:D401,D401,H$3:H401,"Buy")+SUMIFS(I$3:I401,D$3:D401,D401,H$3:H401,"Cash Deposit")+SUMIFS(I$3:I401,D$3:D401,D401,H$3:H401,"Crypto Deposit")+SUMIFS(I$3:I401,D$3:D401,D401,H$3:H401,"Airdrop/Rewards")-SUMIFS(I$3:I401,D$3:D401,D401,H$3:H401,"Sell"))</f>
        <v>0.25498523994681654</v>
      </c>
      <c r="P401" s="2" cm="1">
        <f t="array" ref="P401">IF(ISBLANK(A401),"",IFERROR(IF(OR(H401="Sell",F401="Stable Coin"),INDEX(_xlfn._xlws.FILTER(P$2:P400, D$2:D400=D401),COUNT(_xlfn._xlws.FILTER(P$2:P400, D$2:D400=D401))),(INDEX(_xlfn._xlws.FILTER(P$2:P400, D$2:D400=D401),COUNT(_xlfn._xlws.FILTER(P$2:P400, D$2:D400=D401)))*INDEX(_xlfn._xlws.FILTER(O$2:O400, D$2:D400=D401),COUNT(_xlfn._xlws.FILTER(O$2:O400, D$2:D400=D401)))-N401) / O401), J401))</f>
        <v>32216.561571265273</v>
      </c>
      <c r="Q401" s="1" t="str">
        <f t="shared" ref="Q401:Q422" si="98">B401</f>
        <v>USD</v>
      </c>
      <c r="R401" s="1" cm="1">
        <f t="array" ref="R401">IF(A401="", "",
    IFERROR(
        _xlfn.SWITCH(
            TRUE,
            AND(Q401="USD", $Q$2="USD"), K401,
            AND(Q401="USD", $Q$2="GBP"), K401*$Z$3,
            AND(Q401="USD", $Q$2="HKD"), K401*$Z$4,
            AND(Q401="USD", $Q$2="EUR"), K401*$Z$5,
            AND(Q401="GBP", $Q$2="GBP"), K401,
            AND(Q401="GBP", $Q$2="USD"), K401*$Z$6,
            AND(Q401="GBP", $Q$2="HKD"), K401*$Z$7,
            AND(Q401="HKG", $Q$2="HKG"), K401,
            AND(Q401="HKD", $Q$2="USD"), K401*$Z$9,
            AND(Q401="HKD", $Q$2="GBP"), K401*$Z$10,
            AND(Q401="HKD", $Q$2="EUR"), K401*$Z$11,
            AND(Q401="EUR", $Q$2="EUR"), K401,
            AND(Q401="EUR", $Q$2="USD"), K401*$Z$12,
            AND(Q401="EUR", $Q$2="GBP"), K401*$Z$13,
            AND(Q401="EUR", $Q$2="HKD"), K401*$Z$14,
        ),
        0
    )
)</f>
        <v>0.374</v>
      </c>
      <c r="S401" s="1" cm="1">
        <f t="array" ref="S401">IF(A401="", "",
    IFERROR(
        _xlfn.SWITCH(
            TRUE,
            AND(Q401="USD", $Q$2="USD"), M401,
            AND(Q401="USD", $Q$2="GBP"), M401*$Z$3,
            AND(Q401="USD", $Q$2="HKD"), M401*$Z$4,
            AND(Q401="USD", $Q$2="EUR"), M401*$Z$5,
            AND(Q401="GBP", $Q$2="GBP"), M401,
            AND(Q401="GBP", $Q$2="USD"), M401*$Z$6,
            AND(Q401="GBP", $Q$2="HKD"), M401*$Z$7,
            AND(Q401="GBP", $Q$2="HKD"), M401*$Z$8,
            AND(Q401="HKG", $Q$2="HKG"), M401,
            AND(Q401="HKD", $Q$2="USD"), M401*$Z$9,
            AND(Q401="HKD", $Q$2="GBP"), M401*$Z$10,
            AND(Q401="HKD", $Q$2="EUR"), M401*$Z$11,
            AND(Q401="EUR", $Q$2="EUR"), M401,
            AND(Q401="EUR", $Q$2="USD"), M401*$Z$12,
            AND(Q401="EUR", $Q$2="GBP"), M401*$Z$13,
            AND(Q401="EUR", $Q$2="HKD"), M401*$Z$14,
        ),
        0
    )
)</f>
        <v>499.47999999999996</v>
      </c>
      <c r="T401" s="1" t="str">
        <f t="shared" ref="T401:T422" si="99">IF(ISBLANK(A401),"",TEXT(C401,"D"))</f>
        <v>5</v>
      </c>
      <c r="U401" s="8" t="str">
        <f t="shared" ref="U401:U422" si="100">IF(ISBLANK(A401),"",TEXT(C401,"MM"))</f>
        <v>03</v>
      </c>
      <c r="V401" s="1" t="str">
        <f t="shared" ref="V401:V422" si="101">IF(ISBLANK(A401),"",TEXT(C401,"YYYY"))</f>
        <v>2024</v>
      </c>
      <c r="W401" s="18" t="str">
        <f t="shared" ref="W401:W422" si="102">IF(ISBLANK(A401),"",TEXT(WEEKDAY(C401,1),"dddd"))</f>
        <v>星期二</v>
      </c>
    </row>
    <row r="402" spans="1:23">
      <c r="A402" s="17" t="s">
        <v>6</v>
      </c>
      <c r="B402" s="1" t="s">
        <v>348</v>
      </c>
      <c r="C402" s="9">
        <v>45356</v>
      </c>
      <c r="D402" s="1" t="s">
        <v>364</v>
      </c>
      <c r="E402" s="1" t="s">
        <v>114</v>
      </c>
      <c r="F402" s="1" t="s">
        <v>346</v>
      </c>
      <c r="H402" s="1" t="s">
        <v>347</v>
      </c>
      <c r="I402" s="1">
        <v>499.85399999999998</v>
      </c>
      <c r="J402" s="27">
        <v>1</v>
      </c>
      <c r="M402" s="25">
        <f t="shared" si="52"/>
        <v>499.85399999999998</v>
      </c>
      <c r="N402" s="17">
        <f t="shared" si="35"/>
        <v>-499.85399999999998</v>
      </c>
      <c r="O402" s="34">
        <f>IF(ISBLANK(A402),"",SUMIFS(I$3:I402,D$3:D402,D402,H$3:H402,"Buy")+SUMIFS(I$3:I402,D$3:D402,D402,H$3:H402,"Cash Deposit")+SUMIFS(I$3:I402,D$3:D402,D402,H$3:H402,"Crypto Deposit")+SUMIFS(I$3:I402,D$3:D402,D402,H$3:H402,"Airdrop/Rewards")-SUMIFS(I$3:I402,D$3:D402,D402,H$3:H402,"Sell"))</f>
        <v>7849.0381550803868</v>
      </c>
      <c r="P402" s="2" cm="1">
        <f t="array" ref="P402">IF(ISBLANK(A402),"",IFERROR(IF(OR(H402="Sell",F402="Stable Coin"),INDEX(_xlfn._xlws.FILTER(P$2:P401, D$2:D401=D402),COUNT(_xlfn._xlws.FILTER(P$2:P401, D$2:D401=D402))),(INDEX(_xlfn._xlws.FILTER(P$2:P401, D$2:D401=D402),COUNT(_xlfn._xlws.FILTER(P$2:P401, D$2:D401=D402)))*INDEX(_xlfn._xlws.FILTER(O$2:O401, D$2:D401=D402),COUNT(_xlfn._xlws.FILTER(O$2:O401, D$2:D401=D402)))-N402) / O402), J402))</f>
        <v>1</v>
      </c>
      <c r="Q402" s="1" t="str">
        <f t="shared" si="98"/>
        <v>USD</v>
      </c>
      <c r="R402" s="1" cm="1">
        <f t="array" ref="R402">IF(A402="", "",
    IFERROR(
        _xlfn.SWITCH(
            TRUE,
            AND(Q402="USD", $Q$2="USD"), K402,
            AND(Q402="USD", $Q$2="GBP"), K402*$Z$3,
            AND(Q402="USD", $Q$2="HKD"), K402*$Z$4,
            AND(Q402="USD", $Q$2="EUR"), K402*$Z$5,
            AND(Q402="GBP", $Q$2="GBP"), K402,
            AND(Q402="GBP", $Q$2="USD"), K402*$Z$6,
            AND(Q402="GBP", $Q$2="HKD"), K402*$Z$7,
            AND(Q402="HKG", $Q$2="HKG"), K402,
            AND(Q402="HKD", $Q$2="USD"), K402*$Z$9,
            AND(Q402="HKD", $Q$2="GBP"), K402*$Z$10,
            AND(Q402="HKD", $Q$2="EUR"), K402*$Z$11,
            AND(Q402="EUR", $Q$2="EUR"), K402,
            AND(Q402="EUR", $Q$2="USD"), K402*$Z$12,
            AND(Q402="EUR", $Q$2="GBP"), K402*$Z$13,
            AND(Q402="EUR", $Q$2="HKD"), K402*$Z$14,
        ),
        0
    )
)</f>
        <v>0</v>
      </c>
      <c r="S402" s="1" cm="1">
        <f t="array" ref="S402">IF(A402="", "",
    IFERROR(
        _xlfn.SWITCH(
            TRUE,
            AND(Q402="USD", $Q$2="USD"), M402,
            AND(Q402="USD", $Q$2="GBP"), M402*$Z$3,
            AND(Q402="USD", $Q$2="HKD"), M402*$Z$4,
            AND(Q402="USD", $Q$2="EUR"), M402*$Z$5,
            AND(Q402="GBP", $Q$2="GBP"), M402,
            AND(Q402="GBP", $Q$2="USD"), M402*$Z$6,
            AND(Q402="GBP", $Q$2="HKD"), M402*$Z$7,
            AND(Q402="GBP", $Q$2="HKD"), M402*$Z$8,
            AND(Q402="HKG", $Q$2="HKG"), M402,
            AND(Q402="HKD", $Q$2="USD"), M402*$Z$9,
            AND(Q402="HKD", $Q$2="GBP"), M402*$Z$10,
            AND(Q402="HKD", $Q$2="EUR"), M402*$Z$11,
            AND(Q402="EUR", $Q$2="EUR"), M402,
            AND(Q402="EUR", $Q$2="USD"), M402*$Z$12,
            AND(Q402="EUR", $Q$2="GBP"), M402*$Z$13,
            AND(Q402="EUR", $Q$2="HKD"), M402*$Z$14,
        ),
        0
    )
)</f>
        <v>499.85399999999998</v>
      </c>
      <c r="T402" s="1" t="str">
        <f t="shared" si="99"/>
        <v>5</v>
      </c>
      <c r="U402" s="8" t="str">
        <f t="shared" si="100"/>
        <v>03</v>
      </c>
      <c r="V402" s="1" t="str">
        <f t="shared" si="101"/>
        <v>2024</v>
      </c>
      <c r="W402" s="18" t="str">
        <f t="shared" si="102"/>
        <v>星期二</v>
      </c>
    </row>
    <row r="403" spans="1:23">
      <c r="A403" s="17" t="s">
        <v>59</v>
      </c>
      <c r="B403" s="1" t="s">
        <v>348</v>
      </c>
      <c r="C403" s="9">
        <v>45356</v>
      </c>
      <c r="D403" s="1" t="s">
        <v>55</v>
      </c>
      <c r="E403" s="1" t="s">
        <v>31</v>
      </c>
      <c r="F403" s="1" t="s">
        <v>349</v>
      </c>
      <c r="H403" s="1" t="s">
        <v>359</v>
      </c>
      <c r="I403" s="1">
        <v>253.11636999999999</v>
      </c>
      <c r="J403" s="27">
        <v>0.66600000000000004</v>
      </c>
      <c r="K403" s="1">
        <v>0.05</v>
      </c>
      <c r="M403" s="25">
        <f t="shared" si="52"/>
        <v>168.57550241999999</v>
      </c>
      <c r="N403" s="17">
        <f t="shared" si="35"/>
        <v>0</v>
      </c>
      <c r="O403" s="34">
        <f>IF(ISBLANK(A403),"",SUMIFS(I$3:I403,D$3:D403,D403,H$3:H403,"Buy")+SUMIFS(I$3:I403,D$3:D403,D403,H$3:H403,"Cash Deposit")+SUMIFS(I$3:I403,D$3:D403,D403,H$3:H403,"Crypto Deposit")+SUMIFS(I$3:I403,D$3:D403,D403,H$3:H403,"Airdrop/Rewards")-SUMIFS(I$3:I403,D$3:D403,D403,H$3:H403,"Sell"))</f>
        <v>4374.3263699999998</v>
      </c>
      <c r="P403" s="2" cm="1">
        <f t="array" ref="P403">IF(ISBLANK(A403),"",IFERROR(IF(OR(H403="Sell",F403="Stable Coin"),INDEX(_xlfn._xlws.FILTER(P$2:P402, D$2:D402=D403),COUNT(_xlfn._xlws.FILTER(P$2:P402, D$2:D402=D403))),(INDEX(_xlfn._xlws.FILTER(P$2:P402, D$2:D402=D403),COUNT(_xlfn._xlws.FILTER(P$2:P402, D$2:D402=D403)))*INDEX(_xlfn._xlws.FILTER(O$2:O402, D$2:D402=D403),COUNT(_xlfn._xlws.FILTER(O$2:O402, D$2:D402=D403)))-N403) / O403), J403))</f>
        <v>0.39379549083741522</v>
      </c>
      <c r="Q403" s="1" t="str">
        <f t="shared" si="98"/>
        <v>USD</v>
      </c>
      <c r="R403" s="1" cm="1">
        <f t="array" ref="R403">IF(A403="", "",
    IFERROR(
        _xlfn.SWITCH(
            TRUE,
            AND(Q403="USD", $Q$2="USD"), K403,
            AND(Q403="USD", $Q$2="GBP"), K403*$Z$3,
            AND(Q403="USD", $Q$2="HKD"), K403*$Z$4,
            AND(Q403="USD", $Q$2="EUR"), K403*$Z$5,
            AND(Q403="GBP", $Q$2="GBP"), K403,
            AND(Q403="GBP", $Q$2="USD"), K403*$Z$6,
            AND(Q403="GBP", $Q$2="HKD"), K403*$Z$7,
            AND(Q403="HKG", $Q$2="HKG"), K403,
            AND(Q403="HKD", $Q$2="USD"), K403*$Z$9,
            AND(Q403="HKD", $Q$2="GBP"), K403*$Z$10,
            AND(Q403="HKD", $Q$2="EUR"), K403*$Z$11,
            AND(Q403="EUR", $Q$2="EUR"), K403,
            AND(Q403="EUR", $Q$2="USD"), K403*$Z$12,
            AND(Q403="EUR", $Q$2="GBP"), K403*$Z$13,
            AND(Q403="EUR", $Q$2="HKD"), K403*$Z$14,
        ),
        0
    )
)</f>
        <v>0.05</v>
      </c>
      <c r="S403" s="1" cm="1">
        <f t="array" ref="S403">IF(A403="", "",
    IFERROR(
        _xlfn.SWITCH(
            TRUE,
            AND(Q403="USD", $Q$2="USD"), M403,
            AND(Q403="USD", $Q$2="GBP"), M403*$Z$3,
            AND(Q403="USD", $Q$2="HKD"), M403*$Z$4,
            AND(Q403="USD", $Q$2="EUR"), M403*$Z$5,
            AND(Q403="GBP", $Q$2="GBP"), M403,
            AND(Q403="GBP", $Q$2="USD"), M403*$Z$6,
            AND(Q403="GBP", $Q$2="HKD"), M403*$Z$7,
            AND(Q403="GBP", $Q$2="HKD"), M403*$Z$8,
            AND(Q403="HKG", $Q$2="HKG"), M403,
            AND(Q403="HKD", $Q$2="USD"), M403*$Z$9,
            AND(Q403="HKD", $Q$2="GBP"), M403*$Z$10,
            AND(Q403="HKD", $Q$2="EUR"), M403*$Z$11,
            AND(Q403="EUR", $Q$2="EUR"), M403,
            AND(Q403="EUR", $Q$2="USD"), M403*$Z$12,
            AND(Q403="EUR", $Q$2="GBP"), M403*$Z$13,
            AND(Q403="EUR", $Q$2="HKD"), M403*$Z$14,
        ),
        0
    )
)</f>
        <v>168.57550241999999</v>
      </c>
      <c r="T403" s="1" t="str">
        <f t="shared" si="99"/>
        <v>5</v>
      </c>
      <c r="U403" s="8" t="str">
        <f t="shared" si="100"/>
        <v>03</v>
      </c>
      <c r="V403" s="1" t="str">
        <f t="shared" si="101"/>
        <v>2024</v>
      </c>
      <c r="W403" s="18" t="str">
        <f t="shared" si="102"/>
        <v>星期二</v>
      </c>
    </row>
    <row r="404" spans="1:23">
      <c r="A404" s="17" t="s">
        <v>59</v>
      </c>
      <c r="B404" s="1" t="s">
        <v>348</v>
      </c>
      <c r="C404" s="9">
        <v>45357</v>
      </c>
      <c r="D404" s="1" t="s">
        <v>55</v>
      </c>
      <c r="E404" s="1" t="s">
        <v>31</v>
      </c>
      <c r="F404" s="1" t="s">
        <v>349</v>
      </c>
      <c r="H404" s="1" t="s">
        <v>367</v>
      </c>
      <c r="I404" s="1">
        <v>253.1164</v>
      </c>
      <c r="J404" s="27">
        <v>0.72860944608883504</v>
      </c>
      <c r="K404" s="1">
        <v>0.32</v>
      </c>
      <c r="M404" s="25">
        <f t="shared" si="52"/>
        <v>184.10300000000001</v>
      </c>
      <c r="N404" s="17">
        <f t="shared" si="35"/>
        <v>184.423</v>
      </c>
      <c r="O404" s="34">
        <f>IF(ISBLANK(A404),"",SUMIFS(I$3:I404,D$3:D404,D404,H$3:H404,"Buy")+SUMIFS(I$3:I404,D$3:D404,D404,H$3:H404,"Cash Deposit")+SUMIFS(I$3:I404,D$3:D404,D404,H$3:H404,"Crypto Deposit")+SUMIFS(I$3:I404,D$3:D404,D404,H$3:H404,"Airdrop/Rewards")-SUMIFS(I$3:I404,D$3:D404,D404,H$3:H404,"Sell"))</f>
        <v>4121.2099699999999</v>
      </c>
      <c r="P404" s="2" cm="1">
        <f t="array" ref="P404">IF(ISBLANK(A404),"",IFERROR(IF(OR(H404="Sell",F404="Stable Coin"),INDEX(_xlfn._xlws.FILTER(P$2:P403, D$2:D403=D404),COUNT(_xlfn._xlws.FILTER(P$2:P403, D$2:D403=D404))),(INDEX(_xlfn._xlws.FILTER(P$2:P403, D$2:D403=D404),COUNT(_xlfn._xlws.FILTER(P$2:P403, D$2:D403=D404)))*INDEX(_xlfn._xlws.FILTER(O$2:O403, D$2:D403=D404),COUNT(_xlfn._xlws.FILTER(O$2:O403, D$2:D403=D404)))-N404) / O404), J404))</f>
        <v>0.39379549083741522</v>
      </c>
      <c r="Q404" s="1" t="str">
        <f t="shared" si="98"/>
        <v>USD</v>
      </c>
      <c r="R404" s="1" cm="1">
        <f t="array" ref="R404">IF(A404="", "",
    IFERROR(
        _xlfn.SWITCH(
            TRUE,
            AND(Q404="USD", $Q$2="USD"), K404,
            AND(Q404="USD", $Q$2="GBP"), K404*$Z$3,
            AND(Q404="USD", $Q$2="HKD"), K404*$Z$4,
            AND(Q404="USD", $Q$2="EUR"), K404*$Z$5,
            AND(Q404="GBP", $Q$2="GBP"), K404,
            AND(Q404="GBP", $Q$2="USD"), K404*$Z$6,
            AND(Q404="GBP", $Q$2="HKD"), K404*$Z$7,
            AND(Q404="HKG", $Q$2="HKG"), K404,
            AND(Q404="HKD", $Q$2="USD"), K404*$Z$9,
            AND(Q404="HKD", $Q$2="GBP"), K404*$Z$10,
            AND(Q404="HKD", $Q$2="EUR"), K404*$Z$11,
            AND(Q404="EUR", $Q$2="EUR"), K404,
            AND(Q404="EUR", $Q$2="USD"), K404*$Z$12,
            AND(Q404="EUR", $Q$2="GBP"), K404*$Z$13,
            AND(Q404="EUR", $Q$2="HKD"), K404*$Z$14,
        ),
        0
    )
)</f>
        <v>0.32</v>
      </c>
      <c r="S404" s="1" cm="1">
        <f t="array" ref="S404">IF(A404="", "",
    IFERROR(
        _xlfn.SWITCH(
            TRUE,
            AND(Q404="USD", $Q$2="USD"), M404,
            AND(Q404="USD", $Q$2="GBP"), M404*$Z$3,
            AND(Q404="USD", $Q$2="HKD"), M404*$Z$4,
            AND(Q404="USD", $Q$2="EUR"), M404*$Z$5,
            AND(Q404="GBP", $Q$2="GBP"), M404,
            AND(Q404="GBP", $Q$2="USD"), M404*$Z$6,
            AND(Q404="GBP", $Q$2="HKD"), M404*$Z$7,
            AND(Q404="GBP", $Q$2="HKD"), M404*$Z$8,
            AND(Q404="HKG", $Q$2="HKG"), M404,
            AND(Q404="HKD", $Q$2="USD"), M404*$Z$9,
            AND(Q404="HKD", $Q$2="GBP"), M404*$Z$10,
            AND(Q404="HKD", $Q$2="EUR"), M404*$Z$11,
            AND(Q404="EUR", $Q$2="EUR"), M404,
            AND(Q404="EUR", $Q$2="USD"), M404*$Z$12,
            AND(Q404="EUR", $Q$2="GBP"), M404*$Z$13,
            AND(Q404="EUR", $Q$2="HKD"), M404*$Z$14,
        ),
        0
    )
)</f>
        <v>184.10300000000001</v>
      </c>
      <c r="T404" s="1" t="str">
        <f t="shared" si="99"/>
        <v>6</v>
      </c>
      <c r="U404" s="8" t="str">
        <f t="shared" si="100"/>
        <v>03</v>
      </c>
      <c r="V404" s="1" t="str">
        <f t="shared" si="101"/>
        <v>2024</v>
      </c>
      <c r="W404" s="18" t="str">
        <f t="shared" si="102"/>
        <v>星期三</v>
      </c>
    </row>
    <row r="405" spans="1:23">
      <c r="A405" s="17" t="s">
        <v>59</v>
      </c>
      <c r="B405" s="1" t="s">
        <v>348</v>
      </c>
      <c r="C405" s="9">
        <v>45357</v>
      </c>
      <c r="D405" s="1" t="s">
        <v>364</v>
      </c>
      <c r="E405" s="1" t="s">
        <v>114</v>
      </c>
      <c r="F405" s="1" t="s">
        <v>346</v>
      </c>
      <c r="H405" s="1" t="s">
        <v>347</v>
      </c>
      <c r="I405" s="1">
        <v>184.423</v>
      </c>
      <c r="J405" s="27">
        <v>1</v>
      </c>
      <c r="M405" s="25">
        <f t="shared" si="52"/>
        <v>184.423</v>
      </c>
      <c r="N405" s="17">
        <f t="shared" si="35"/>
        <v>-184.423</v>
      </c>
      <c r="O405" s="34">
        <f>IF(ISBLANK(A405),"",SUMIFS(I$3:I405,D$3:D405,D405,H$3:H405,"Buy")+SUMIFS(I$3:I405,D$3:D405,D405,H$3:H405,"Cash Deposit")+SUMIFS(I$3:I405,D$3:D405,D405,H$3:H405,"Crypto Deposit")+SUMIFS(I$3:I405,D$3:D405,D405,H$3:H405,"Airdrop/Rewards")-SUMIFS(I$3:I405,D$3:D405,D405,H$3:H405,"Sell"))</f>
        <v>8033.4611550803893</v>
      </c>
      <c r="P405" s="2" cm="1">
        <f t="array" ref="P405">IF(ISBLANK(A405),"",IFERROR(IF(OR(H405="Sell",F405="Stable Coin"),INDEX(_xlfn._xlws.FILTER(P$2:P404, D$2:D404=D405),COUNT(_xlfn._xlws.FILTER(P$2:P404, D$2:D404=D405))),(INDEX(_xlfn._xlws.FILTER(P$2:P404, D$2:D404=D405),COUNT(_xlfn._xlws.FILTER(P$2:P404, D$2:D404=D405)))*INDEX(_xlfn._xlws.FILTER(O$2:O404, D$2:D404=D405),COUNT(_xlfn._xlws.FILTER(O$2:O404, D$2:D404=D405)))-N405) / O405), J405))</f>
        <v>1</v>
      </c>
      <c r="Q405" s="1" t="str">
        <f t="shared" si="98"/>
        <v>USD</v>
      </c>
      <c r="R405" s="1" cm="1">
        <f t="array" ref="R405">IF(A405="", "",
    IFERROR(
        _xlfn.SWITCH(
            TRUE,
            AND(Q405="USD", $Q$2="USD"), K405,
            AND(Q405="USD", $Q$2="GBP"), K405*$Z$3,
            AND(Q405="USD", $Q$2="HKD"), K405*$Z$4,
            AND(Q405="USD", $Q$2="EUR"), K405*$Z$5,
            AND(Q405="GBP", $Q$2="GBP"), K405,
            AND(Q405="GBP", $Q$2="USD"), K405*$Z$6,
            AND(Q405="GBP", $Q$2="HKD"), K405*$Z$7,
            AND(Q405="HKG", $Q$2="HKG"), K405,
            AND(Q405="HKD", $Q$2="USD"), K405*$Z$9,
            AND(Q405="HKD", $Q$2="GBP"), K405*$Z$10,
            AND(Q405="HKD", $Q$2="EUR"), K405*$Z$11,
            AND(Q405="EUR", $Q$2="EUR"), K405,
            AND(Q405="EUR", $Q$2="USD"), K405*$Z$12,
            AND(Q405="EUR", $Q$2="GBP"), K405*$Z$13,
            AND(Q405="EUR", $Q$2="HKD"), K405*$Z$14,
        ),
        0
    )
)</f>
        <v>0</v>
      </c>
      <c r="S405" s="1" cm="1">
        <f t="array" ref="S405">IF(A405="", "",
    IFERROR(
        _xlfn.SWITCH(
            TRUE,
            AND(Q405="USD", $Q$2="USD"), M405,
            AND(Q405="USD", $Q$2="GBP"), M405*$Z$3,
            AND(Q405="USD", $Q$2="HKD"), M405*$Z$4,
            AND(Q405="USD", $Q$2="EUR"), M405*$Z$5,
            AND(Q405="GBP", $Q$2="GBP"), M405,
            AND(Q405="GBP", $Q$2="USD"), M405*$Z$6,
            AND(Q405="GBP", $Q$2="HKD"), M405*$Z$7,
            AND(Q405="GBP", $Q$2="HKD"), M405*$Z$8,
            AND(Q405="HKG", $Q$2="HKG"), M405,
            AND(Q405="HKD", $Q$2="USD"), M405*$Z$9,
            AND(Q405="HKD", $Q$2="GBP"), M405*$Z$10,
            AND(Q405="HKD", $Q$2="EUR"), M405*$Z$11,
            AND(Q405="EUR", $Q$2="EUR"), M405,
            AND(Q405="EUR", $Q$2="USD"), M405*$Z$12,
            AND(Q405="EUR", $Q$2="GBP"), M405*$Z$13,
            AND(Q405="EUR", $Q$2="HKD"), M405*$Z$14,
        ),
        0
    )
)</f>
        <v>184.423</v>
      </c>
      <c r="T405" s="1" t="str">
        <f t="shared" si="99"/>
        <v>6</v>
      </c>
      <c r="U405" s="8" t="str">
        <f t="shared" si="100"/>
        <v>03</v>
      </c>
      <c r="V405" s="1" t="str">
        <f t="shared" si="101"/>
        <v>2024</v>
      </c>
      <c r="W405" s="18" t="str">
        <f t="shared" si="102"/>
        <v>星期三</v>
      </c>
    </row>
    <row r="406" spans="1:23">
      <c r="A406" s="17" t="s">
        <v>59</v>
      </c>
      <c r="B406" s="1" t="s">
        <v>348</v>
      </c>
      <c r="C406" s="9">
        <v>45357</v>
      </c>
      <c r="D406" s="1" t="s">
        <v>358</v>
      </c>
      <c r="E406" s="1" t="s">
        <v>66</v>
      </c>
      <c r="F406" s="1" t="s">
        <v>349</v>
      </c>
      <c r="H406" s="1" t="s">
        <v>359</v>
      </c>
      <c r="I406" s="1">
        <v>6.0620000000000003</v>
      </c>
      <c r="J406" s="27">
        <v>2.0099999999999998</v>
      </c>
      <c r="K406" s="1">
        <v>2.48</v>
      </c>
      <c r="M406" s="25">
        <f t="shared" si="52"/>
        <v>12.184619999999999</v>
      </c>
      <c r="N406" s="17">
        <f t="shared" si="35"/>
        <v>0</v>
      </c>
      <c r="O406" s="34">
        <f>IF(ISBLANK(A406),"",SUMIFS(I$3:I406,D$3:D406,D406,H$3:H406,"Buy")+SUMIFS(I$3:I406,D$3:D406,D406,H$3:H406,"Cash Deposit")+SUMIFS(I$3:I406,D$3:D406,D406,H$3:H406,"Crypto Deposit")+SUMIFS(I$3:I406,D$3:D406,D406,H$3:H406,"Airdrop/Rewards")-SUMIFS(I$3:I406,D$3:D406,D406,H$3:H406,"Sell"))</f>
        <v>40.487659999999998</v>
      </c>
      <c r="P406" s="2" cm="1">
        <f t="array" ref="P406">IF(ISBLANK(A406),"",IFERROR(IF(OR(H406="Sell",F406="Stable Coin"),INDEX(_xlfn._xlws.FILTER(P$2:P405, D$2:D405=D406),COUNT(_xlfn._xlws.FILTER(P$2:P405, D$2:D405=D406))),(INDEX(_xlfn._xlws.FILTER(P$2:P405, D$2:D405=D406),COUNT(_xlfn._xlws.FILTER(P$2:P405, D$2:D405=D406)))*INDEX(_xlfn._xlws.FILTER(O$2:O405, D$2:D405=D406),COUNT(_xlfn._xlws.FILTER(O$2:O405, D$2:D405=D406)))-N406) / O406), J406))</f>
        <v>1.3749078114171083</v>
      </c>
      <c r="Q406" s="1" t="str">
        <f t="shared" si="98"/>
        <v>USD</v>
      </c>
      <c r="R406" s="1" cm="1">
        <f t="array" ref="R406">IF(A406="", "",
    IFERROR(
        _xlfn.SWITCH(
            TRUE,
            AND(Q406="USD", $Q$2="USD"), K406,
            AND(Q406="USD", $Q$2="GBP"), K406*$Z$3,
            AND(Q406="USD", $Q$2="HKD"), K406*$Z$4,
            AND(Q406="USD", $Q$2="EUR"), K406*$Z$5,
            AND(Q406="GBP", $Q$2="GBP"), K406,
            AND(Q406="GBP", $Q$2="USD"), K406*$Z$6,
            AND(Q406="GBP", $Q$2="HKD"), K406*$Z$7,
            AND(Q406="HKG", $Q$2="HKG"), K406,
            AND(Q406="HKD", $Q$2="USD"), K406*$Z$9,
            AND(Q406="HKD", $Q$2="GBP"), K406*$Z$10,
            AND(Q406="HKD", $Q$2="EUR"), K406*$Z$11,
            AND(Q406="EUR", $Q$2="EUR"), K406,
            AND(Q406="EUR", $Q$2="USD"), K406*$Z$12,
            AND(Q406="EUR", $Q$2="GBP"), K406*$Z$13,
            AND(Q406="EUR", $Q$2="HKD"), K406*$Z$14,
        ),
        0
    )
)</f>
        <v>2.48</v>
      </c>
      <c r="S406" s="1" cm="1">
        <f t="array" ref="S406">IF(A406="", "",
    IFERROR(
        _xlfn.SWITCH(
            TRUE,
            AND(Q406="USD", $Q$2="USD"), M406,
            AND(Q406="USD", $Q$2="GBP"), M406*$Z$3,
            AND(Q406="USD", $Q$2="HKD"), M406*$Z$4,
            AND(Q406="USD", $Q$2="EUR"), M406*$Z$5,
            AND(Q406="GBP", $Q$2="GBP"), M406,
            AND(Q406="GBP", $Q$2="USD"), M406*$Z$6,
            AND(Q406="GBP", $Q$2="HKD"), M406*$Z$7,
            AND(Q406="GBP", $Q$2="HKD"), M406*$Z$8,
            AND(Q406="HKG", $Q$2="HKG"), M406,
            AND(Q406="HKD", $Q$2="USD"), M406*$Z$9,
            AND(Q406="HKD", $Q$2="GBP"), M406*$Z$10,
            AND(Q406="HKD", $Q$2="EUR"), M406*$Z$11,
            AND(Q406="EUR", $Q$2="EUR"), M406,
            AND(Q406="EUR", $Q$2="USD"), M406*$Z$12,
            AND(Q406="EUR", $Q$2="GBP"), M406*$Z$13,
            AND(Q406="EUR", $Q$2="HKD"), M406*$Z$14,
        ),
        0
    )
)</f>
        <v>12.184619999999999</v>
      </c>
      <c r="T406" s="1" t="str">
        <f t="shared" si="99"/>
        <v>6</v>
      </c>
      <c r="U406" s="8" t="str">
        <f t="shared" si="100"/>
        <v>03</v>
      </c>
      <c r="V406" s="1" t="str">
        <f t="shared" si="101"/>
        <v>2024</v>
      </c>
      <c r="W406" s="18" t="str">
        <f t="shared" si="102"/>
        <v>星期三</v>
      </c>
    </row>
    <row r="407" spans="1:23">
      <c r="A407" s="17" t="s">
        <v>6</v>
      </c>
      <c r="B407" s="1" t="s">
        <v>348</v>
      </c>
      <c r="C407" s="9">
        <v>45358</v>
      </c>
      <c r="D407" s="1" t="s">
        <v>364</v>
      </c>
      <c r="E407" s="1" t="s">
        <v>114</v>
      </c>
      <c r="F407" s="1" t="s">
        <v>346</v>
      </c>
      <c r="H407" s="1" t="s">
        <v>367</v>
      </c>
      <c r="I407" s="1">
        <v>220</v>
      </c>
      <c r="J407" s="27">
        <v>1</v>
      </c>
      <c r="M407" s="25">
        <f t="shared" si="52"/>
        <v>220</v>
      </c>
      <c r="N407" s="17">
        <f t="shared" si="35"/>
        <v>220</v>
      </c>
      <c r="O407" s="34">
        <f>IF(ISBLANK(A407),"",SUMIFS(I$3:I407,D$3:D407,D407,H$3:H407,"Buy")+SUMIFS(I$3:I407,D$3:D407,D407,H$3:H407,"Cash Deposit")+SUMIFS(I$3:I407,D$3:D407,D407,H$3:H407,"Crypto Deposit")+SUMIFS(I$3:I407,D$3:D407,D407,H$3:H407,"Airdrop/Rewards")-SUMIFS(I$3:I407,D$3:D407,D407,H$3:H407,"Sell"))</f>
        <v>7813.4611550803893</v>
      </c>
      <c r="P407" s="2" cm="1">
        <f t="array" ref="P407">IF(ISBLANK(A407),"",IFERROR(IF(OR(H407="Sell",F407="Stable Coin"),INDEX(_xlfn._xlws.FILTER(P$2:P406, D$2:D406=D407),COUNT(_xlfn._xlws.FILTER(P$2:P406, D$2:D406=D407))),(INDEX(_xlfn._xlws.FILTER(P$2:P406, D$2:D406=D407),COUNT(_xlfn._xlws.FILTER(P$2:P406, D$2:D406=D407)))*INDEX(_xlfn._xlws.FILTER(O$2:O406, D$2:D406=D407),COUNT(_xlfn._xlws.FILTER(O$2:O406, D$2:D406=D407)))-N407) / O407), J407))</f>
        <v>1</v>
      </c>
      <c r="Q407" s="1" t="str">
        <f t="shared" si="98"/>
        <v>USD</v>
      </c>
      <c r="R407" s="1" cm="1">
        <f t="array" ref="R407">IF(A407="", "",
    IFERROR(
        _xlfn.SWITCH(
            TRUE,
            AND(Q407="USD", $Q$2="USD"), K407,
            AND(Q407="USD", $Q$2="GBP"), K407*$Z$3,
            AND(Q407="USD", $Q$2="HKD"), K407*$Z$4,
            AND(Q407="USD", $Q$2="EUR"), K407*$Z$5,
            AND(Q407="GBP", $Q$2="GBP"), K407,
            AND(Q407="GBP", $Q$2="USD"), K407*$Z$6,
            AND(Q407="GBP", $Q$2="HKD"), K407*$Z$7,
            AND(Q407="HKG", $Q$2="HKG"), K407,
            AND(Q407="HKD", $Q$2="USD"), K407*$Z$9,
            AND(Q407="HKD", $Q$2="GBP"), K407*$Z$10,
            AND(Q407="HKD", $Q$2="EUR"), K407*$Z$11,
            AND(Q407="EUR", $Q$2="EUR"), K407,
            AND(Q407="EUR", $Q$2="USD"), K407*$Z$12,
            AND(Q407="EUR", $Q$2="GBP"), K407*$Z$13,
            AND(Q407="EUR", $Q$2="HKD"), K407*$Z$14,
        ),
        0
    )
)</f>
        <v>0</v>
      </c>
      <c r="S407" s="1" cm="1">
        <f t="array" ref="S407">IF(A407="", "",
    IFERROR(
        _xlfn.SWITCH(
            TRUE,
            AND(Q407="USD", $Q$2="USD"), M407,
            AND(Q407="USD", $Q$2="GBP"), M407*$Z$3,
            AND(Q407="USD", $Q$2="HKD"), M407*$Z$4,
            AND(Q407="USD", $Q$2="EUR"), M407*$Z$5,
            AND(Q407="GBP", $Q$2="GBP"), M407,
            AND(Q407="GBP", $Q$2="USD"), M407*$Z$6,
            AND(Q407="GBP", $Q$2="HKD"), M407*$Z$7,
            AND(Q407="GBP", $Q$2="HKD"), M407*$Z$8,
            AND(Q407="HKG", $Q$2="HKG"), M407,
            AND(Q407="HKD", $Q$2="USD"), M407*$Z$9,
            AND(Q407="HKD", $Q$2="GBP"), M407*$Z$10,
            AND(Q407="HKD", $Q$2="EUR"), M407*$Z$11,
            AND(Q407="EUR", $Q$2="EUR"), M407,
            AND(Q407="EUR", $Q$2="USD"), M407*$Z$12,
            AND(Q407="EUR", $Q$2="GBP"), M407*$Z$13,
            AND(Q407="EUR", $Q$2="HKD"), M407*$Z$14,
        ),
        0
    )
)</f>
        <v>220</v>
      </c>
      <c r="T407" s="1" t="str">
        <f t="shared" si="99"/>
        <v>7</v>
      </c>
      <c r="U407" s="8" t="str">
        <f t="shared" si="100"/>
        <v>03</v>
      </c>
      <c r="V407" s="1" t="str">
        <f t="shared" si="101"/>
        <v>2024</v>
      </c>
      <c r="W407" s="18" t="str">
        <f t="shared" si="102"/>
        <v>星期四</v>
      </c>
    </row>
    <row r="408" spans="1:23">
      <c r="A408" s="17" t="s">
        <v>6</v>
      </c>
      <c r="B408" s="1" t="s">
        <v>348</v>
      </c>
      <c r="C408" s="9">
        <v>45358</v>
      </c>
      <c r="D408" s="1" t="s">
        <v>50</v>
      </c>
      <c r="E408" s="1" t="s">
        <v>39</v>
      </c>
      <c r="F408" s="1" t="s">
        <v>349</v>
      </c>
      <c r="H408" s="1" t="s">
        <v>347</v>
      </c>
      <c r="I408" s="1">
        <v>200</v>
      </c>
      <c r="J408" s="27">
        <v>1.1000000000000001</v>
      </c>
      <c r="K408" s="1">
        <v>0.17</v>
      </c>
      <c r="M408" s="25">
        <f t="shared" si="52"/>
        <v>220.00000000000003</v>
      </c>
      <c r="N408" s="17">
        <f t="shared" si="35"/>
        <v>-220.00000000000003</v>
      </c>
      <c r="O408" s="34">
        <f>IF(ISBLANK(A408),"",SUMIFS(I$3:I408,D$3:D408,D408,H$3:H408,"Buy")+SUMIFS(I$3:I408,D$3:D408,D408,H$3:H408,"Cash Deposit")+SUMIFS(I$3:I408,D$3:D408,D408,H$3:H408,"Crypto Deposit")+SUMIFS(I$3:I408,D$3:D408,D408,H$3:H408,"Airdrop/Rewards")-SUMIFS(I$3:I408,D$3:D408,D408,H$3:H408,"Sell"))</f>
        <v>730</v>
      </c>
      <c r="P408" s="2" cm="1">
        <f t="array" ref="P408">IF(ISBLANK(A408),"",IFERROR(IF(OR(H408="Sell",F408="Stable Coin"),INDEX(_xlfn._xlws.FILTER(P$2:P407, D$2:D407=D408),COUNT(_xlfn._xlws.FILTER(P$2:P407, D$2:D407=D408))),(INDEX(_xlfn._xlws.FILTER(P$2:P407, D$2:D407=D408),COUNT(_xlfn._xlws.FILTER(P$2:P407, D$2:D407=D408)))*INDEX(_xlfn._xlws.FILTER(O$2:O407, D$2:D407=D408),COUNT(_xlfn._xlws.FILTER(O$2:O407, D$2:D407=D408)))-N408) / O408), J408))</f>
        <v>1.0553561643835616</v>
      </c>
      <c r="Q408" s="1" t="str">
        <f t="shared" si="98"/>
        <v>USD</v>
      </c>
      <c r="R408" s="1" cm="1">
        <f t="array" ref="R408">IF(A408="", "",
    IFERROR(
        _xlfn.SWITCH(
            TRUE,
            AND(Q408="USD", $Q$2="USD"), K408,
            AND(Q408="USD", $Q$2="GBP"), K408*$Z$3,
            AND(Q408="USD", $Q$2="HKD"), K408*$Z$4,
            AND(Q408="USD", $Q$2="EUR"), K408*$Z$5,
            AND(Q408="GBP", $Q$2="GBP"), K408,
            AND(Q408="GBP", $Q$2="USD"), K408*$Z$6,
            AND(Q408="GBP", $Q$2="HKD"), K408*$Z$7,
            AND(Q408="HKG", $Q$2="HKG"), K408,
            AND(Q408="HKD", $Q$2="USD"), K408*$Z$9,
            AND(Q408="HKD", $Q$2="GBP"), K408*$Z$10,
            AND(Q408="HKD", $Q$2="EUR"), K408*$Z$11,
            AND(Q408="EUR", $Q$2="EUR"), K408,
            AND(Q408="EUR", $Q$2="USD"), K408*$Z$12,
            AND(Q408="EUR", $Q$2="GBP"), K408*$Z$13,
            AND(Q408="EUR", $Q$2="HKD"), K408*$Z$14,
        ),
        0
    )
)</f>
        <v>0.17</v>
      </c>
      <c r="S408" s="1" cm="1">
        <f t="array" ref="S408">IF(A408="", "",
    IFERROR(
        _xlfn.SWITCH(
            TRUE,
            AND(Q408="USD", $Q$2="USD"), M408,
            AND(Q408="USD", $Q$2="GBP"), M408*$Z$3,
            AND(Q408="USD", $Q$2="HKD"), M408*$Z$4,
            AND(Q408="USD", $Q$2="EUR"), M408*$Z$5,
            AND(Q408="GBP", $Q$2="GBP"), M408,
            AND(Q408="GBP", $Q$2="USD"), M408*$Z$6,
            AND(Q408="GBP", $Q$2="HKD"), M408*$Z$7,
            AND(Q408="GBP", $Q$2="HKD"), M408*$Z$8,
            AND(Q408="HKG", $Q$2="HKG"), M408,
            AND(Q408="HKD", $Q$2="USD"), M408*$Z$9,
            AND(Q408="HKD", $Q$2="GBP"), M408*$Z$10,
            AND(Q408="HKD", $Q$2="EUR"), M408*$Z$11,
            AND(Q408="EUR", $Q$2="EUR"), M408,
            AND(Q408="EUR", $Q$2="USD"), M408*$Z$12,
            AND(Q408="EUR", $Q$2="GBP"), M408*$Z$13,
            AND(Q408="EUR", $Q$2="HKD"), M408*$Z$14,
        ),
        0
    )
)</f>
        <v>220.00000000000003</v>
      </c>
      <c r="T408" s="1" t="str">
        <f t="shared" si="99"/>
        <v>7</v>
      </c>
      <c r="U408" s="8" t="str">
        <f t="shared" si="100"/>
        <v>03</v>
      </c>
      <c r="V408" s="1" t="str">
        <f t="shared" si="101"/>
        <v>2024</v>
      </c>
      <c r="W408" s="18" t="str">
        <f t="shared" si="102"/>
        <v>星期四</v>
      </c>
    </row>
    <row r="409" spans="1:23">
      <c r="A409" s="17" t="s">
        <v>399</v>
      </c>
      <c r="B409" s="1" t="s">
        <v>348</v>
      </c>
      <c r="C409" s="9">
        <v>45358</v>
      </c>
      <c r="D409" s="1" t="e" vm="23">
        <v>#VALUE!</v>
      </c>
      <c r="E409" s="1" t="s">
        <v>408</v>
      </c>
      <c r="F409" s="1" t="s">
        <v>401</v>
      </c>
      <c r="H409" s="1" t="s">
        <v>347</v>
      </c>
      <c r="I409" s="1">
        <v>50</v>
      </c>
      <c r="J409" s="27">
        <v>16.399999999999999</v>
      </c>
      <c r="K409" s="1">
        <v>2</v>
      </c>
      <c r="M409" s="25">
        <f t="shared" si="52"/>
        <v>819.99999999999989</v>
      </c>
      <c r="N409" s="17">
        <f t="shared" si="35"/>
        <v>-819.99999999999989</v>
      </c>
      <c r="O409" s="34">
        <f>IF(ISBLANK(A409),"",SUMIFS(I$3:I409,D$3:D409,D409,H$3:H409,"Buy")+SUMIFS(I$3:I409,D$3:D409,D409,H$3:H409,"Cash Deposit")+SUMIFS(I$3:I409,D$3:D409,D409,H$3:H409,"Crypto Deposit")+SUMIFS(I$3:I409,D$3:D409,D409,H$3:H409,"Airdrop/Rewards")-SUMIFS(I$3:I409,D$3:D409,D409,H$3:H409,"Sell"))</f>
        <v>70</v>
      </c>
      <c r="P409" s="2" cm="1">
        <f t="array" ref="P409">IF(ISBLANK(A409),"",IFERROR(IF(OR(H409="Sell",F409="Stable Coin"),INDEX(_xlfn._xlws.FILTER(P$2:P408, D$2:D408=D409),COUNT(_xlfn._xlws.FILTER(P$2:P408, D$2:D408=D409))),(INDEX(_xlfn._xlws.FILTER(P$2:P408, D$2:D408=D409),COUNT(_xlfn._xlws.FILTER(P$2:P408, D$2:D408=D409)))*INDEX(_xlfn._xlws.FILTER(O$2:O408, D$2:D408=D409),COUNT(_xlfn._xlws.FILTER(O$2:O408, D$2:D408=D409)))-N409) / O409), J409))</f>
        <v>14.95142857142857</v>
      </c>
      <c r="Q409" s="1" t="str">
        <f t="shared" si="98"/>
        <v>USD</v>
      </c>
      <c r="R409" s="1" cm="1">
        <f t="array" ref="R409">IF(A409="", "",
    IFERROR(
        _xlfn.SWITCH(
            TRUE,
            AND(Q409="USD", $Q$2="USD"), K409,
            AND(Q409="USD", $Q$2="GBP"), K409*$Z$3,
            AND(Q409="USD", $Q$2="HKD"), K409*$Z$4,
            AND(Q409="USD", $Q$2="EUR"), K409*$Z$5,
            AND(Q409="GBP", $Q$2="GBP"), K409,
            AND(Q409="GBP", $Q$2="USD"), K409*$Z$6,
            AND(Q409="GBP", $Q$2="HKD"), K409*$Z$7,
            AND(Q409="HKG", $Q$2="HKG"), K409,
            AND(Q409="HKD", $Q$2="USD"), K409*$Z$9,
            AND(Q409="HKD", $Q$2="GBP"), K409*$Z$10,
            AND(Q409="HKD", $Q$2="EUR"), K409*$Z$11,
            AND(Q409="EUR", $Q$2="EUR"), K409,
            AND(Q409="EUR", $Q$2="USD"), K409*$Z$12,
            AND(Q409="EUR", $Q$2="GBP"), K409*$Z$13,
            AND(Q409="EUR", $Q$2="HKD"), K409*$Z$14,
        ),
        0
    )
)</f>
        <v>2</v>
      </c>
      <c r="S409" s="1" cm="1">
        <f t="array" ref="S409">IF(A409="", "",
    IFERROR(
        _xlfn.SWITCH(
            TRUE,
            AND(Q409="USD", $Q$2="USD"), M409,
            AND(Q409="USD", $Q$2="GBP"), M409*$Z$3,
            AND(Q409="USD", $Q$2="HKD"), M409*$Z$4,
            AND(Q409="USD", $Q$2="EUR"), M409*$Z$5,
            AND(Q409="GBP", $Q$2="GBP"), M409,
            AND(Q409="GBP", $Q$2="USD"), M409*$Z$6,
            AND(Q409="GBP", $Q$2="HKD"), M409*$Z$7,
            AND(Q409="GBP", $Q$2="HKD"), M409*$Z$8,
            AND(Q409="HKG", $Q$2="HKG"), M409,
            AND(Q409="HKD", $Q$2="USD"), M409*$Z$9,
            AND(Q409="HKD", $Q$2="GBP"), M409*$Z$10,
            AND(Q409="HKD", $Q$2="EUR"), M409*$Z$11,
            AND(Q409="EUR", $Q$2="EUR"), M409,
            AND(Q409="EUR", $Q$2="USD"), M409*$Z$12,
            AND(Q409="EUR", $Q$2="GBP"), M409*$Z$13,
            AND(Q409="EUR", $Q$2="HKD"), M409*$Z$14,
        ),
        0
    )
)</f>
        <v>819.99999999999989</v>
      </c>
      <c r="T409" s="1" t="str">
        <f t="shared" si="99"/>
        <v>7</v>
      </c>
      <c r="U409" s="8" t="str">
        <f t="shared" si="100"/>
        <v>03</v>
      </c>
      <c r="V409" s="1" t="str">
        <f t="shared" si="101"/>
        <v>2024</v>
      </c>
      <c r="W409" s="18" t="str">
        <f t="shared" si="102"/>
        <v>星期四</v>
      </c>
    </row>
    <row r="410" spans="1:23">
      <c r="A410" s="17" t="s">
        <v>399</v>
      </c>
      <c r="B410" s="1" t="s">
        <v>348</v>
      </c>
      <c r="C410" s="9">
        <v>45359</v>
      </c>
      <c r="D410" s="1" t="e" vm="17">
        <v>#VALUE!</v>
      </c>
      <c r="E410" s="1" t="s">
        <v>32</v>
      </c>
      <c r="F410" s="1" t="s">
        <v>401</v>
      </c>
      <c r="H410" s="1" t="s">
        <v>367</v>
      </c>
      <c r="I410" s="1">
        <v>10</v>
      </c>
      <c r="J410" s="27">
        <v>265</v>
      </c>
      <c r="K410" s="1">
        <v>2</v>
      </c>
      <c r="M410" s="25">
        <f t="shared" si="52"/>
        <v>2648</v>
      </c>
      <c r="N410" s="17">
        <f t="shared" si="35"/>
        <v>2650</v>
      </c>
      <c r="O410" s="34">
        <f>IF(ISBLANK(A410),"",SUMIFS(I$3:I410,D$3:D410,D410,H$3:H410,"Buy")+SUMIFS(I$3:I410,D$3:D410,D410,H$3:H410,"Cash Deposit")+SUMIFS(I$3:I410,D$3:D410,D410,H$3:H410,"Crypto Deposit")+SUMIFS(I$3:I410,D$3:D410,D410,H$3:H410,"Airdrop/Rewards")-SUMIFS(I$3:I410,D$3:D410,D410,H$3:H410,"Sell"))</f>
        <v>58</v>
      </c>
      <c r="P410" s="2" cm="1">
        <f t="array" ref="P410">IF(ISBLANK(A410),"",IFERROR(IF(OR(H410="Sell",F410="Stable Coin"),INDEX(_xlfn._xlws.FILTER(P$2:P409, D$2:D409=D410),COUNT(_xlfn._xlws.FILTER(P$2:P409, D$2:D409=D410))),(INDEX(_xlfn._xlws.FILTER(P$2:P409, D$2:D409=D410),COUNT(_xlfn._xlws.FILTER(P$2:P409, D$2:D409=D410)))*INDEX(_xlfn._xlws.FILTER(O$2:O409, D$2:D409=D410),COUNT(_xlfn._xlws.FILTER(O$2:O409, D$2:D409=D410)))-N410) / O410), J410))</f>
        <v>82.934843603411494</v>
      </c>
      <c r="Q410" s="1" t="str">
        <f t="shared" si="98"/>
        <v>USD</v>
      </c>
      <c r="R410" s="1" cm="1">
        <f t="array" ref="R410">IF(A410="", "",
    IFERROR(
        _xlfn.SWITCH(
            TRUE,
            AND(Q410="USD", $Q$2="USD"), K410,
            AND(Q410="USD", $Q$2="GBP"), K410*$Z$3,
            AND(Q410="USD", $Q$2="HKD"), K410*$Z$4,
            AND(Q410="USD", $Q$2="EUR"), K410*$Z$5,
            AND(Q410="GBP", $Q$2="GBP"), K410,
            AND(Q410="GBP", $Q$2="USD"), K410*$Z$6,
            AND(Q410="GBP", $Q$2="HKD"), K410*$Z$7,
            AND(Q410="HKG", $Q$2="HKG"), K410,
            AND(Q410="HKD", $Q$2="USD"), K410*$Z$9,
            AND(Q410="HKD", $Q$2="GBP"), K410*$Z$10,
            AND(Q410="HKD", $Q$2="EUR"), K410*$Z$11,
            AND(Q410="EUR", $Q$2="EUR"), K410,
            AND(Q410="EUR", $Q$2="USD"), K410*$Z$12,
            AND(Q410="EUR", $Q$2="GBP"), K410*$Z$13,
            AND(Q410="EUR", $Q$2="HKD"), K410*$Z$14,
        ),
        0
    )
)</f>
        <v>2</v>
      </c>
      <c r="S410" s="1" cm="1">
        <f t="array" ref="S410">IF(A410="", "",
    IFERROR(
        _xlfn.SWITCH(
            TRUE,
            AND(Q410="USD", $Q$2="USD"), M410,
            AND(Q410="USD", $Q$2="GBP"), M410*$Z$3,
            AND(Q410="USD", $Q$2="HKD"), M410*$Z$4,
            AND(Q410="USD", $Q$2="EUR"), M410*$Z$5,
            AND(Q410="GBP", $Q$2="GBP"), M410,
            AND(Q410="GBP", $Q$2="USD"), M410*$Z$6,
            AND(Q410="GBP", $Q$2="HKD"), M410*$Z$7,
            AND(Q410="GBP", $Q$2="HKD"), M410*$Z$8,
            AND(Q410="HKG", $Q$2="HKG"), M410,
            AND(Q410="HKD", $Q$2="USD"), M410*$Z$9,
            AND(Q410="HKD", $Q$2="GBP"), M410*$Z$10,
            AND(Q410="HKD", $Q$2="EUR"), M410*$Z$11,
            AND(Q410="EUR", $Q$2="EUR"), M410,
            AND(Q410="EUR", $Q$2="USD"), M410*$Z$12,
            AND(Q410="EUR", $Q$2="GBP"), M410*$Z$13,
            AND(Q410="EUR", $Q$2="HKD"), M410*$Z$14,
        ),
        0
    )
)</f>
        <v>2648</v>
      </c>
      <c r="T410" s="1" t="str">
        <f t="shared" si="99"/>
        <v>8</v>
      </c>
      <c r="U410" s="8" t="str">
        <f t="shared" si="100"/>
        <v>03</v>
      </c>
      <c r="V410" s="1" t="str">
        <f t="shared" si="101"/>
        <v>2024</v>
      </c>
      <c r="W410" s="18" t="str">
        <f t="shared" si="102"/>
        <v>星期五</v>
      </c>
    </row>
    <row r="411" spans="1:23">
      <c r="A411" s="17" t="s">
        <v>59</v>
      </c>
      <c r="B411" s="1" t="s">
        <v>348</v>
      </c>
      <c r="C411" s="9">
        <v>45360</v>
      </c>
      <c r="D411" s="1" t="s">
        <v>50</v>
      </c>
      <c r="E411" s="1" t="s">
        <v>39</v>
      </c>
      <c r="F411" s="1" t="s">
        <v>349</v>
      </c>
      <c r="H411" s="1" t="s">
        <v>359</v>
      </c>
      <c r="I411" s="1">
        <v>105.5839</v>
      </c>
      <c r="J411" s="27">
        <v>1.1359999999999999</v>
      </c>
      <c r="K411" s="1">
        <v>0.75</v>
      </c>
      <c r="M411" s="25">
        <f t="shared" si="52"/>
        <v>119.94331039999999</v>
      </c>
      <c r="N411" s="17">
        <f t="shared" si="35"/>
        <v>0</v>
      </c>
      <c r="O411" s="34">
        <f>IF(ISBLANK(A411),"",SUMIFS(I$3:I411,D$3:D411,D411,H$3:H411,"Buy")+SUMIFS(I$3:I411,D$3:D411,D411,H$3:H411,"Cash Deposit")+SUMIFS(I$3:I411,D$3:D411,D411,H$3:H411,"Crypto Deposit")+SUMIFS(I$3:I411,D$3:D411,D411,H$3:H411,"Airdrop/Rewards")-SUMIFS(I$3:I411,D$3:D411,D411,H$3:H411,"Sell"))</f>
        <v>835.58389999999997</v>
      </c>
      <c r="P411" s="2" cm="1">
        <f t="array" ref="P411">IF(ISBLANK(A411),"",IFERROR(IF(OR(H411="Sell",F411="Stable Coin"),INDEX(_xlfn._xlws.FILTER(P$2:P410, D$2:D410=D411),COUNT(_xlfn._xlws.FILTER(P$2:P410, D$2:D410=D411))),(INDEX(_xlfn._xlws.FILTER(P$2:P410, D$2:D410=D411),COUNT(_xlfn._xlws.FILTER(P$2:P410, D$2:D410=D411)))*INDEX(_xlfn._xlws.FILTER(O$2:O410, D$2:D410=D411),COUNT(_xlfn._xlws.FILTER(O$2:O410, D$2:D410=D411)))-N411) / O411), J411))</f>
        <v>0.92200196772580223</v>
      </c>
      <c r="Q411" s="1" t="str">
        <f t="shared" si="98"/>
        <v>USD</v>
      </c>
      <c r="R411" s="1" cm="1">
        <f t="array" ref="R411">IF(A411="", "",
    IFERROR(
        _xlfn.SWITCH(
            TRUE,
            AND(Q411="USD", $Q$2="USD"), K411,
            AND(Q411="USD", $Q$2="GBP"), K411*$Z$3,
            AND(Q411="USD", $Q$2="HKD"), K411*$Z$4,
            AND(Q411="USD", $Q$2="EUR"), K411*$Z$5,
            AND(Q411="GBP", $Q$2="GBP"), K411,
            AND(Q411="GBP", $Q$2="USD"), K411*$Z$6,
            AND(Q411="GBP", $Q$2="HKD"), K411*$Z$7,
            AND(Q411="HKG", $Q$2="HKG"), K411,
            AND(Q411="HKD", $Q$2="USD"), K411*$Z$9,
            AND(Q411="HKD", $Q$2="GBP"), K411*$Z$10,
            AND(Q411="HKD", $Q$2="EUR"), K411*$Z$11,
            AND(Q411="EUR", $Q$2="EUR"), K411,
            AND(Q411="EUR", $Q$2="USD"), K411*$Z$12,
            AND(Q411="EUR", $Q$2="GBP"), K411*$Z$13,
            AND(Q411="EUR", $Q$2="HKD"), K411*$Z$14,
        ),
        0
    )
)</f>
        <v>0.75</v>
      </c>
      <c r="S411" s="1" cm="1">
        <f t="array" ref="S411">IF(A411="", "",
    IFERROR(
        _xlfn.SWITCH(
            TRUE,
            AND(Q411="USD", $Q$2="USD"), M411,
            AND(Q411="USD", $Q$2="GBP"), M411*$Z$3,
            AND(Q411="USD", $Q$2="HKD"), M411*$Z$4,
            AND(Q411="USD", $Q$2="EUR"), M411*$Z$5,
            AND(Q411="GBP", $Q$2="GBP"), M411,
            AND(Q411="GBP", $Q$2="USD"), M411*$Z$6,
            AND(Q411="GBP", $Q$2="HKD"), M411*$Z$7,
            AND(Q411="GBP", $Q$2="HKD"), M411*$Z$8,
            AND(Q411="HKG", $Q$2="HKG"), M411,
            AND(Q411="HKD", $Q$2="USD"), M411*$Z$9,
            AND(Q411="HKD", $Q$2="GBP"), M411*$Z$10,
            AND(Q411="HKD", $Q$2="EUR"), M411*$Z$11,
            AND(Q411="EUR", $Q$2="EUR"), M411,
            AND(Q411="EUR", $Q$2="USD"), M411*$Z$12,
            AND(Q411="EUR", $Q$2="GBP"), M411*$Z$13,
            AND(Q411="EUR", $Q$2="HKD"), M411*$Z$14,
        ),
        0
    )
)</f>
        <v>119.94331039999999</v>
      </c>
      <c r="T411" s="1" t="str">
        <f t="shared" si="99"/>
        <v>9</v>
      </c>
      <c r="U411" s="8" t="str">
        <f t="shared" si="100"/>
        <v>03</v>
      </c>
      <c r="V411" s="1" t="str">
        <f t="shared" si="101"/>
        <v>2024</v>
      </c>
      <c r="W411" s="18" t="str">
        <f t="shared" si="102"/>
        <v>星期六</v>
      </c>
    </row>
    <row r="412" spans="1:23">
      <c r="A412" s="17" t="s">
        <v>59</v>
      </c>
      <c r="B412" s="1" t="s">
        <v>348</v>
      </c>
      <c r="C412" s="9">
        <v>45360</v>
      </c>
      <c r="D412" s="1" t="s">
        <v>510</v>
      </c>
      <c r="E412" s="1" t="s">
        <v>511</v>
      </c>
      <c r="F412" s="1" t="s">
        <v>349</v>
      </c>
      <c r="H412" s="1" t="s">
        <v>367</v>
      </c>
      <c r="I412" s="1">
        <v>20000000</v>
      </c>
      <c r="J412" s="27">
        <v>6.37E-6</v>
      </c>
      <c r="K412" s="1">
        <v>0.22</v>
      </c>
      <c r="M412" s="25">
        <f t="shared" si="52"/>
        <v>127.18</v>
      </c>
      <c r="N412" s="17">
        <f t="shared" si="35"/>
        <v>127.4</v>
      </c>
      <c r="O412" s="34">
        <f>IF(ISBLANK(A412),"",SUMIFS(I$3:I412,D$3:D412,D412,H$3:H412,"Buy")+SUMIFS(I$3:I412,D$3:D412,D412,H$3:H412,"Cash Deposit")+SUMIFS(I$3:I412,D$3:D412,D412,H$3:H412,"Crypto Deposit")+SUMIFS(I$3:I412,D$3:D412,D412,H$3:H412,"Airdrop/Rewards")-SUMIFS(I$3:I412,D$3:D412,D412,H$3:H412,"Sell"))</f>
        <v>60000000</v>
      </c>
      <c r="P412" s="2" cm="1">
        <f t="array" ref="P412">IF(ISBLANK(A412),"",IFERROR(IF(OR(H412="Sell",F412="Stable Coin"),INDEX(_xlfn._xlws.FILTER(P$2:P411, D$2:D411=D412),COUNT(_xlfn._xlws.FILTER(P$2:P411, D$2:D411=D412))),(INDEX(_xlfn._xlws.FILTER(P$2:P411, D$2:D411=D412),COUNT(_xlfn._xlws.FILTER(P$2:P411, D$2:D411=D412)))*INDEX(_xlfn._xlws.FILTER(O$2:O411, D$2:D411=D412),COUNT(_xlfn._xlws.FILTER(O$2:O411, D$2:D411=D412)))-N412) / O412), J412))</f>
        <v>1.0160000000000001E-6</v>
      </c>
      <c r="Q412" s="1" t="str">
        <f t="shared" si="98"/>
        <v>USD</v>
      </c>
      <c r="R412" s="1" cm="1">
        <f t="array" ref="R412">IF(A412="", "",
    IFERROR(
        _xlfn.SWITCH(
            TRUE,
            AND(Q412="USD", $Q$2="USD"), K412,
            AND(Q412="USD", $Q$2="GBP"), K412*$Z$3,
            AND(Q412="USD", $Q$2="HKD"), K412*$Z$4,
            AND(Q412="USD", $Q$2="EUR"), K412*$Z$5,
            AND(Q412="GBP", $Q$2="GBP"), K412,
            AND(Q412="GBP", $Q$2="USD"), K412*$Z$6,
            AND(Q412="GBP", $Q$2="HKD"), K412*$Z$7,
            AND(Q412="HKG", $Q$2="HKG"), K412,
            AND(Q412="HKD", $Q$2="USD"), K412*$Z$9,
            AND(Q412="HKD", $Q$2="GBP"), K412*$Z$10,
            AND(Q412="HKD", $Q$2="EUR"), K412*$Z$11,
            AND(Q412="EUR", $Q$2="EUR"), K412,
            AND(Q412="EUR", $Q$2="USD"), K412*$Z$12,
            AND(Q412="EUR", $Q$2="GBP"), K412*$Z$13,
            AND(Q412="EUR", $Q$2="HKD"), K412*$Z$14,
        ),
        0
    )
)</f>
        <v>0.22</v>
      </c>
      <c r="S412" s="1" cm="1">
        <f t="array" ref="S412">IF(A412="", "",
    IFERROR(
        _xlfn.SWITCH(
            TRUE,
            AND(Q412="USD", $Q$2="USD"), M412,
            AND(Q412="USD", $Q$2="GBP"), M412*$Z$3,
            AND(Q412="USD", $Q$2="HKD"), M412*$Z$4,
            AND(Q412="USD", $Q$2="EUR"), M412*$Z$5,
            AND(Q412="GBP", $Q$2="GBP"), M412,
            AND(Q412="GBP", $Q$2="USD"), M412*$Z$6,
            AND(Q412="GBP", $Q$2="HKD"), M412*$Z$7,
            AND(Q412="GBP", $Q$2="HKD"), M412*$Z$8,
            AND(Q412="HKG", $Q$2="HKG"), M412,
            AND(Q412="HKD", $Q$2="USD"), M412*$Z$9,
            AND(Q412="HKD", $Q$2="GBP"), M412*$Z$10,
            AND(Q412="HKD", $Q$2="EUR"), M412*$Z$11,
            AND(Q412="EUR", $Q$2="EUR"), M412,
            AND(Q412="EUR", $Q$2="USD"), M412*$Z$12,
            AND(Q412="EUR", $Q$2="GBP"), M412*$Z$13,
            AND(Q412="EUR", $Q$2="HKD"), M412*$Z$14,
        ),
        0
    )
)</f>
        <v>127.18</v>
      </c>
      <c r="T412" s="1" t="str">
        <f t="shared" si="99"/>
        <v>9</v>
      </c>
      <c r="U412" s="8" t="str">
        <f t="shared" si="100"/>
        <v>03</v>
      </c>
      <c r="V412" s="1" t="str">
        <f t="shared" si="101"/>
        <v>2024</v>
      </c>
      <c r="W412" s="18" t="str">
        <f t="shared" si="102"/>
        <v>星期六</v>
      </c>
    </row>
    <row r="413" spans="1:23">
      <c r="A413" s="17" t="s">
        <v>59</v>
      </c>
      <c r="B413" s="1" t="s">
        <v>348</v>
      </c>
      <c r="C413" s="9">
        <v>45360</v>
      </c>
      <c r="D413" s="1" t="s">
        <v>27</v>
      </c>
      <c r="E413" s="1" t="s">
        <v>28</v>
      </c>
      <c r="F413" s="1" t="s">
        <v>349</v>
      </c>
      <c r="H413" s="1" t="s">
        <v>347</v>
      </c>
      <c r="I413" s="1">
        <v>2.9580000000000002</v>
      </c>
      <c r="J413" s="27">
        <v>42.994999999999997</v>
      </c>
      <c r="M413" s="25">
        <f t="shared" si="52"/>
        <v>127.17921</v>
      </c>
      <c r="N413" s="17">
        <f t="shared" si="35"/>
        <v>-127.17921</v>
      </c>
      <c r="O413" s="34">
        <f>IF(ISBLANK(A413),"",SUMIFS(I$3:I413,D$3:D413,D413,H$3:H413,"Buy")+SUMIFS(I$3:I413,D$3:D413,D413,H$3:H413,"Cash Deposit")+SUMIFS(I$3:I413,D$3:D413,D413,H$3:H413,"Crypto Deposit")+SUMIFS(I$3:I413,D$3:D413,D413,H$3:H413,"Airdrop/Rewards")-SUMIFS(I$3:I413,D$3:D413,D413,H$3:H413,"Sell"))</f>
        <v>101.90150000000001</v>
      </c>
      <c r="P413" s="2" cm="1">
        <f t="array" ref="P413">IF(ISBLANK(A413),"",IFERROR(IF(OR(H413="Sell",F413="Stable Coin"),INDEX(_xlfn._xlws.FILTER(P$2:P412, D$2:D412=D413),COUNT(_xlfn._xlws.FILTER(P$2:P412, D$2:D412=D413))),(INDEX(_xlfn._xlws.FILTER(P$2:P412, D$2:D412=D413),COUNT(_xlfn._xlws.FILTER(P$2:P412, D$2:D412=D413)))*INDEX(_xlfn._xlws.FILTER(O$2:O412, D$2:D412=D413),COUNT(_xlfn._xlws.FILTER(O$2:O412, D$2:D412=D413)))-N413) / O413), J413))</f>
        <v>25.333068071607066</v>
      </c>
      <c r="Q413" s="1" t="str">
        <f t="shared" si="98"/>
        <v>USD</v>
      </c>
      <c r="R413" s="1" cm="1">
        <f t="array" ref="R413">IF(A413="", "",
    IFERROR(
        _xlfn.SWITCH(
            TRUE,
            AND(Q413="USD", $Q$2="USD"), K413,
            AND(Q413="USD", $Q$2="GBP"), K413*$Z$3,
            AND(Q413="USD", $Q$2="HKD"), K413*$Z$4,
            AND(Q413="USD", $Q$2="EUR"), K413*$Z$5,
            AND(Q413="GBP", $Q$2="GBP"), K413,
            AND(Q413="GBP", $Q$2="USD"), K413*$Z$6,
            AND(Q413="GBP", $Q$2="HKD"), K413*$Z$7,
            AND(Q413="HKG", $Q$2="HKG"), K413,
            AND(Q413="HKD", $Q$2="USD"), K413*$Z$9,
            AND(Q413="HKD", $Q$2="GBP"), K413*$Z$10,
            AND(Q413="HKD", $Q$2="EUR"), K413*$Z$11,
            AND(Q413="EUR", $Q$2="EUR"), K413,
            AND(Q413="EUR", $Q$2="USD"), K413*$Z$12,
            AND(Q413="EUR", $Q$2="GBP"), K413*$Z$13,
            AND(Q413="EUR", $Q$2="HKD"), K413*$Z$14,
        ),
        0
    )
)</f>
        <v>0</v>
      </c>
      <c r="S413" s="1" cm="1">
        <f t="array" ref="S413">IF(A413="", "",
    IFERROR(
        _xlfn.SWITCH(
            TRUE,
            AND(Q413="USD", $Q$2="USD"), M413,
            AND(Q413="USD", $Q$2="GBP"), M413*$Z$3,
            AND(Q413="USD", $Q$2="HKD"), M413*$Z$4,
            AND(Q413="USD", $Q$2="EUR"), M413*$Z$5,
            AND(Q413="GBP", $Q$2="GBP"), M413,
            AND(Q413="GBP", $Q$2="USD"), M413*$Z$6,
            AND(Q413="GBP", $Q$2="HKD"), M413*$Z$7,
            AND(Q413="GBP", $Q$2="HKD"), M413*$Z$8,
            AND(Q413="HKG", $Q$2="HKG"), M413,
            AND(Q413="HKD", $Q$2="USD"), M413*$Z$9,
            AND(Q413="HKD", $Q$2="GBP"), M413*$Z$10,
            AND(Q413="HKD", $Q$2="EUR"), M413*$Z$11,
            AND(Q413="EUR", $Q$2="EUR"), M413,
            AND(Q413="EUR", $Q$2="USD"), M413*$Z$12,
            AND(Q413="EUR", $Q$2="GBP"), M413*$Z$13,
            AND(Q413="EUR", $Q$2="HKD"), M413*$Z$14,
        ),
        0
    )
)</f>
        <v>127.17921</v>
      </c>
      <c r="T413" s="1" t="str">
        <f t="shared" si="99"/>
        <v>9</v>
      </c>
      <c r="U413" s="8" t="str">
        <f t="shared" si="100"/>
        <v>03</v>
      </c>
      <c r="V413" s="1" t="str">
        <f t="shared" si="101"/>
        <v>2024</v>
      </c>
      <c r="W413" s="18" t="str">
        <f t="shared" si="102"/>
        <v>星期六</v>
      </c>
    </row>
    <row r="414" spans="1:23">
      <c r="A414" s="17" t="s">
        <v>6</v>
      </c>
      <c r="B414" s="1" t="s">
        <v>348</v>
      </c>
      <c r="C414" s="9">
        <v>45362</v>
      </c>
      <c r="D414" s="1" t="s">
        <v>47</v>
      </c>
      <c r="E414" s="1" t="s">
        <v>4</v>
      </c>
      <c r="F414" s="1" t="s">
        <v>349</v>
      </c>
      <c r="H414" s="1" t="s">
        <v>367</v>
      </c>
      <c r="I414" s="1">
        <v>1.115E-2</v>
      </c>
      <c r="J414" s="27">
        <v>71700</v>
      </c>
      <c r="K414" s="1">
        <v>0.79945500000000003</v>
      </c>
      <c r="M414" s="25">
        <f t="shared" si="52"/>
        <v>798.65554500000007</v>
      </c>
      <c r="N414" s="17">
        <f t="shared" si="35"/>
        <v>799.45500000000004</v>
      </c>
      <c r="O414" s="34">
        <f>IF(ISBLANK(A414),"",SUMIFS(I$3:I414,D$3:D414,D414,H$3:H414,"Buy")+SUMIFS(I$3:I414,D$3:D414,D414,H$3:H414,"Cash Deposit")+SUMIFS(I$3:I414,D$3:D414,D414,H$3:H414,"Crypto Deposit")+SUMIFS(I$3:I414,D$3:D414,D414,H$3:H414,"Airdrop/Rewards")-SUMIFS(I$3:I414,D$3:D414,D414,H$3:H414,"Sell"))</f>
        <v>0.24383523994681652</v>
      </c>
      <c r="P414" s="2" cm="1">
        <f t="array" ref="P414">IF(ISBLANK(A414),"",IFERROR(IF(OR(H414="Sell",F414="Stable Coin"),INDEX(_xlfn._xlws.FILTER(P$2:P413, D$2:D413=D414),COUNT(_xlfn._xlws.FILTER(P$2:P413, D$2:D413=D414))),(INDEX(_xlfn._xlws.FILTER(P$2:P413, D$2:D413=D414),COUNT(_xlfn._xlws.FILTER(P$2:P413, D$2:D413=D414)))*INDEX(_xlfn._xlws.FILTER(O$2:O413, D$2:D413=D414),COUNT(_xlfn._xlws.FILTER(O$2:O413, D$2:D413=D414)))-N414) / O414), J414))</f>
        <v>32216.561571265273</v>
      </c>
      <c r="Q414" s="1" t="str">
        <f t="shared" si="98"/>
        <v>USD</v>
      </c>
      <c r="R414" s="1" cm="1">
        <f t="array" ref="R414">IF(A414="", "",
    IFERROR(
        _xlfn.SWITCH(
            TRUE,
            AND(Q414="USD", $Q$2="USD"), K414,
            AND(Q414="USD", $Q$2="GBP"), K414*$Z$3,
            AND(Q414="USD", $Q$2="HKD"), K414*$Z$4,
            AND(Q414="USD", $Q$2="EUR"), K414*$Z$5,
            AND(Q414="GBP", $Q$2="GBP"), K414,
            AND(Q414="GBP", $Q$2="USD"), K414*$Z$6,
            AND(Q414="GBP", $Q$2="HKD"), K414*$Z$7,
            AND(Q414="HKG", $Q$2="HKG"), K414,
            AND(Q414="HKD", $Q$2="USD"), K414*$Z$9,
            AND(Q414="HKD", $Q$2="GBP"), K414*$Z$10,
            AND(Q414="HKD", $Q$2="EUR"), K414*$Z$11,
            AND(Q414="EUR", $Q$2="EUR"), K414,
            AND(Q414="EUR", $Q$2="USD"), K414*$Z$12,
            AND(Q414="EUR", $Q$2="GBP"), K414*$Z$13,
            AND(Q414="EUR", $Q$2="HKD"), K414*$Z$14,
        ),
        0
    )
)</f>
        <v>0.79945500000000003</v>
      </c>
      <c r="S414" s="1" cm="1">
        <f t="array" ref="S414">IF(A414="", "",
    IFERROR(
        _xlfn.SWITCH(
            TRUE,
            AND(Q414="USD", $Q$2="USD"), M414,
            AND(Q414="USD", $Q$2="GBP"), M414*$Z$3,
            AND(Q414="USD", $Q$2="HKD"), M414*$Z$4,
            AND(Q414="USD", $Q$2="EUR"), M414*$Z$5,
            AND(Q414="GBP", $Q$2="GBP"), M414,
            AND(Q414="GBP", $Q$2="USD"), M414*$Z$6,
            AND(Q414="GBP", $Q$2="HKD"), M414*$Z$7,
            AND(Q414="GBP", $Q$2="HKD"), M414*$Z$8,
            AND(Q414="HKG", $Q$2="HKG"), M414,
            AND(Q414="HKD", $Q$2="USD"), M414*$Z$9,
            AND(Q414="HKD", $Q$2="GBP"), M414*$Z$10,
            AND(Q414="HKD", $Q$2="EUR"), M414*$Z$11,
            AND(Q414="EUR", $Q$2="EUR"), M414,
            AND(Q414="EUR", $Q$2="USD"), M414*$Z$12,
            AND(Q414="EUR", $Q$2="GBP"), M414*$Z$13,
            AND(Q414="EUR", $Q$2="HKD"), M414*$Z$14,
        ),
        0
    )
)</f>
        <v>798.65554500000007</v>
      </c>
      <c r="T414" s="1" t="str">
        <f t="shared" si="99"/>
        <v>11</v>
      </c>
      <c r="U414" s="8" t="str">
        <f t="shared" si="100"/>
        <v>03</v>
      </c>
      <c r="V414" s="1" t="str">
        <f t="shared" si="101"/>
        <v>2024</v>
      </c>
      <c r="W414" s="18" t="str">
        <f t="shared" si="102"/>
        <v>星期一</v>
      </c>
    </row>
    <row r="415" spans="1:23">
      <c r="A415" s="17" t="s">
        <v>6</v>
      </c>
      <c r="B415" s="1" t="s">
        <v>348</v>
      </c>
      <c r="C415" s="9">
        <v>45362</v>
      </c>
      <c r="D415" s="1" t="s">
        <v>364</v>
      </c>
      <c r="E415" s="1" t="s">
        <v>114</v>
      </c>
      <c r="F415" s="1" t="s">
        <v>346</v>
      </c>
      <c r="H415" s="1" t="s">
        <v>347</v>
      </c>
      <c r="I415" s="1">
        <v>799.45500000000004</v>
      </c>
      <c r="J415" s="27">
        <v>1</v>
      </c>
      <c r="M415" s="25">
        <f t="shared" si="52"/>
        <v>799.45500000000004</v>
      </c>
      <c r="N415" s="17">
        <f t="shared" si="35"/>
        <v>-799.45500000000004</v>
      </c>
      <c r="O415" s="34">
        <f>IF(ISBLANK(A415),"",SUMIFS(I$3:I415,D$3:D415,D415,H$3:H415,"Buy")+SUMIFS(I$3:I415,D$3:D415,D415,H$3:H415,"Cash Deposit")+SUMIFS(I$3:I415,D$3:D415,D415,H$3:H415,"Crypto Deposit")+SUMIFS(I$3:I415,D$3:D415,D415,H$3:H415,"Airdrop/Rewards")-SUMIFS(I$3:I415,D$3:D415,D415,H$3:H415,"Sell"))</f>
        <v>8612.9161550803838</v>
      </c>
      <c r="P415" s="2" cm="1">
        <f t="array" ref="P415">IF(ISBLANK(A415),"",IFERROR(IF(OR(H415="Sell",F415="Stable Coin"),INDEX(_xlfn._xlws.FILTER(P$2:P414, D$2:D414=D415),COUNT(_xlfn._xlws.FILTER(P$2:P414, D$2:D414=D415))),(INDEX(_xlfn._xlws.FILTER(P$2:P414, D$2:D414=D415),COUNT(_xlfn._xlws.FILTER(P$2:P414, D$2:D414=D415)))*INDEX(_xlfn._xlws.FILTER(O$2:O414, D$2:D414=D415),COUNT(_xlfn._xlws.FILTER(O$2:O414, D$2:D414=D415)))-N415) / O415), J415))</f>
        <v>1</v>
      </c>
      <c r="Q415" s="1" t="str">
        <f t="shared" si="98"/>
        <v>USD</v>
      </c>
      <c r="R415" s="1" cm="1">
        <f t="array" ref="R415">IF(A415="", "",
    IFERROR(
        _xlfn.SWITCH(
            TRUE,
            AND(Q415="USD", $Q$2="USD"), K415,
            AND(Q415="USD", $Q$2="GBP"), K415*$Z$3,
            AND(Q415="USD", $Q$2="HKD"), K415*$Z$4,
            AND(Q415="USD", $Q$2="EUR"), K415*$Z$5,
            AND(Q415="GBP", $Q$2="GBP"), K415,
            AND(Q415="GBP", $Q$2="USD"), K415*$Z$6,
            AND(Q415="GBP", $Q$2="HKD"), K415*$Z$7,
            AND(Q415="HKG", $Q$2="HKG"), K415,
            AND(Q415="HKD", $Q$2="USD"), K415*$Z$9,
            AND(Q415="HKD", $Q$2="GBP"), K415*$Z$10,
            AND(Q415="HKD", $Q$2="EUR"), K415*$Z$11,
            AND(Q415="EUR", $Q$2="EUR"), K415,
            AND(Q415="EUR", $Q$2="USD"), K415*$Z$12,
            AND(Q415="EUR", $Q$2="GBP"), K415*$Z$13,
            AND(Q415="EUR", $Q$2="HKD"), K415*$Z$14,
        ),
        0
    )
)</f>
        <v>0</v>
      </c>
      <c r="S415" s="1" cm="1">
        <f t="array" ref="S415">IF(A415="", "",
    IFERROR(
        _xlfn.SWITCH(
            TRUE,
            AND(Q415="USD", $Q$2="USD"), M415,
            AND(Q415="USD", $Q$2="GBP"), M415*$Z$3,
            AND(Q415="USD", $Q$2="HKD"), M415*$Z$4,
            AND(Q415="USD", $Q$2="EUR"), M415*$Z$5,
            AND(Q415="GBP", $Q$2="GBP"), M415,
            AND(Q415="GBP", $Q$2="USD"), M415*$Z$6,
            AND(Q415="GBP", $Q$2="HKD"), M415*$Z$7,
            AND(Q415="GBP", $Q$2="HKD"), M415*$Z$8,
            AND(Q415="HKG", $Q$2="HKG"), M415,
            AND(Q415="HKD", $Q$2="USD"), M415*$Z$9,
            AND(Q415="HKD", $Q$2="GBP"), M415*$Z$10,
            AND(Q415="HKD", $Q$2="EUR"), M415*$Z$11,
            AND(Q415="EUR", $Q$2="EUR"), M415,
            AND(Q415="EUR", $Q$2="USD"), M415*$Z$12,
            AND(Q415="EUR", $Q$2="GBP"), M415*$Z$13,
            AND(Q415="EUR", $Q$2="HKD"), M415*$Z$14,
        ),
        0
    )
)</f>
        <v>799.45500000000004</v>
      </c>
      <c r="T415" s="1" t="str">
        <f t="shared" si="99"/>
        <v>11</v>
      </c>
      <c r="U415" s="8" t="str">
        <f t="shared" si="100"/>
        <v>03</v>
      </c>
      <c r="V415" s="1" t="str">
        <f t="shared" si="101"/>
        <v>2024</v>
      </c>
      <c r="W415" s="18" t="str">
        <f t="shared" si="102"/>
        <v>星期一</v>
      </c>
    </row>
    <row r="416" spans="1:23">
      <c r="A416" s="17" t="s">
        <v>399</v>
      </c>
      <c r="B416" s="1" t="s">
        <v>348</v>
      </c>
      <c r="C416" s="9">
        <v>45362</v>
      </c>
      <c r="D416" s="1" t="e" vm="21">
        <v>#VALUE!</v>
      </c>
      <c r="E416" s="1" t="s">
        <v>403</v>
      </c>
      <c r="F416" s="1" t="s">
        <v>401</v>
      </c>
      <c r="H416" s="1" t="s">
        <v>367</v>
      </c>
      <c r="I416" s="1">
        <v>2</v>
      </c>
      <c r="J416" s="27">
        <v>1575</v>
      </c>
      <c r="K416" s="1">
        <v>2</v>
      </c>
      <c r="M416" s="25">
        <f t="shared" si="52"/>
        <v>3148</v>
      </c>
      <c r="N416" s="17">
        <f t="shared" si="35"/>
        <v>3150</v>
      </c>
      <c r="O416" s="34">
        <f>IF(ISBLANK(A416),"",SUMIFS(I$3:I416,D$3:D416,D416,H$3:H416,"Buy")+SUMIFS(I$3:I416,D$3:D416,D416,H$3:H416,"Cash Deposit")+SUMIFS(I$3:I416,D$3:D416,D416,H$3:H416,"Crypto Deposit")+SUMIFS(I$3:I416,D$3:D416,D416,H$3:H416,"Airdrop/Rewards")-SUMIFS(I$3:I416,D$3:D416,D416,H$3:H416,"Sell"))</f>
        <v>2</v>
      </c>
      <c r="P416" s="2" cm="1">
        <f t="array" ref="P416">IF(ISBLANK(A416),"",IFERROR(IF(OR(H416="Sell",F416="Stable Coin"),INDEX(_xlfn._xlws.FILTER(P$2:P415, D$2:D415=D416),COUNT(_xlfn._xlws.FILTER(P$2:P415, D$2:D415=D416))),(INDEX(_xlfn._xlws.FILTER(P$2:P415, D$2:D415=D416),COUNT(_xlfn._xlws.FILTER(P$2:P415, D$2:D415=D416)))*INDEX(_xlfn._xlws.FILTER(O$2:O415, D$2:D415=D416),COUNT(_xlfn._xlws.FILTER(O$2:O415, D$2:D415=D416)))-N416) / O416), J416))</f>
        <v>353.55666666666667</v>
      </c>
      <c r="Q416" s="1" t="str">
        <f t="shared" si="98"/>
        <v>USD</v>
      </c>
      <c r="R416" s="1" cm="1">
        <f t="array" ref="R416">IF(A416="", "",
    IFERROR(
        _xlfn.SWITCH(
            TRUE,
            AND(Q416="USD", $Q$2="USD"), K416,
            AND(Q416="USD", $Q$2="GBP"), K416*$Z$3,
            AND(Q416="USD", $Q$2="HKD"), K416*$Z$4,
            AND(Q416="USD", $Q$2="EUR"), K416*$Z$5,
            AND(Q416="GBP", $Q$2="GBP"), K416,
            AND(Q416="GBP", $Q$2="USD"), K416*$Z$6,
            AND(Q416="GBP", $Q$2="HKD"), K416*$Z$7,
            AND(Q416="HKG", $Q$2="HKG"), K416,
            AND(Q416="HKD", $Q$2="USD"), K416*$Z$9,
            AND(Q416="HKD", $Q$2="GBP"), K416*$Z$10,
            AND(Q416="HKD", $Q$2="EUR"), K416*$Z$11,
            AND(Q416="EUR", $Q$2="EUR"), K416,
            AND(Q416="EUR", $Q$2="USD"), K416*$Z$12,
            AND(Q416="EUR", $Q$2="GBP"), K416*$Z$13,
            AND(Q416="EUR", $Q$2="HKD"), K416*$Z$14,
        ),
        0
    )
)</f>
        <v>2</v>
      </c>
      <c r="S416" s="1" cm="1">
        <f t="array" ref="S416">IF(A416="", "",
    IFERROR(
        _xlfn.SWITCH(
            TRUE,
            AND(Q416="USD", $Q$2="USD"), M416,
            AND(Q416="USD", $Q$2="GBP"), M416*$Z$3,
            AND(Q416="USD", $Q$2="HKD"), M416*$Z$4,
            AND(Q416="USD", $Q$2="EUR"), M416*$Z$5,
            AND(Q416="GBP", $Q$2="GBP"), M416,
            AND(Q416="GBP", $Q$2="USD"), M416*$Z$6,
            AND(Q416="GBP", $Q$2="HKD"), M416*$Z$7,
            AND(Q416="GBP", $Q$2="HKD"), M416*$Z$8,
            AND(Q416="HKG", $Q$2="HKG"), M416,
            AND(Q416="HKD", $Q$2="USD"), M416*$Z$9,
            AND(Q416="HKD", $Q$2="GBP"), M416*$Z$10,
            AND(Q416="HKD", $Q$2="EUR"), M416*$Z$11,
            AND(Q416="EUR", $Q$2="EUR"), M416,
            AND(Q416="EUR", $Q$2="USD"), M416*$Z$12,
            AND(Q416="EUR", $Q$2="GBP"), M416*$Z$13,
            AND(Q416="EUR", $Q$2="HKD"), M416*$Z$14,
        ),
        0
    )
)</f>
        <v>3148</v>
      </c>
      <c r="T416" s="1" t="str">
        <f t="shared" si="99"/>
        <v>11</v>
      </c>
      <c r="U416" s="8" t="str">
        <f t="shared" si="100"/>
        <v>03</v>
      </c>
      <c r="V416" s="1" t="str">
        <f t="shared" si="101"/>
        <v>2024</v>
      </c>
      <c r="W416" s="18" t="str">
        <f t="shared" si="102"/>
        <v>星期一</v>
      </c>
    </row>
    <row r="417" spans="1:23">
      <c r="A417" s="17" t="s">
        <v>6</v>
      </c>
      <c r="B417" s="1" t="s">
        <v>348</v>
      </c>
      <c r="C417" s="9">
        <v>45363</v>
      </c>
      <c r="D417" s="1" t="s">
        <v>47</v>
      </c>
      <c r="E417" s="1" t="s">
        <v>4</v>
      </c>
      <c r="F417" s="1" t="s">
        <v>349</v>
      </c>
      <c r="H417" s="1" t="s">
        <v>367</v>
      </c>
      <c r="I417" s="1">
        <v>1.111E-2</v>
      </c>
      <c r="J417" s="27">
        <v>72000</v>
      </c>
      <c r="K417" s="1">
        <v>0.79991999999999996</v>
      </c>
      <c r="M417" s="25">
        <f t="shared" si="52"/>
        <v>799.12007999999992</v>
      </c>
      <c r="N417" s="17">
        <f t="shared" si="35"/>
        <v>799.92</v>
      </c>
      <c r="O417" s="34">
        <f>IF(ISBLANK(A417),"",SUMIFS(I$3:I417,D$3:D417,D417,H$3:H417,"Buy")+SUMIFS(I$3:I417,D$3:D417,D417,H$3:H417,"Cash Deposit")+SUMIFS(I$3:I417,D$3:D417,D417,H$3:H417,"Crypto Deposit")+SUMIFS(I$3:I417,D$3:D417,D417,H$3:H417,"Airdrop/Rewards")-SUMIFS(I$3:I417,D$3:D417,D417,H$3:H417,"Sell"))</f>
        <v>0.23272523994681654</v>
      </c>
      <c r="P417" s="2" cm="1">
        <f t="array" ref="P417">IF(ISBLANK(A417),"",IFERROR(IF(OR(H417="Sell",F417="Stable Coin"),INDEX(_xlfn._xlws.FILTER(P$2:P416, D$2:D416=D417),COUNT(_xlfn._xlws.FILTER(P$2:P416, D$2:D416=D417))),(INDEX(_xlfn._xlws.FILTER(P$2:P416, D$2:D416=D417),COUNT(_xlfn._xlws.FILTER(P$2:P416, D$2:D416=D417)))*INDEX(_xlfn._xlws.FILTER(O$2:O416, D$2:D416=D417),COUNT(_xlfn._xlws.FILTER(O$2:O416, D$2:D416=D417)))-N417) / O417), J417))</f>
        <v>32216.561571265273</v>
      </c>
      <c r="Q417" s="1" t="str">
        <f t="shared" si="98"/>
        <v>USD</v>
      </c>
      <c r="R417" s="1" cm="1">
        <f t="array" ref="R417">IF(A417="", "",
    IFERROR(
        _xlfn.SWITCH(
            TRUE,
            AND(Q417="USD", $Q$2="USD"), K417,
            AND(Q417="USD", $Q$2="GBP"), K417*$Z$3,
            AND(Q417="USD", $Q$2="HKD"), K417*$Z$4,
            AND(Q417="USD", $Q$2="EUR"), K417*$Z$5,
            AND(Q417="GBP", $Q$2="GBP"), K417,
            AND(Q417="GBP", $Q$2="USD"), K417*$Z$6,
            AND(Q417="GBP", $Q$2="HKD"), K417*$Z$7,
            AND(Q417="HKG", $Q$2="HKG"), K417,
            AND(Q417="HKD", $Q$2="USD"), K417*$Z$9,
            AND(Q417="HKD", $Q$2="GBP"), K417*$Z$10,
            AND(Q417="HKD", $Q$2="EUR"), K417*$Z$11,
            AND(Q417="EUR", $Q$2="EUR"), K417,
            AND(Q417="EUR", $Q$2="USD"), K417*$Z$12,
            AND(Q417="EUR", $Q$2="GBP"), K417*$Z$13,
            AND(Q417="EUR", $Q$2="HKD"), K417*$Z$14,
        ),
        0
    )
)</f>
        <v>0.79991999999999996</v>
      </c>
      <c r="S417" s="1" cm="1">
        <f t="array" ref="S417">IF(A417="", "",
    IFERROR(
        _xlfn.SWITCH(
            TRUE,
            AND(Q417="USD", $Q$2="USD"), M417,
            AND(Q417="USD", $Q$2="GBP"), M417*$Z$3,
            AND(Q417="USD", $Q$2="HKD"), M417*$Z$4,
            AND(Q417="USD", $Q$2="EUR"), M417*$Z$5,
            AND(Q417="GBP", $Q$2="GBP"), M417,
            AND(Q417="GBP", $Q$2="USD"), M417*$Z$6,
            AND(Q417="GBP", $Q$2="HKD"), M417*$Z$7,
            AND(Q417="GBP", $Q$2="HKD"), M417*$Z$8,
            AND(Q417="HKG", $Q$2="HKG"), M417,
            AND(Q417="HKD", $Q$2="USD"), M417*$Z$9,
            AND(Q417="HKD", $Q$2="GBP"), M417*$Z$10,
            AND(Q417="HKD", $Q$2="EUR"), M417*$Z$11,
            AND(Q417="EUR", $Q$2="EUR"), M417,
            AND(Q417="EUR", $Q$2="USD"), M417*$Z$12,
            AND(Q417="EUR", $Q$2="GBP"), M417*$Z$13,
            AND(Q417="EUR", $Q$2="HKD"), M417*$Z$14,
        ),
        0
    )
)</f>
        <v>799.12007999999992</v>
      </c>
      <c r="T417" s="1" t="str">
        <f t="shared" si="99"/>
        <v>12</v>
      </c>
      <c r="U417" s="8" t="str">
        <f t="shared" si="100"/>
        <v>03</v>
      </c>
      <c r="V417" s="1" t="str">
        <f t="shared" si="101"/>
        <v>2024</v>
      </c>
      <c r="W417" s="18" t="str">
        <f t="shared" si="102"/>
        <v>星期二</v>
      </c>
    </row>
    <row r="418" spans="1:23">
      <c r="A418" s="17" t="s">
        <v>6</v>
      </c>
      <c r="B418" s="1" t="s">
        <v>348</v>
      </c>
      <c r="C418" s="9">
        <v>45363</v>
      </c>
      <c r="D418" s="1" t="s">
        <v>364</v>
      </c>
      <c r="E418" s="1" t="s">
        <v>114</v>
      </c>
      <c r="F418" s="1" t="s">
        <v>346</v>
      </c>
      <c r="H418" s="1" t="s">
        <v>347</v>
      </c>
      <c r="I418" s="1">
        <v>799.92</v>
      </c>
      <c r="J418" s="27">
        <v>1</v>
      </c>
      <c r="M418" s="25">
        <f t="shared" si="52"/>
        <v>799.92</v>
      </c>
      <c r="N418" s="17">
        <f t="shared" si="35"/>
        <v>-799.92</v>
      </c>
      <c r="O418" s="34">
        <f>IF(ISBLANK(A418),"",SUMIFS(I$3:I418,D$3:D418,D418,H$3:H418,"Buy")+SUMIFS(I$3:I418,D$3:D418,D418,H$3:H418,"Cash Deposit")+SUMIFS(I$3:I418,D$3:D418,D418,H$3:H418,"Crypto Deposit")+SUMIFS(I$3:I418,D$3:D418,D418,H$3:H418,"Airdrop/Rewards")-SUMIFS(I$3:I418,D$3:D418,D418,H$3:H418,"Sell"))</f>
        <v>9412.8361550803893</v>
      </c>
      <c r="P418" s="2" cm="1">
        <f t="array" ref="P418">IF(ISBLANK(A418),"",IFERROR(IF(OR(H418="Sell",F418="Stable Coin"),INDEX(_xlfn._xlws.FILTER(P$2:P417, D$2:D417=D418),COUNT(_xlfn._xlws.FILTER(P$2:P417, D$2:D417=D418))),(INDEX(_xlfn._xlws.FILTER(P$2:P417, D$2:D417=D418),COUNT(_xlfn._xlws.FILTER(P$2:P417, D$2:D417=D418)))*INDEX(_xlfn._xlws.FILTER(O$2:O417, D$2:D417=D418),COUNT(_xlfn._xlws.FILTER(O$2:O417, D$2:D417=D418)))-N418) / O418), J418))</f>
        <v>1</v>
      </c>
      <c r="Q418" s="1" t="str">
        <f t="shared" si="98"/>
        <v>USD</v>
      </c>
      <c r="R418" s="1" cm="1">
        <f t="array" ref="R418">IF(A418="", "",
    IFERROR(
        _xlfn.SWITCH(
            TRUE,
            AND(Q418="USD", $Q$2="USD"), K418,
            AND(Q418="USD", $Q$2="GBP"), K418*$Z$3,
            AND(Q418="USD", $Q$2="HKD"), K418*$Z$4,
            AND(Q418="USD", $Q$2="EUR"), K418*$Z$5,
            AND(Q418="GBP", $Q$2="GBP"), K418,
            AND(Q418="GBP", $Q$2="USD"), K418*$Z$6,
            AND(Q418="GBP", $Q$2="HKD"), K418*$Z$7,
            AND(Q418="HKG", $Q$2="HKG"), K418,
            AND(Q418="HKD", $Q$2="USD"), K418*$Z$9,
            AND(Q418="HKD", $Q$2="GBP"), K418*$Z$10,
            AND(Q418="HKD", $Q$2="EUR"), K418*$Z$11,
            AND(Q418="EUR", $Q$2="EUR"), K418,
            AND(Q418="EUR", $Q$2="USD"), K418*$Z$12,
            AND(Q418="EUR", $Q$2="GBP"), K418*$Z$13,
            AND(Q418="EUR", $Q$2="HKD"), K418*$Z$14,
        ),
        0
    )
)</f>
        <v>0</v>
      </c>
      <c r="S418" s="1" cm="1">
        <f t="array" ref="S418">IF(A418="", "",
    IFERROR(
        _xlfn.SWITCH(
            TRUE,
            AND(Q418="USD", $Q$2="USD"), M418,
            AND(Q418="USD", $Q$2="GBP"), M418*$Z$3,
            AND(Q418="USD", $Q$2="HKD"), M418*$Z$4,
            AND(Q418="USD", $Q$2="EUR"), M418*$Z$5,
            AND(Q418="GBP", $Q$2="GBP"), M418,
            AND(Q418="GBP", $Q$2="USD"), M418*$Z$6,
            AND(Q418="GBP", $Q$2="HKD"), M418*$Z$7,
            AND(Q418="GBP", $Q$2="HKD"), M418*$Z$8,
            AND(Q418="HKG", $Q$2="HKG"), M418,
            AND(Q418="HKD", $Q$2="USD"), M418*$Z$9,
            AND(Q418="HKD", $Q$2="GBP"), M418*$Z$10,
            AND(Q418="HKD", $Q$2="EUR"), M418*$Z$11,
            AND(Q418="EUR", $Q$2="EUR"), M418,
            AND(Q418="EUR", $Q$2="USD"), M418*$Z$12,
            AND(Q418="EUR", $Q$2="GBP"), M418*$Z$13,
            AND(Q418="EUR", $Q$2="HKD"), M418*$Z$14,
        ),
        0
    )
)</f>
        <v>799.92</v>
      </c>
      <c r="T418" s="1" t="str">
        <f t="shared" si="99"/>
        <v>12</v>
      </c>
      <c r="U418" s="8" t="str">
        <f t="shared" si="100"/>
        <v>03</v>
      </c>
      <c r="V418" s="1" t="str">
        <f t="shared" si="101"/>
        <v>2024</v>
      </c>
      <c r="W418" s="18" t="str">
        <f t="shared" si="102"/>
        <v>星期二</v>
      </c>
    </row>
    <row r="419" spans="1:23">
      <c r="A419" s="17" t="s">
        <v>59</v>
      </c>
      <c r="B419" s="1" t="s">
        <v>348</v>
      </c>
      <c r="C419" s="9">
        <v>45363</v>
      </c>
      <c r="D419" s="1" t="s">
        <v>50</v>
      </c>
      <c r="E419" s="1" t="s">
        <v>39</v>
      </c>
      <c r="F419" s="1" t="s">
        <v>349</v>
      </c>
      <c r="H419" s="1" t="s">
        <v>359</v>
      </c>
      <c r="I419" s="1">
        <v>72.58</v>
      </c>
      <c r="J419" s="27">
        <v>1.1599999999999999</v>
      </c>
      <c r="K419" s="1">
        <v>1.36</v>
      </c>
      <c r="M419" s="25">
        <f t="shared" si="52"/>
        <v>84.192799999999991</v>
      </c>
      <c r="N419" s="17">
        <f t="shared" si="35"/>
        <v>0</v>
      </c>
      <c r="O419" s="34">
        <f>IF(ISBLANK(A419),"",SUMIFS(I$3:I419,D$3:D419,D419,H$3:H419,"Buy")+SUMIFS(I$3:I419,D$3:D419,D419,H$3:H419,"Cash Deposit")+SUMIFS(I$3:I419,D$3:D419,D419,H$3:H419,"Crypto Deposit")+SUMIFS(I$3:I419,D$3:D419,D419,H$3:H419,"Airdrop/Rewards")-SUMIFS(I$3:I419,D$3:D419,D419,H$3:H419,"Sell"))</f>
        <v>908.16390000000001</v>
      </c>
      <c r="P419" s="2" cm="1">
        <f t="array" ref="P419">IF(ISBLANK(A419),"",IFERROR(IF(OR(H419="Sell",F419="Stable Coin"),INDEX(_xlfn._xlws.FILTER(P$2:P418, D$2:D418=D419),COUNT(_xlfn._xlws.FILTER(P$2:P418, D$2:D418=D419))),(INDEX(_xlfn._xlws.FILTER(P$2:P418, D$2:D418=D419),COUNT(_xlfn._xlws.FILTER(P$2:P418, D$2:D418=D419)))*INDEX(_xlfn._xlws.FILTER(O$2:O418, D$2:D418=D419),COUNT(_xlfn._xlws.FILTER(O$2:O418, D$2:D418=D419)))-N419) / O419), J419))</f>
        <v>0.84831603634542174</v>
      </c>
      <c r="Q419" s="1" t="str">
        <f t="shared" si="98"/>
        <v>USD</v>
      </c>
      <c r="R419" s="1" cm="1">
        <f t="array" ref="R419">IF(A419="", "",
    IFERROR(
        _xlfn.SWITCH(
            TRUE,
            AND(Q419="USD", $Q$2="USD"), K419,
            AND(Q419="USD", $Q$2="GBP"), K419*$Z$3,
            AND(Q419="USD", $Q$2="HKD"), K419*$Z$4,
            AND(Q419="USD", $Q$2="EUR"), K419*$Z$5,
            AND(Q419="GBP", $Q$2="GBP"), K419,
            AND(Q419="GBP", $Q$2="USD"), K419*$Z$6,
            AND(Q419="GBP", $Q$2="HKD"), K419*$Z$7,
            AND(Q419="HKG", $Q$2="HKG"), K419,
            AND(Q419="HKD", $Q$2="USD"), K419*$Z$9,
            AND(Q419="HKD", $Q$2="GBP"), K419*$Z$10,
            AND(Q419="HKD", $Q$2="EUR"), K419*$Z$11,
            AND(Q419="EUR", $Q$2="EUR"), K419,
            AND(Q419="EUR", $Q$2="USD"), K419*$Z$12,
            AND(Q419="EUR", $Q$2="GBP"), K419*$Z$13,
            AND(Q419="EUR", $Q$2="HKD"), K419*$Z$14,
        ),
        0
    )
)</f>
        <v>1.36</v>
      </c>
      <c r="S419" s="1" cm="1">
        <f t="array" ref="S419">IF(A419="", "",
    IFERROR(
        _xlfn.SWITCH(
            TRUE,
            AND(Q419="USD", $Q$2="USD"), M419,
            AND(Q419="USD", $Q$2="GBP"), M419*$Z$3,
            AND(Q419="USD", $Q$2="HKD"), M419*$Z$4,
            AND(Q419="USD", $Q$2="EUR"), M419*$Z$5,
            AND(Q419="GBP", $Q$2="GBP"), M419,
            AND(Q419="GBP", $Q$2="USD"), M419*$Z$6,
            AND(Q419="GBP", $Q$2="HKD"), M419*$Z$7,
            AND(Q419="GBP", $Q$2="HKD"), M419*$Z$8,
            AND(Q419="HKG", $Q$2="HKG"), M419,
            AND(Q419="HKD", $Q$2="USD"), M419*$Z$9,
            AND(Q419="HKD", $Q$2="GBP"), M419*$Z$10,
            AND(Q419="HKD", $Q$2="EUR"), M419*$Z$11,
            AND(Q419="EUR", $Q$2="EUR"), M419,
            AND(Q419="EUR", $Q$2="USD"), M419*$Z$12,
            AND(Q419="EUR", $Q$2="GBP"), M419*$Z$13,
            AND(Q419="EUR", $Q$2="HKD"), M419*$Z$14,
        ),
        0
    )
)</f>
        <v>84.192799999999991</v>
      </c>
      <c r="T419" s="1" t="str">
        <f t="shared" si="99"/>
        <v>12</v>
      </c>
      <c r="U419" s="8" t="str">
        <f t="shared" si="100"/>
        <v>03</v>
      </c>
      <c r="V419" s="1" t="str">
        <f t="shared" si="101"/>
        <v>2024</v>
      </c>
      <c r="W419" s="18" t="str">
        <f t="shared" si="102"/>
        <v>星期二</v>
      </c>
    </row>
    <row r="420" spans="1:23">
      <c r="A420" s="17" t="s">
        <v>6</v>
      </c>
      <c r="B420" s="1" t="s">
        <v>348</v>
      </c>
      <c r="C420" s="9">
        <v>45364</v>
      </c>
      <c r="D420" s="1" t="s">
        <v>364</v>
      </c>
      <c r="E420" s="1" t="s">
        <v>114</v>
      </c>
      <c r="F420" s="1" t="s">
        <v>346</v>
      </c>
      <c r="H420" s="1" t="s">
        <v>359</v>
      </c>
      <c r="I420" s="1">
        <v>80.4465</v>
      </c>
      <c r="J420" s="27">
        <v>1</v>
      </c>
      <c r="K420" s="1">
        <v>5.7000000000000002E-2</v>
      </c>
      <c r="M420" s="25">
        <f t="shared" si="52"/>
        <v>80.4465</v>
      </c>
      <c r="N420" s="17">
        <f t="shared" si="35"/>
        <v>0</v>
      </c>
      <c r="O420" s="34">
        <f>IF(ISBLANK(A420),"",SUMIFS(I$3:I420,D$3:D420,D420,H$3:H420,"Buy")+SUMIFS(I$3:I420,D$3:D420,D420,H$3:H420,"Cash Deposit")+SUMIFS(I$3:I420,D$3:D420,D420,H$3:H420,"Crypto Deposit")+SUMIFS(I$3:I420,D$3:D420,D420,H$3:H420,"Airdrop/Rewards")-SUMIFS(I$3:I420,D$3:D420,D420,H$3:H420,"Sell"))</f>
        <v>9493.2826550803875</v>
      </c>
      <c r="P420" s="2" cm="1">
        <f t="array" ref="P420">IF(ISBLANK(A420),"",IFERROR(IF(OR(H420="Sell",F420="Stable Coin"),INDEX(_xlfn._xlws.FILTER(P$2:P419, D$2:D419=D420),COUNT(_xlfn._xlws.FILTER(P$2:P419, D$2:D419=D420))),(INDEX(_xlfn._xlws.FILTER(P$2:P419, D$2:D419=D420),COUNT(_xlfn._xlws.FILTER(P$2:P419, D$2:D419=D420)))*INDEX(_xlfn._xlws.FILTER(O$2:O419, D$2:D419=D420),COUNT(_xlfn._xlws.FILTER(O$2:O419, D$2:D419=D420)))-N420) / O420), J420))</f>
        <v>1</v>
      </c>
      <c r="Q420" s="1" t="str">
        <f t="shared" si="98"/>
        <v>USD</v>
      </c>
      <c r="R420" s="1" cm="1">
        <f t="array" ref="R420">IF(A420="", "",
    IFERROR(
        _xlfn.SWITCH(
            TRUE,
            AND(Q420="USD", $Q$2="USD"), K420,
            AND(Q420="USD", $Q$2="GBP"), K420*$Z$3,
            AND(Q420="USD", $Q$2="HKD"), K420*$Z$4,
            AND(Q420="USD", $Q$2="EUR"), K420*$Z$5,
            AND(Q420="GBP", $Q$2="GBP"), K420,
            AND(Q420="GBP", $Q$2="USD"), K420*$Z$6,
            AND(Q420="GBP", $Q$2="HKD"), K420*$Z$7,
            AND(Q420="HKG", $Q$2="HKG"), K420,
            AND(Q420="HKD", $Q$2="USD"), K420*$Z$9,
            AND(Q420="HKD", $Q$2="GBP"), K420*$Z$10,
            AND(Q420="HKD", $Q$2="EUR"), K420*$Z$11,
            AND(Q420="EUR", $Q$2="EUR"), K420,
            AND(Q420="EUR", $Q$2="USD"), K420*$Z$12,
            AND(Q420="EUR", $Q$2="GBP"), K420*$Z$13,
            AND(Q420="EUR", $Q$2="HKD"), K420*$Z$14,
        ),
        0
    )
)</f>
        <v>5.7000000000000002E-2</v>
      </c>
      <c r="S420" s="1" cm="1">
        <f t="array" ref="S420">IF(A420="", "",
    IFERROR(
        _xlfn.SWITCH(
            TRUE,
            AND(Q420="USD", $Q$2="USD"), M420,
            AND(Q420="USD", $Q$2="GBP"), M420*$Z$3,
            AND(Q420="USD", $Q$2="HKD"), M420*$Z$4,
            AND(Q420="USD", $Q$2="EUR"), M420*$Z$5,
            AND(Q420="GBP", $Q$2="GBP"), M420,
            AND(Q420="GBP", $Q$2="USD"), M420*$Z$6,
            AND(Q420="GBP", $Q$2="HKD"), M420*$Z$7,
            AND(Q420="GBP", $Q$2="HKD"), M420*$Z$8,
            AND(Q420="HKG", $Q$2="HKG"), M420,
            AND(Q420="HKD", $Q$2="USD"), M420*$Z$9,
            AND(Q420="HKD", $Q$2="GBP"), M420*$Z$10,
            AND(Q420="HKD", $Q$2="EUR"), M420*$Z$11,
            AND(Q420="EUR", $Q$2="EUR"), M420,
            AND(Q420="EUR", $Q$2="USD"), M420*$Z$12,
            AND(Q420="EUR", $Q$2="GBP"), M420*$Z$13,
            AND(Q420="EUR", $Q$2="HKD"), M420*$Z$14,
        ),
        0
    )
)</f>
        <v>80.4465</v>
      </c>
      <c r="T420" s="1" t="str">
        <f t="shared" si="99"/>
        <v>13</v>
      </c>
      <c r="U420" s="8" t="str">
        <f t="shared" si="100"/>
        <v>03</v>
      </c>
      <c r="V420" s="1" t="str">
        <f t="shared" si="101"/>
        <v>2024</v>
      </c>
      <c r="W420" s="18" t="str">
        <f t="shared" si="102"/>
        <v>星期三</v>
      </c>
    </row>
    <row r="421" spans="1:23">
      <c r="A421" s="17" t="s">
        <v>59</v>
      </c>
      <c r="B421" s="1" t="s">
        <v>348</v>
      </c>
      <c r="C421" s="9">
        <v>45364</v>
      </c>
      <c r="D421" s="1" t="s">
        <v>60</v>
      </c>
      <c r="E421" s="1" t="s">
        <v>424</v>
      </c>
      <c r="F421" s="1" t="s">
        <v>349</v>
      </c>
      <c r="H421" s="1" t="s">
        <v>367</v>
      </c>
      <c r="I421" s="1">
        <v>6.0000000000000002E-5</v>
      </c>
      <c r="J421" s="27">
        <v>73166</v>
      </c>
      <c r="K421" s="1">
        <v>0.37</v>
      </c>
      <c r="M421" s="25">
        <f t="shared" si="52"/>
        <v>4.0199600000000002</v>
      </c>
      <c r="N421" s="17">
        <f t="shared" si="35"/>
        <v>4.3899600000000003</v>
      </c>
      <c r="O421" s="34">
        <f>IF(ISBLANK(A421),"",SUMIFS(I$3:I421,D$3:D421,D421,H$3:H421,"Buy")+SUMIFS(I$3:I421,D$3:D421,D421,H$3:H421,"Cash Deposit")+SUMIFS(I$3:I421,D$3:D421,D421,H$3:H421,"Crypto Deposit")+SUMIFS(I$3:I421,D$3:D421,D421,H$3:H421,"Airdrop/Rewards")-SUMIFS(I$3:I421,D$3:D421,D421,H$3:H421,"Sell"))</f>
        <v>0.30379499999999998</v>
      </c>
      <c r="P421" s="2" cm="1">
        <f t="array" ref="P421">IF(ISBLANK(A421),"",IFERROR(IF(OR(H421="Sell",F421="Stable Coin"),INDEX(_xlfn._xlws.FILTER(P$2:P420, D$2:D420=D421),COUNT(_xlfn._xlws.FILTER(P$2:P420, D$2:D420=D421))),(INDEX(_xlfn._xlws.FILTER(P$2:P420, D$2:D420=D421),COUNT(_xlfn._xlws.FILTER(P$2:P420, D$2:D420=D421)))*INDEX(_xlfn._xlws.FILTER(O$2:O420, D$2:D420=D421),COUNT(_xlfn._xlws.FILTER(O$2:O420, D$2:D420=D421)))-N421) / O421), J421))</f>
        <v>43187.997403202186</v>
      </c>
      <c r="Q421" s="1" t="str">
        <f t="shared" si="98"/>
        <v>USD</v>
      </c>
      <c r="R421" s="1" cm="1">
        <f t="array" ref="R421">IF(A421="", "",
    IFERROR(
        _xlfn.SWITCH(
            TRUE,
            AND(Q421="USD", $Q$2="USD"), K421,
            AND(Q421="USD", $Q$2="GBP"), K421*$Z$3,
            AND(Q421="USD", $Q$2="HKD"), K421*$Z$4,
            AND(Q421="USD", $Q$2="EUR"), K421*$Z$5,
            AND(Q421="GBP", $Q$2="GBP"), K421,
            AND(Q421="GBP", $Q$2="USD"), K421*$Z$6,
            AND(Q421="GBP", $Q$2="HKD"), K421*$Z$7,
            AND(Q421="HKG", $Q$2="HKG"), K421,
            AND(Q421="HKD", $Q$2="USD"), K421*$Z$9,
            AND(Q421="HKD", $Q$2="GBP"), K421*$Z$10,
            AND(Q421="HKD", $Q$2="EUR"), K421*$Z$11,
            AND(Q421="EUR", $Q$2="EUR"), K421,
            AND(Q421="EUR", $Q$2="USD"), K421*$Z$12,
            AND(Q421="EUR", $Q$2="GBP"), K421*$Z$13,
            AND(Q421="EUR", $Q$2="HKD"), K421*$Z$14,
        ),
        0
    )
)</f>
        <v>0.37</v>
      </c>
      <c r="S421" s="1" cm="1">
        <f t="array" ref="S421">IF(A421="", "",
    IFERROR(
        _xlfn.SWITCH(
            TRUE,
            AND(Q421="USD", $Q$2="USD"), M421,
            AND(Q421="USD", $Q$2="GBP"), M421*$Z$3,
            AND(Q421="USD", $Q$2="HKD"), M421*$Z$4,
            AND(Q421="USD", $Q$2="EUR"), M421*$Z$5,
            AND(Q421="GBP", $Q$2="GBP"), M421,
            AND(Q421="GBP", $Q$2="USD"), M421*$Z$6,
            AND(Q421="GBP", $Q$2="HKD"), M421*$Z$7,
            AND(Q421="GBP", $Q$2="HKD"), M421*$Z$8,
            AND(Q421="HKG", $Q$2="HKG"), M421,
            AND(Q421="HKD", $Q$2="USD"), M421*$Z$9,
            AND(Q421="HKD", $Q$2="GBP"), M421*$Z$10,
            AND(Q421="HKD", $Q$2="EUR"), M421*$Z$11,
            AND(Q421="EUR", $Q$2="EUR"), M421,
            AND(Q421="EUR", $Q$2="USD"), M421*$Z$12,
            AND(Q421="EUR", $Q$2="GBP"), M421*$Z$13,
            AND(Q421="EUR", $Q$2="HKD"), M421*$Z$14,
        ),
        0
    )
)</f>
        <v>4.0199600000000002</v>
      </c>
      <c r="T421" s="1" t="str">
        <f t="shared" si="99"/>
        <v>13</v>
      </c>
      <c r="U421" s="8" t="str">
        <f t="shared" si="100"/>
        <v>03</v>
      </c>
      <c r="V421" s="1" t="str">
        <f t="shared" si="101"/>
        <v>2024</v>
      </c>
      <c r="W421" s="18" t="str">
        <f t="shared" si="102"/>
        <v>星期三</v>
      </c>
    </row>
    <row r="422" spans="1:23">
      <c r="A422" s="17" t="s">
        <v>59</v>
      </c>
      <c r="B422" s="1" t="s">
        <v>348</v>
      </c>
      <c r="C422" s="9">
        <v>45364</v>
      </c>
      <c r="D422" s="1" t="s">
        <v>50</v>
      </c>
      <c r="E422" s="1" t="s">
        <v>39</v>
      </c>
      <c r="F422" s="1" t="s">
        <v>349</v>
      </c>
      <c r="H422" s="1" t="s">
        <v>347</v>
      </c>
      <c r="I422" s="1">
        <v>3.4</v>
      </c>
      <c r="J422" s="27">
        <v>1.2794000000000001</v>
      </c>
      <c r="M422" s="25">
        <f t="shared" si="52"/>
        <v>4.3499600000000003</v>
      </c>
      <c r="N422" s="17">
        <f t="shared" si="35"/>
        <v>-4.3499600000000003</v>
      </c>
      <c r="O422" s="34">
        <f>IF(ISBLANK(A422),"",SUMIFS(I$3:I422,D$3:D422,D422,H$3:H422,"Buy")+SUMIFS(I$3:I422,D$3:D422,D422,H$3:H422,"Cash Deposit")+SUMIFS(I$3:I422,D$3:D422,D422,H$3:H422,"Crypto Deposit")+SUMIFS(I$3:I422,D$3:D422,D422,H$3:H422,"Airdrop/Rewards")-SUMIFS(I$3:I422,D$3:D422,D422,H$3:H422,"Sell"))</f>
        <v>911.56389999999999</v>
      </c>
      <c r="P422" s="2" cm="1">
        <f t="array" ref="P422">IF(ISBLANK(A422),"",IFERROR(IF(OR(H422="Sell",F422="Stable Coin"),INDEX(_xlfn._xlws.FILTER(P$2:P421, D$2:D421=D422),COUNT(_xlfn._xlws.FILTER(P$2:P421, D$2:D421=D422))),(INDEX(_xlfn._xlws.FILTER(P$2:P421, D$2:D421=D422),COUNT(_xlfn._xlws.FILTER(P$2:P421, D$2:D421=D422)))*INDEX(_xlfn._xlws.FILTER(O$2:O421, D$2:D421=D422),COUNT(_xlfn._xlws.FILTER(O$2:O421, D$2:D421=D422)))-N422) / O422), J422))</f>
        <v>0.84992391646926779</v>
      </c>
      <c r="Q422" s="1" t="str">
        <f t="shared" si="98"/>
        <v>USD</v>
      </c>
      <c r="R422" s="1" cm="1">
        <f t="array" ref="R422">IF(A422="", "",
    IFERROR(
        _xlfn.SWITCH(
            TRUE,
            AND(Q422="USD", $Q$2="USD"), K422,
            AND(Q422="USD", $Q$2="GBP"), K422*$Z$3,
            AND(Q422="USD", $Q$2="HKD"), K422*$Z$4,
            AND(Q422="USD", $Q$2="EUR"), K422*$Z$5,
            AND(Q422="GBP", $Q$2="GBP"), K422,
            AND(Q422="GBP", $Q$2="USD"), K422*$Z$6,
            AND(Q422="GBP", $Q$2="HKD"), K422*$Z$7,
            AND(Q422="HKG", $Q$2="HKG"), K422,
            AND(Q422="HKD", $Q$2="USD"), K422*$Z$9,
            AND(Q422="HKD", $Q$2="GBP"), K422*$Z$10,
            AND(Q422="HKD", $Q$2="EUR"), K422*$Z$11,
            AND(Q422="EUR", $Q$2="EUR"), K422,
            AND(Q422="EUR", $Q$2="USD"), K422*$Z$12,
            AND(Q422="EUR", $Q$2="GBP"), K422*$Z$13,
            AND(Q422="EUR", $Q$2="HKD"), K422*$Z$14,
        ),
        0
    )
)</f>
        <v>0</v>
      </c>
      <c r="S422" s="1" cm="1">
        <f t="array" ref="S422">IF(A422="", "",
    IFERROR(
        _xlfn.SWITCH(
            TRUE,
            AND(Q422="USD", $Q$2="USD"), M422,
            AND(Q422="USD", $Q$2="GBP"), M422*$Z$3,
            AND(Q422="USD", $Q$2="HKD"), M422*$Z$4,
            AND(Q422="USD", $Q$2="EUR"), M422*$Z$5,
            AND(Q422="GBP", $Q$2="GBP"), M422,
            AND(Q422="GBP", $Q$2="USD"), M422*$Z$6,
            AND(Q422="GBP", $Q$2="HKD"), M422*$Z$7,
            AND(Q422="GBP", $Q$2="HKD"), M422*$Z$8,
            AND(Q422="HKG", $Q$2="HKG"), M422,
            AND(Q422="HKD", $Q$2="USD"), M422*$Z$9,
            AND(Q422="HKD", $Q$2="GBP"), M422*$Z$10,
            AND(Q422="HKD", $Q$2="EUR"), M422*$Z$11,
            AND(Q422="EUR", $Q$2="EUR"), M422,
            AND(Q422="EUR", $Q$2="USD"), M422*$Z$12,
            AND(Q422="EUR", $Q$2="GBP"), M422*$Z$13,
            AND(Q422="EUR", $Q$2="HKD"), M422*$Z$14,
        ),
        0
    )
)</f>
        <v>4.3499600000000003</v>
      </c>
      <c r="T422" s="1" t="str">
        <f t="shared" si="99"/>
        <v>13</v>
      </c>
      <c r="U422" s="8" t="str">
        <f t="shared" si="100"/>
        <v>03</v>
      </c>
      <c r="V422" s="1" t="str">
        <f t="shared" si="101"/>
        <v>2024</v>
      </c>
      <c r="W422" s="18" t="str">
        <f t="shared" si="102"/>
        <v>星期三</v>
      </c>
    </row>
    <row r="423" spans="1:23">
      <c r="A423" s="17" t="s">
        <v>6</v>
      </c>
      <c r="B423" s="1" t="s">
        <v>348</v>
      </c>
      <c r="C423" s="9">
        <v>45364</v>
      </c>
      <c r="D423" s="1" t="s">
        <v>47</v>
      </c>
      <c r="E423" s="1" t="s">
        <v>4</v>
      </c>
      <c r="F423" s="1" t="s">
        <v>349</v>
      </c>
      <c r="H423" s="1" t="s">
        <v>367</v>
      </c>
      <c r="I423" s="1">
        <v>1.0880000000000001E-2</v>
      </c>
      <c r="J423" s="27">
        <v>73330</v>
      </c>
      <c r="K423" s="1">
        <v>0.79779999999999995</v>
      </c>
      <c r="M423" s="25">
        <f t="shared" si="52"/>
        <v>797.0326</v>
      </c>
      <c r="N423" s="17">
        <f t="shared" si="35"/>
        <v>797.83040000000005</v>
      </c>
      <c r="O423" s="34">
        <f>IF(ISBLANK(A423),"",SUMIFS(I$3:I423,D$3:D423,D423,H$3:H423,"Buy")+SUMIFS(I$3:I423,D$3:D423,D423,H$3:H423,"Cash Deposit")+SUMIFS(I$3:I423,D$3:D423,D423,H$3:H423,"Crypto Deposit")+SUMIFS(I$3:I423,D$3:D423,D423,H$3:H423,"Airdrop/Rewards")-SUMIFS(I$3:I423,D$3:D423,D423,H$3:H423,"Sell"))</f>
        <v>0.22184523994681654</v>
      </c>
      <c r="P423" s="2" cm="1">
        <f t="array" ref="P423">IF(ISBLANK(A423),"",IFERROR(IF(OR(H423="Sell",F423="Stable Coin"),INDEX(_xlfn._xlws.FILTER(P$2:P422, D$2:D422=D423),COUNT(_xlfn._xlws.FILTER(P$2:P422, D$2:D422=D423))),(INDEX(_xlfn._xlws.FILTER(P$2:P422, D$2:D422=D423),COUNT(_xlfn._xlws.FILTER(P$2:P422, D$2:D422=D423)))*INDEX(_xlfn._xlws.FILTER(O$2:O422, D$2:D422=D423),COUNT(_xlfn._xlws.FILTER(O$2:O422, D$2:D422=D423)))-N423) / O423), J423))</f>
        <v>32216.561571265273</v>
      </c>
      <c r="Q423" s="1" t="str">
        <f t="shared" ref="Q423:Q427" si="103">B423</f>
        <v>USD</v>
      </c>
      <c r="R423" s="1" cm="1">
        <f t="array" ref="R423">IF(A423="", "",
    IFERROR(
        _xlfn.SWITCH(
            TRUE,
            AND(Q423="USD", $Q$2="USD"), K423,
            AND(Q423="USD", $Q$2="GBP"), K423*$Z$3,
            AND(Q423="USD", $Q$2="HKD"), K423*$Z$4,
            AND(Q423="USD", $Q$2="EUR"), K423*$Z$5,
            AND(Q423="GBP", $Q$2="GBP"), K423,
            AND(Q423="GBP", $Q$2="USD"), K423*$Z$6,
            AND(Q423="GBP", $Q$2="HKD"), K423*$Z$7,
            AND(Q423="HKG", $Q$2="HKG"), K423,
            AND(Q423="HKD", $Q$2="USD"), K423*$Z$9,
            AND(Q423="HKD", $Q$2="GBP"), K423*$Z$10,
            AND(Q423="HKD", $Q$2="EUR"), K423*$Z$11,
            AND(Q423="EUR", $Q$2="EUR"), K423,
            AND(Q423="EUR", $Q$2="USD"), K423*$Z$12,
            AND(Q423="EUR", $Q$2="GBP"), K423*$Z$13,
            AND(Q423="EUR", $Q$2="HKD"), K423*$Z$14,
        ),
        0
    )
)</f>
        <v>0.79779999999999995</v>
      </c>
      <c r="S423" s="1" cm="1">
        <f t="array" ref="S423">IF(A423="", "",
    IFERROR(
        _xlfn.SWITCH(
            TRUE,
            AND(Q423="USD", $Q$2="USD"), M423,
            AND(Q423="USD", $Q$2="GBP"), M423*$Z$3,
            AND(Q423="USD", $Q$2="HKD"), M423*$Z$4,
            AND(Q423="USD", $Q$2="EUR"), M423*$Z$5,
            AND(Q423="GBP", $Q$2="GBP"), M423,
            AND(Q423="GBP", $Q$2="USD"), M423*$Z$6,
            AND(Q423="GBP", $Q$2="HKD"), M423*$Z$7,
            AND(Q423="GBP", $Q$2="HKD"), M423*$Z$8,
            AND(Q423="HKG", $Q$2="HKG"), M423,
            AND(Q423="HKD", $Q$2="USD"), M423*$Z$9,
            AND(Q423="HKD", $Q$2="GBP"), M423*$Z$10,
            AND(Q423="HKD", $Q$2="EUR"), M423*$Z$11,
            AND(Q423="EUR", $Q$2="EUR"), M423,
            AND(Q423="EUR", $Q$2="USD"), M423*$Z$12,
            AND(Q423="EUR", $Q$2="GBP"), M423*$Z$13,
            AND(Q423="EUR", $Q$2="HKD"), M423*$Z$14,
        ),
        0
    )
)</f>
        <v>797.0326</v>
      </c>
      <c r="T423" s="1" t="str">
        <f t="shared" ref="T423:T427" si="104">IF(ISBLANK(A423),"",TEXT(C423,"D"))</f>
        <v>13</v>
      </c>
      <c r="U423" s="8" t="str">
        <f t="shared" ref="U423:U427" si="105">IF(ISBLANK(A423),"",TEXT(C423,"MM"))</f>
        <v>03</v>
      </c>
      <c r="V423" s="1" t="str">
        <f t="shared" ref="V423:V427" si="106">IF(ISBLANK(A423),"",TEXT(C423,"YYYY"))</f>
        <v>2024</v>
      </c>
      <c r="W423" s="18" t="str">
        <f t="shared" ref="W423:W427" si="107">IF(ISBLANK(A423),"",TEXT(WEEKDAY(C423,1),"dddd"))</f>
        <v>星期三</v>
      </c>
    </row>
    <row r="424" spans="1:23">
      <c r="A424" s="17" t="s">
        <v>6</v>
      </c>
      <c r="B424" s="1" t="s">
        <v>348</v>
      </c>
      <c r="C424" s="9">
        <v>45364</v>
      </c>
      <c r="D424" s="1" t="s">
        <v>364</v>
      </c>
      <c r="E424" s="1" t="s">
        <v>114</v>
      </c>
      <c r="F424" s="1" t="s">
        <v>346</v>
      </c>
      <c r="H424" s="1" t="s">
        <v>347</v>
      </c>
      <c r="I424" s="1">
        <v>797.83040000000005</v>
      </c>
      <c r="J424" s="27">
        <v>1</v>
      </c>
      <c r="M424" s="25">
        <f t="shared" si="52"/>
        <v>797.83040000000005</v>
      </c>
      <c r="N424" s="17">
        <f t="shared" si="35"/>
        <v>-797.83040000000005</v>
      </c>
      <c r="O424" s="34">
        <f>IF(ISBLANK(A424),"",SUMIFS(I$3:I424,D$3:D424,D424,H$3:H424,"Buy")+SUMIFS(I$3:I424,D$3:D424,D424,H$3:H424,"Cash Deposit")+SUMIFS(I$3:I424,D$3:D424,D424,H$3:H424,"Crypto Deposit")+SUMIFS(I$3:I424,D$3:D424,D424,H$3:H424,"Airdrop/Rewards")-SUMIFS(I$3:I424,D$3:D424,D424,H$3:H424,"Sell"))</f>
        <v>10291.113055080386</v>
      </c>
      <c r="P424" s="2" cm="1">
        <f t="array" ref="P424">IF(ISBLANK(A424),"",IFERROR(IF(OR(H424="Sell",F424="Stable Coin"),INDEX(_xlfn._xlws.FILTER(P$2:P423, D$2:D423=D424),COUNT(_xlfn._xlws.FILTER(P$2:P423, D$2:D423=D424))),(INDEX(_xlfn._xlws.FILTER(P$2:P423, D$2:D423=D424),COUNT(_xlfn._xlws.FILTER(P$2:P423, D$2:D423=D424)))*INDEX(_xlfn._xlws.FILTER(O$2:O423, D$2:D423=D424),COUNT(_xlfn._xlws.FILTER(O$2:O423, D$2:D423=D424)))-N424) / O424), J424))</f>
        <v>1</v>
      </c>
      <c r="Q424" s="1" t="str">
        <f t="shared" si="103"/>
        <v>USD</v>
      </c>
      <c r="R424" s="1" cm="1">
        <f t="array" ref="R424">IF(A424="", "",
    IFERROR(
        _xlfn.SWITCH(
            TRUE,
            AND(Q424="USD", $Q$2="USD"), K424,
            AND(Q424="USD", $Q$2="GBP"), K424*$Z$3,
            AND(Q424="USD", $Q$2="HKD"), K424*$Z$4,
            AND(Q424="USD", $Q$2="EUR"), K424*$Z$5,
            AND(Q424="GBP", $Q$2="GBP"), K424,
            AND(Q424="GBP", $Q$2="USD"), K424*$Z$6,
            AND(Q424="GBP", $Q$2="HKD"), K424*$Z$7,
            AND(Q424="HKG", $Q$2="HKG"), K424,
            AND(Q424="HKD", $Q$2="USD"), K424*$Z$9,
            AND(Q424="HKD", $Q$2="GBP"), K424*$Z$10,
            AND(Q424="HKD", $Q$2="EUR"), K424*$Z$11,
            AND(Q424="EUR", $Q$2="EUR"), K424,
            AND(Q424="EUR", $Q$2="USD"), K424*$Z$12,
            AND(Q424="EUR", $Q$2="GBP"), K424*$Z$13,
            AND(Q424="EUR", $Q$2="HKD"), K424*$Z$14,
        ),
        0
    )
)</f>
        <v>0</v>
      </c>
      <c r="S424" s="1" cm="1">
        <f t="array" ref="S424">IF(A424="", "",
    IFERROR(
        _xlfn.SWITCH(
            TRUE,
            AND(Q424="USD", $Q$2="USD"), M424,
            AND(Q424="USD", $Q$2="GBP"), M424*$Z$3,
            AND(Q424="USD", $Q$2="HKD"), M424*$Z$4,
            AND(Q424="USD", $Q$2="EUR"), M424*$Z$5,
            AND(Q424="GBP", $Q$2="GBP"), M424,
            AND(Q424="GBP", $Q$2="USD"), M424*$Z$6,
            AND(Q424="GBP", $Q$2="HKD"), M424*$Z$7,
            AND(Q424="GBP", $Q$2="HKD"), M424*$Z$8,
            AND(Q424="HKG", $Q$2="HKG"), M424,
            AND(Q424="HKD", $Q$2="USD"), M424*$Z$9,
            AND(Q424="HKD", $Q$2="GBP"), M424*$Z$10,
            AND(Q424="HKD", $Q$2="EUR"), M424*$Z$11,
            AND(Q424="EUR", $Q$2="EUR"), M424,
            AND(Q424="EUR", $Q$2="USD"), M424*$Z$12,
            AND(Q424="EUR", $Q$2="GBP"), M424*$Z$13,
            AND(Q424="EUR", $Q$2="HKD"), M424*$Z$14,
        ),
        0
    )
)</f>
        <v>797.83040000000005</v>
      </c>
      <c r="T424" s="1" t="str">
        <f t="shared" si="104"/>
        <v>13</v>
      </c>
      <c r="U424" s="8" t="str">
        <f t="shared" si="105"/>
        <v>03</v>
      </c>
      <c r="V424" s="1" t="str">
        <f t="shared" si="106"/>
        <v>2024</v>
      </c>
      <c r="W424" s="18" t="str">
        <f t="shared" si="107"/>
        <v>星期三</v>
      </c>
    </row>
    <row r="425" spans="1:23">
      <c r="A425" s="17" t="s">
        <v>59</v>
      </c>
      <c r="B425" s="1" t="s">
        <v>348</v>
      </c>
      <c r="C425" s="9">
        <v>45365</v>
      </c>
      <c r="D425" s="1" t="s">
        <v>60</v>
      </c>
      <c r="E425" s="1" t="s">
        <v>424</v>
      </c>
      <c r="F425" s="1" t="s">
        <v>349</v>
      </c>
      <c r="H425" s="1" t="s">
        <v>367</v>
      </c>
      <c r="I425" s="1">
        <v>5.0000000000000001E-4</v>
      </c>
      <c r="J425" s="27">
        <v>73500</v>
      </c>
      <c r="K425" s="1">
        <v>5.35</v>
      </c>
      <c r="L425" s="1" t="s">
        <v>585</v>
      </c>
      <c r="M425" s="25">
        <f t="shared" si="52"/>
        <v>31.4</v>
      </c>
      <c r="N425" s="17">
        <f t="shared" si="35"/>
        <v>36.75</v>
      </c>
      <c r="O425" s="34">
        <f>IF(ISBLANK(A425),"",SUMIFS(I$3:I425,D$3:D425,D425,H$3:H425,"Buy")+SUMIFS(I$3:I425,D$3:D425,D425,H$3:H425,"Cash Deposit")+SUMIFS(I$3:I425,D$3:D425,D425,H$3:H425,"Crypto Deposit")+SUMIFS(I$3:I425,D$3:D425,D425,H$3:H425,"Airdrop/Rewards")-SUMIFS(I$3:I425,D$3:D425,D425,H$3:H425,"Sell"))</f>
        <v>0.30329499999999998</v>
      </c>
      <c r="P425" s="2" cm="1">
        <f t="array" ref="P425">IF(ISBLANK(A425),"",IFERROR(IF(OR(H425="Sell",F425="Stable Coin"),INDEX(_xlfn._xlws.FILTER(P$2:P424, D$2:D424=D425),COUNT(_xlfn._xlws.FILTER(P$2:P424, D$2:D424=D425))),(INDEX(_xlfn._xlws.FILTER(P$2:P424, D$2:D424=D425),COUNT(_xlfn._xlws.FILTER(P$2:P424, D$2:D424=D425)))*INDEX(_xlfn._xlws.FILTER(O$2:O424, D$2:D424=D425),COUNT(_xlfn._xlws.FILTER(O$2:O424, D$2:D424=D425)))-N425) / O425), J425))</f>
        <v>43187.997403202186</v>
      </c>
      <c r="Q425" s="1" t="str">
        <f t="shared" si="103"/>
        <v>USD</v>
      </c>
      <c r="R425" s="1" cm="1">
        <f t="array" ref="R425">IF(A425="", "",
    IFERROR(
        _xlfn.SWITCH(
            TRUE,
            AND(Q425="USD", $Q$2="USD"), K425,
            AND(Q425="USD", $Q$2="GBP"), K425*$Z$3,
            AND(Q425="USD", $Q$2="HKD"), K425*$Z$4,
            AND(Q425="USD", $Q$2="EUR"), K425*$Z$5,
            AND(Q425="GBP", $Q$2="GBP"), K425,
            AND(Q425="GBP", $Q$2="USD"), K425*$Z$6,
            AND(Q425="GBP", $Q$2="HKD"), K425*$Z$7,
            AND(Q425="HKG", $Q$2="HKG"), K425,
            AND(Q425="HKD", $Q$2="USD"), K425*$Z$9,
            AND(Q425="HKD", $Q$2="GBP"), K425*$Z$10,
            AND(Q425="HKD", $Q$2="EUR"), K425*$Z$11,
            AND(Q425="EUR", $Q$2="EUR"), K425,
            AND(Q425="EUR", $Q$2="USD"), K425*$Z$12,
            AND(Q425="EUR", $Q$2="GBP"), K425*$Z$13,
            AND(Q425="EUR", $Q$2="HKD"), K425*$Z$14,
        ),
        0
    )
)</f>
        <v>5.35</v>
      </c>
      <c r="S425" s="1" cm="1">
        <f t="array" ref="S425">IF(A425="", "",
    IFERROR(
        _xlfn.SWITCH(
            TRUE,
            AND(Q425="USD", $Q$2="USD"), M425,
            AND(Q425="USD", $Q$2="GBP"), M425*$Z$3,
            AND(Q425="USD", $Q$2="HKD"), M425*$Z$4,
            AND(Q425="USD", $Q$2="EUR"), M425*$Z$5,
            AND(Q425="GBP", $Q$2="GBP"), M425,
            AND(Q425="GBP", $Q$2="USD"), M425*$Z$6,
            AND(Q425="GBP", $Q$2="HKD"), M425*$Z$7,
            AND(Q425="GBP", $Q$2="HKD"), M425*$Z$8,
            AND(Q425="HKG", $Q$2="HKG"), M425,
            AND(Q425="HKD", $Q$2="USD"), M425*$Z$9,
            AND(Q425="HKD", $Q$2="GBP"), M425*$Z$10,
            AND(Q425="HKD", $Q$2="EUR"), M425*$Z$11,
            AND(Q425="EUR", $Q$2="EUR"), M425,
            AND(Q425="EUR", $Q$2="USD"), M425*$Z$12,
            AND(Q425="EUR", $Q$2="GBP"), M425*$Z$13,
            AND(Q425="EUR", $Q$2="HKD"), M425*$Z$14,
        ),
        0
    )
)</f>
        <v>31.4</v>
      </c>
      <c r="T425" s="1" t="str">
        <f t="shared" si="104"/>
        <v>14</v>
      </c>
      <c r="U425" s="8" t="str">
        <f t="shared" si="105"/>
        <v>03</v>
      </c>
      <c r="V425" s="1" t="str">
        <f t="shared" si="106"/>
        <v>2024</v>
      </c>
      <c r="W425" s="18" t="str">
        <f t="shared" si="107"/>
        <v>星期四</v>
      </c>
    </row>
    <row r="426" spans="1:23">
      <c r="A426" s="17" t="s">
        <v>59</v>
      </c>
      <c r="B426" s="1" t="s">
        <v>348</v>
      </c>
      <c r="C426" s="9">
        <v>45365</v>
      </c>
      <c r="D426" s="1" t="s">
        <v>23</v>
      </c>
      <c r="E426" s="1" t="s">
        <v>24</v>
      </c>
      <c r="F426" s="1" t="s">
        <v>349</v>
      </c>
      <c r="H426" s="1" t="s">
        <v>347</v>
      </c>
      <c r="I426" s="1">
        <v>8.6999999999999994E-3</v>
      </c>
      <c r="J426" s="27">
        <v>3980</v>
      </c>
      <c r="M426" s="25">
        <f t="shared" si="52"/>
        <v>34.625999999999998</v>
      </c>
      <c r="N426" s="17">
        <f t="shared" si="35"/>
        <v>-34.625999999999998</v>
      </c>
      <c r="O426" s="34">
        <f>IF(ISBLANK(A426),"",SUMIFS(I$3:I426,D$3:D426,D426,H$3:H426,"Buy")+SUMIFS(I$3:I426,D$3:D426,D426,H$3:H426,"Cash Deposit")+SUMIFS(I$3:I426,D$3:D426,D426,H$3:H426,"Crypto Deposit")+SUMIFS(I$3:I426,D$3:D426,D426,H$3:H426,"Airdrop/Rewards")-SUMIFS(I$3:I426,D$3:D426,D426,H$3:H426,"Sell"))</f>
        <v>10.459189702608805</v>
      </c>
      <c r="P426" s="2" cm="1">
        <f t="array" ref="P426">IF(ISBLANK(A426),"",IFERROR(IF(OR(H426="Sell",F426="Stable Coin"),INDEX(_xlfn._xlws.FILTER(P$2:P425, D$2:D425=D426),COUNT(_xlfn._xlws.FILTER(P$2:P425, D$2:D425=D426))),(INDEX(_xlfn._xlws.FILTER(P$2:P425, D$2:D425=D426),COUNT(_xlfn._xlws.FILTER(P$2:P425, D$2:D425=D426)))*INDEX(_xlfn._xlws.FILTER(O$2:O425, D$2:D425=D426),COUNT(_xlfn._xlws.FILTER(O$2:O425, D$2:D425=D426)))-N426) / O426), J426))</f>
        <v>2334.8951439118455</v>
      </c>
      <c r="Q426" s="1" t="str">
        <f t="shared" si="103"/>
        <v>USD</v>
      </c>
      <c r="R426" s="1" cm="1">
        <f t="array" ref="R426">IF(A426="", "",
    IFERROR(
        _xlfn.SWITCH(
            TRUE,
            AND(Q426="USD", $Q$2="USD"), K426,
            AND(Q426="USD", $Q$2="GBP"), K426*$Z$3,
            AND(Q426="USD", $Q$2="HKD"), K426*$Z$4,
            AND(Q426="USD", $Q$2="EUR"), K426*$Z$5,
            AND(Q426="GBP", $Q$2="GBP"), K426,
            AND(Q426="GBP", $Q$2="USD"), K426*$Z$6,
            AND(Q426="GBP", $Q$2="HKD"), K426*$Z$7,
            AND(Q426="HKG", $Q$2="HKG"), K426,
            AND(Q426="HKD", $Q$2="USD"), K426*$Z$9,
            AND(Q426="HKD", $Q$2="GBP"), K426*$Z$10,
            AND(Q426="HKD", $Q$2="EUR"), K426*$Z$11,
            AND(Q426="EUR", $Q$2="EUR"), K426,
            AND(Q426="EUR", $Q$2="USD"), K426*$Z$12,
            AND(Q426="EUR", $Q$2="GBP"), K426*$Z$13,
            AND(Q426="EUR", $Q$2="HKD"), K426*$Z$14,
        ),
        0
    )
)</f>
        <v>0</v>
      </c>
      <c r="S426" s="1" cm="1">
        <f t="array" ref="S426">IF(A426="", "",
    IFERROR(
        _xlfn.SWITCH(
            TRUE,
            AND(Q426="USD", $Q$2="USD"), M426,
            AND(Q426="USD", $Q$2="GBP"), M426*$Z$3,
            AND(Q426="USD", $Q$2="HKD"), M426*$Z$4,
            AND(Q426="USD", $Q$2="EUR"), M426*$Z$5,
            AND(Q426="GBP", $Q$2="GBP"), M426,
            AND(Q426="GBP", $Q$2="USD"), M426*$Z$6,
            AND(Q426="GBP", $Q$2="HKD"), M426*$Z$7,
            AND(Q426="GBP", $Q$2="HKD"), M426*$Z$8,
            AND(Q426="HKG", $Q$2="HKG"), M426,
            AND(Q426="HKD", $Q$2="USD"), M426*$Z$9,
            AND(Q426="HKD", $Q$2="GBP"), M426*$Z$10,
            AND(Q426="HKD", $Q$2="EUR"), M426*$Z$11,
            AND(Q426="EUR", $Q$2="EUR"), M426,
            AND(Q426="EUR", $Q$2="USD"), M426*$Z$12,
            AND(Q426="EUR", $Q$2="GBP"), M426*$Z$13,
            AND(Q426="EUR", $Q$2="HKD"), M426*$Z$14,
        ),
        0
    )
)</f>
        <v>34.625999999999998</v>
      </c>
      <c r="T426" s="1" t="str">
        <f t="shared" si="104"/>
        <v>14</v>
      </c>
      <c r="U426" s="8" t="str">
        <f t="shared" si="105"/>
        <v>03</v>
      </c>
      <c r="V426" s="1" t="str">
        <f t="shared" si="106"/>
        <v>2024</v>
      </c>
      <c r="W426" s="18" t="str">
        <f t="shared" si="107"/>
        <v>星期四</v>
      </c>
    </row>
    <row r="427" spans="1:23">
      <c r="A427" s="17" t="s">
        <v>59</v>
      </c>
      <c r="B427" s="1" t="s">
        <v>348</v>
      </c>
      <c r="C427" s="9">
        <v>45366</v>
      </c>
      <c r="D427" s="1" t="s">
        <v>364</v>
      </c>
      <c r="E427" s="1" t="s">
        <v>114</v>
      </c>
      <c r="F427" s="1" t="s">
        <v>346</v>
      </c>
      <c r="H427" s="1" t="s">
        <v>359</v>
      </c>
      <c r="I427" s="1">
        <v>68.69</v>
      </c>
      <c r="J427" s="27">
        <v>1</v>
      </c>
      <c r="K427" s="1">
        <v>0.63</v>
      </c>
      <c r="M427" s="25">
        <f t="shared" si="52"/>
        <v>68.69</v>
      </c>
      <c r="N427" s="17">
        <f t="shared" si="35"/>
        <v>0</v>
      </c>
      <c r="O427" s="34">
        <f>IF(ISBLANK(A427),"",SUMIFS(I$3:I427,D$3:D427,D427,H$3:H427,"Buy")+SUMIFS(I$3:I427,D$3:D427,D427,H$3:H427,"Cash Deposit")+SUMIFS(I$3:I427,D$3:D427,D427,H$3:H427,"Crypto Deposit")+SUMIFS(I$3:I427,D$3:D427,D427,H$3:H427,"Airdrop/Rewards")-SUMIFS(I$3:I427,D$3:D427,D427,H$3:H427,"Sell"))</f>
        <v>10359.803055080389</v>
      </c>
      <c r="P427" s="2" cm="1">
        <f t="array" ref="P427">IF(ISBLANK(A427),"",IFERROR(IF(OR(H427="Sell",F427="Stable Coin"),INDEX(_xlfn._xlws.FILTER(P$2:P426, D$2:D426=D427),COUNT(_xlfn._xlws.FILTER(P$2:P426, D$2:D426=D427))),(INDEX(_xlfn._xlws.FILTER(P$2:P426, D$2:D426=D427),COUNT(_xlfn._xlws.FILTER(P$2:P426, D$2:D426=D427)))*INDEX(_xlfn._xlws.FILTER(O$2:O426, D$2:D426=D427),COUNT(_xlfn._xlws.FILTER(O$2:O426, D$2:D426=D427)))-N427) / O427), J427))</f>
        <v>1</v>
      </c>
      <c r="Q427" s="1" t="str">
        <f t="shared" si="103"/>
        <v>USD</v>
      </c>
      <c r="R427" s="1" cm="1">
        <f t="array" ref="R427">IF(A427="", "",
    IFERROR(
        _xlfn.SWITCH(
            TRUE,
            AND(Q427="USD", $Q$2="USD"), K427,
            AND(Q427="USD", $Q$2="GBP"), K427*$Z$3,
            AND(Q427="USD", $Q$2="HKD"), K427*$Z$4,
            AND(Q427="USD", $Q$2="EUR"), K427*$Z$5,
            AND(Q427="GBP", $Q$2="GBP"), K427,
            AND(Q427="GBP", $Q$2="USD"), K427*$Z$6,
            AND(Q427="GBP", $Q$2="HKD"), K427*$Z$7,
            AND(Q427="HKG", $Q$2="HKG"), K427,
            AND(Q427="HKD", $Q$2="USD"), K427*$Z$9,
            AND(Q427="HKD", $Q$2="GBP"), K427*$Z$10,
            AND(Q427="HKD", $Q$2="EUR"), K427*$Z$11,
            AND(Q427="EUR", $Q$2="EUR"), K427,
            AND(Q427="EUR", $Q$2="USD"), K427*$Z$12,
            AND(Q427="EUR", $Q$2="GBP"), K427*$Z$13,
            AND(Q427="EUR", $Q$2="HKD"), K427*$Z$14,
        ),
        0
    )
)</f>
        <v>0.63</v>
      </c>
      <c r="S427" s="1" cm="1">
        <f t="array" ref="S427">IF(A427="", "",
    IFERROR(
        _xlfn.SWITCH(
            TRUE,
            AND(Q427="USD", $Q$2="USD"), M427,
            AND(Q427="USD", $Q$2="GBP"), M427*$Z$3,
            AND(Q427="USD", $Q$2="HKD"), M427*$Z$4,
            AND(Q427="USD", $Q$2="EUR"), M427*$Z$5,
            AND(Q427="GBP", $Q$2="GBP"), M427,
            AND(Q427="GBP", $Q$2="USD"), M427*$Z$6,
            AND(Q427="GBP", $Q$2="HKD"), M427*$Z$7,
            AND(Q427="GBP", $Q$2="HKD"), M427*$Z$8,
            AND(Q427="HKG", $Q$2="HKG"), M427,
            AND(Q427="HKD", $Q$2="USD"), M427*$Z$9,
            AND(Q427="HKD", $Q$2="GBP"), M427*$Z$10,
            AND(Q427="HKD", $Q$2="EUR"), M427*$Z$11,
            AND(Q427="EUR", $Q$2="EUR"), M427,
            AND(Q427="EUR", $Q$2="USD"), M427*$Z$12,
            AND(Q427="EUR", $Q$2="GBP"), M427*$Z$13,
            AND(Q427="EUR", $Q$2="HKD"), M427*$Z$14,
        ),
        0
    )
)</f>
        <v>68.69</v>
      </c>
      <c r="T427" s="1" t="str">
        <f t="shared" si="104"/>
        <v>15</v>
      </c>
      <c r="U427" s="8" t="str">
        <f t="shared" si="105"/>
        <v>03</v>
      </c>
      <c r="V427" s="1" t="str">
        <f t="shared" si="106"/>
        <v>2024</v>
      </c>
      <c r="W427" s="18" t="str">
        <f t="shared" si="107"/>
        <v>星期五</v>
      </c>
    </row>
    <row r="428" spans="1:23">
      <c r="A428" s="17" t="s">
        <v>6</v>
      </c>
      <c r="B428" s="1" t="s">
        <v>348</v>
      </c>
      <c r="C428" s="9">
        <v>45366</v>
      </c>
      <c r="D428" s="1" t="s">
        <v>364</v>
      </c>
      <c r="E428" s="1" t="s">
        <v>114</v>
      </c>
      <c r="F428" s="1" t="s">
        <v>346</v>
      </c>
      <c r="H428" s="1" t="s">
        <v>367</v>
      </c>
      <c r="I428" s="1">
        <v>499.62</v>
      </c>
      <c r="J428" s="27">
        <v>1</v>
      </c>
      <c r="K428" s="1">
        <v>0.51</v>
      </c>
      <c r="M428" s="25">
        <f t="shared" si="52"/>
        <v>499.11</v>
      </c>
      <c r="N428" s="17">
        <f t="shared" ref="N428:N443" si="108">IF(ISBLANK(A428),"",IF(OR(H428="Buy",H428="Cash Deposit",H428="Crypto Deposit"),-I428*J428,IF(H428="Sell",I428*J428,0)))</f>
        <v>499.62</v>
      </c>
      <c r="O428" s="34">
        <f>IF(ISBLANK(A428),"",SUMIFS(I$3:I428,D$3:D428,D428,H$3:H428,"Buy")+SUMIFS(I$3:I428,D$3:D428,D428,H$3:H428,"Cash Deposit")+SUMIFS(I$3:I428,D$3:D428,D428,H$3:H428,"Crypto Deposit")+SUMIFS(I$3:I428,D$3:D428,D428,H$3:H428,"Airdrop/Rewards")-SUMIFS(I$3:I428,D$3:D428,D428,H$3:H428,"Sell"))</f>
        <v>9860.1830550803897</v>
      </c>
      <c r="P428" s="2" cm="1">
        <f t="array" ref="P428">IF(ISBLANK(A428),"",IFERROR(IF(OR(H428="Sell",F428="Stable Coin"),INDEX(_xlfn._xlws.FILTER(P$2:P427, D$2:D427=D428),COUNT(_xlfn._xlws.FILTER(P$2:P427, D$2:D427=D428))),(INDEX(_xlfn._xlws.FILTER(P$2:P427, D$2:D427=D428),COUNT(_xlfn._xlws.FILTER(P$2:P427, D$2:D427=D428)))*INDEX(_xlfn._xlws.FILTER(O$2:O427, D$2:D427=D428),COUNT(_xlfn._xlws.FILTER(O$2:O427, D$2:D427=D428)))-N428) / O428), J428))</f>
        <v>1</v>
      </c>
      <c r="Q428" s="1" t="str">
        <f t="shared" ref="Q428:Q429" si="109">B428</f>
        <v>USD</v>
      </c>
      <c r="R428" s="1" cm="1">
        <f t="array" ref="R428">IF(A428="", "",
    IFERROR(
        _xlfn.SWITCH(
            TRUE,
            AND(Q428="USD", $Q$2="USD"), K428,
            AND(Q428="USD", $Q$2="GBP"), K428*$Z$3,
            AND(Q428="USD", $Q$2="HKD"), K428*$Z$4,
            AND(Q428="USD", $Q$2="EUR"), K428*$Z$5,
            AND(Q428="GBP", $Q$2="GBP"), K428,
            AND(Q428="GBP", $Q$2="USD"), K428*$Z$6,
            AND(Q428="GBP", $Q$2="HKD"), K428*$Z$7,
            AND(Q428="HKG", $Q$2="HKG"), K428,
            AND(Q428="HKD", $Q$2="USD"), K428*$Z$9,
            AND(Q428="HKD", $Q$2="GBP"), K428*$Z$10,
            AND(Q428="HKD", $Q$2="EUR"), K428*$Z$11,
            AND(Q428="EUR", $Q$2="EUR"), K428,
            AND(Q428="EUR", $Q$2="USD"), K428*$Z$12,
            AND(Q428="EUR", $Q$2="GBP"), K428*$Z$13,
            AND(Q428="EUR", $Q$2="HKD"), K428*$Z$14,
        ),
        0
    )
)</f>
        <v>0.51</v>
      </c>
      <c r="S428" s="1" cm="1">
        <f t="array" ref="S428">IF(A428="", "",
    IFERROR(
        _xlfn.SWITCH(
            TRUE,
            AND(Q428="USD", $Q$2="USD"), M428,
            AND(Q428="USD", $Q$2="GBP"), M428*$Z$3,
            AND(Q428="USD", $Q$2="HKD"), M428*$Z$4,
            AND(Q428="USD", $Q$2="EUR"), M428*$Z$5,
            AND(Q428="GBP", $Q$2="GBP"), M428,
            AND(Q428="GBP", $Q$2="USD"), M428*$Z$6,
            AND(Q428="GBP", $Q$2="HKD"), M428*$Z$7,
            AND(Q428="GBP", $Q$2="HKD"), M428*$Z$8,
            AND(Q428="HKG", $Q$2="HKG"), M428,
            AND(Q428="HKD", $Q$2="USD"), M428*$Z$9,
            AND(Q428="HKD", $Q$2="GBP"), M428*$Z$10,
            AND(Q428="HKD", $Q$2="EUR"), M428*$Z$11,
            AND(Q428="EUR", $Q$2="EUR"), M428,
            AND(Q428="EUR", $Q$2="USD"), M428*$Z$12,
            AND(Q428="EUR", $Q$2="GBP"), M428*$Z$13,
            AND(Q428="EUR", $Q$2="HKD"), M428*$Z$14,
        ),
        0
    )
)</f>
        <v>499.11</v>
      </c>
      <c r="T428" s="1" t="str">
        <f t="shared" ref="T428:T429" si="110">IF(ISBLANK(A428),"",TEXT(C428,"D"))</f>
        <v>15</v>
      </c>
      <c r="U428" s="8" t="str">
        <f t="shared" ref="U428:U429" si="111">IF(ISBLANK(A428),"",TEXT(C428,"MM"))</f>
        <v>03</v>
      </c>
      <c r="V428" s="1" t="str">
        <f t="shared" ref="V428:V429" si="112">IF(ISBLANK(A428),"",TEXT(C428,"YYYY"))</f>
        <v>2024</v>
      </c>
      <c r="W428" s="18" t="str">
        <f t="shared" ref="W428:W429" si="113">IF(ISBLANK(A428),"",TEXT(WEEKDAY(C428,1),"dddd"))</f>
        <v>星期五</v>
      </c>
    </row>
    <row r="429" spans="1:23">
      <c r="A429" s="17" t="s">
        <v>6</v>
      </c>
      <c r="B429" s="1" t="s">
        <v>348</v>
      </c>
      <c r="C429" s="9">
        <v>45366</v>
      </c>
      <c r="D429" s="1" t="s">
        <v>60</v>
      </c>
      <c r="E429" s="1" t="s">
        <v>424</v>
      </c>
      <c r="F429" s="1" t="s">
        <v>349</v>
      </c>
      <c r="H429" s="1" t="s">
        <v>347</v>
      </c>
      <c r="I429" s="1">
        <v>7.5700000000000003E-3</v>
      </c>
      <c r="J429" s="27">
        <v>1</v>
      </c>
      <c r="M429" s="25">
        <f t="shared" ref="M429:M443" si="114">IF(ISBLANK(A429),"",IF(OR(H429="Sell", H429="Cash Withdrawal"), (I429*J429)-K429, I429*J429))</f>
        <v>7.5700000000000003E-3</v>
      </c>
      <c r="N429" s="17">
        <f t="shared" si="108"/>
        <v>-7.5700000000000003E-3</v>
      </c>
      <c r="O429" s="34">
        <f>IF(ISBLANK(A429),"",SUMIFS(I$3:I429,D$3:D429,D429,H$3:H429,"Buy")+SUMIFS(I$3:I429,D$3:D429,D429,H$3:H429,"Cash Deposit")+SUMIFS(I$3:I429,D$3:D429,D429,H$3:H429,"Crypto Deposit")+SUMIFS(I$3:I429,D$3:D429,D429,H$3:H429,"Airdrop/Rewards")-SUMIFS(I$3:I429,D$3:D429,D429,H$3:H429,"Sell"))</f>
        <v>0.31086499999999995</v>
      </c>
      <c r="P429" s="2" cm="1">
        <f t="array" ref="P429">IF(ISBLANK(A429),"",IFERROR(IF(OR(H429="Sell",F429="Stable Coin"),INDEX(_xlfn._xlws.FILTER(P$2:P428, D$2:D428=D429),COUNT(_xlfn._xlws.FILTER(P$2:P428, D$2:D428=D429))),(INDEX(_xlfn._xlws.FILTER(P$2:P428, D$2:D428=D429),COUNT(_xlfn._xlws.FILTER(P$2:P428, D$2:D428=D429)))*INDEX(_xlfn._xlws.FILTER(O$2:O428, D$2:D428=D429),COUNT(_xlfn._xlws.FILTER(O$2:O428, D$2:D428=D429)))-N429) / O429), J429))</f>
        <v>42136.333271369273</v>
      </c>
      <c r="Q429" s="1" t="str">
        <f t="shared" si="109"/>
        <v>USD</v>
      </c>
      <c r="R429" s="1" cm="1">
        <f t="array" ref="R429">IF(A429="", "",
    IFERROR(
        _xlfn.SWITCH(
            TRUE,
            AND(Q429="USD", $Q$2="USD"), K429,
            AND(Q429="USD", $Q$2="GBP"), K429*$Z$3,
            AND(Q429="USD", $Q$2="HKD"), K429*$Z$4,
            AND(Q429="USD", $Q$2="EUR"), K429*$Z$5,
            AND(Q429="GBP", $Q$2="GBP"), K429,
            AND(Q429="GBP", $Q$2="USD"), K429*$Z$6,
            AND(Q429="GBP", $Q$2="HKD"), K429*$Z$7,
            AND(Q429="HKG", $Q$2="HKG"), K429,
            AND(Q429="HKD", $Q$2="USD"), K429*$Z$9,
            AND(Q429="HKD", $Q$2="GBP"), K429*$Z$10,
            AND(Q429="HKD", $Q$2="EUR"), K429*$Z$11,
            AND(Q429="EUR", $Q$2="EUR"), K429,
            AND(Q429="EUR", $Q$2="USD"), K429*$Z$12,
            AND(Q429="EUR", $Q$2="GBP"), K429*$Z$13,
            AND(Q429="EUR", $Q$2="HKD"), K429*$Z$14,
        ),
        0
    )
)</f>
        <v>0</v>
      </c>
      <c r="S429" s="1" cm="1">
        <f t="array" ref="S429">IF(A429="", "",
    IFERROR(
        _xlfn.SWITCH(
            TRUE,
            AND(Q429="USD", $Q$2="USD"), M429,
            AND(Q429="USD", $Q$2="GBP"), M429*$Z$3,
            AND(Q429="USD", $Q$2="HKD"), M429*$Z$4,
            AND(Q429="USD", $Q$2="EUR"), M429*$Z$5,
            AND(Q429="GBP", $Q$2="GBP"), M429,
            AND(Q429="GBP", $Q$2="USD"), M429*$Z$6,
            AND(Q429="GBP", $Q$2="HKD"), M429*$Z$7,
            AND(Q429="GBP", $Q$2="HKD"), M429*$Z$8,
            AND(Q429="HKG", $Q$2="HKG"), M429,
            AND(Q429="HKD", $Q$2="USD"), M429*$Z$9,
            AND(Q429="HKD", $Q$2="GBP"), M429*$Z$10,
            AND(Q429="HKD", $Q$2="EUR"), M429*$Z$11,
            AND(Q429="EUR", $Q$2="EUR"), M429,
            AND(Q429="EUR", $Q$2="USD"), M429*$Z$12,
            AND(Q429="EUR", $Q$2="GBP"), M429*$Z$13,
            AND(Q429="EUR", $Q$2="HKD"), M429*$Z$14,
        ),
        0
    )
)</f>
        <v>7.5700000000000003E-3</v>
      </c>
      <c r="T429" s="1" t="str">
        <f t="shared" si="110"/>
        <v>15</v>
      </c>
      <c r="U429" s="8" t="str">
        <f t="shared" si="111"/>
        <v>03</v>
      </c>
      <c r="V429" s="1" t="str">
        <f t="shared" si="112"/>
        <v>2024</v>
      </c>
      <c r="W429" s="18" t="str">
        <f t="shared" si="113"/>
        <v>星期五</v>
      </c>
    </row>
    <row r="430" spans="1:23">
      <c r="A430" s="17" t="s">
        <v>6</v>
      </c>
      <c r="B430" s="1" t="s">
        <v>348</v>
      </c>
      <c r="C430" s="9">
        <v>45368</v>
      </c>
      <c r="D430" s="1" t="s">
        <v>364</v>
      </c>
      <c r="E430" s="1" t="s">
        <v>114</v>
      </c>
      <c r="F430" s="1" t="s">
        <v>346</v>
      </c>
      <c r="H430" s="1" t="s">
        <v>347</v>
      </c>
      <c r="I430" s="1">
        <v>499.61992500000002</v>
      </c>
      <c r="J430" s="27">
        <v>1</v>
      </c>
      <c r="K430" s="1">
        <v>0.49959999999999999</v>
      </c>
      <c r="M430" s="25">
        <f t="shared" si="114"/>
        <v>499.61992500000002</v>
      </c>
      <c r="N430" s="17">
        <f t="shared" si="108"/>
        <v>-499.61992500000002</v>
      </c>
      <c r="O430" s="34">
        <f>IF(ISBLANK(A430),"",SUMIFS(I$3:I430,D$3:D430,D430,H$3:H430,"Buy")+SUMIFS(I$3:I430,D$3:D430,D430,H$3:H430,"Cash Deposit")+SUMIFS(I$3:I430,D$3:D430,D430,H$3:H430,"Crypto Deposit")+SUMIFS(I$3:I430,D$3:D430,D430,H$3:H430,"Airdrop/Rewards")-SUMIFS(I$3:I430,D$3:D430,D430,H$3:H430,"Sell"))</f>
        <v>10359.802980080389</v>
      </c>
      <c r="P430" s="2" cm="1">
        <f t="array" ref="P430">IF(ISBLANK(A430),"",IFERROR(IF(OR(H430="Sell",F430="Stable Coin"),INDEX(_xlfn._xlws.FILTER(P$2:P429, D$2:D429=D430),COUNT(_xlfn._xlws.FILTER(P$2:P429, D$2:D429=D430))),(INDEX(_xlfn._xlws.FILTER(P$2:P429, D$2:D429=D430),COUNT(_xlfn._xlws.FILTER(P$2:P429, D$2:D429=D430)))*INDEX(_xlfn._xlws.FILTER(O$2:O429, D$2:D429=D430),COUNT(_xlfn._xlws.FILTER(O$2:O429, D$2:D429=D430)))-N430) / O430), J430))</f>
        <v>1</v>
      </c>
      <c r="Q430" s="1" t="str">
        <f t="shared" ref="Q430:Q443" si="115">B430</f>
        <v>USD</v>
      </c>
      <c r="R430" s="1" cm="1">
        <f t="array" ref="R430">IF(A430="", "",
    IFERROR(
        _xlfn.SWITCH(
            TRUE,
            AND(Q430="USD", $Q$2="USD"), K430,
            AND(Q430="USD", $Q$2="GBP"), K430*$Z$3,
            AND(Q430="USD", $Q$2="HKD"), K430*$Z$4,
            AND(Q430="USD", $Q$2="EUR"), K430*$Z$5,
            AND(Q430="GBP", $Q$2="GBP"), K430,
            AND(Q430="GBP", $Q$2="USD"), K430*$Z$6,
            AND(Q430="GBP", $Q$2="HKD"), K430*$Z$7,
            AND(Q430="HKG", $Q$2="HKG"), K430,
            AND(Q430="HKD", $Q$2="USD"), K430*$Z$9,
            AND(Q430="HKD", $Q$2="GBP"), K430*$Z$10,
            AND(Q430="HKD", $Q$2="EUR"), K430*$Z$11,
            AND(Q430="EUR", $Q$2="EUR"), K430,
            AND(Q430="EUR", $Q$2="USD"), K430*$Z$12,
            AND(Q430="EUR", $Q$2="GBP"), K430*$Z$13,
            AND(Q430="EUR", $Q$2="HKD"), K430*$Z$14,
        ),
        0
    )
)</f>
        <v>0.49959999999999999</v>
      </c>
      <c r="S430" s="1" cm="1">
        <f t="array" ref="S430">IF(A430="", "",
    IFERROR(
        _xlfn.SWITCH(
            TRUE,
            AND(Q430="USD", $Q$2="USD"), M430,
            AND(Q430="USD", $Q$2="GBP"), M430*$Z$3,
            AND(Q430="USD", $Q$2="HKD"), M430*$Z$4,
            AND(Q430="USD", $Q$2="EUR"), M430*$Z$5,
            AND(Q430="GBP", $Q$2="GBP"), M430,
            AND(Q430="GBP", $Q$2="USD"), M430*$Z$6,
            AND(Q430="GBP", $Q$2="HKD"), M430*$Z$7,
            AND(Q430="GBP", $Q$2="HKD"), M430*$Z$8,
            AND(Q430="HKG", $Q$2="HKG"), M430,
            AND(Q430="HKD", $Q$2="USD"), M430*$Z$9,
            AND(Q430="HKD", $Q$2="GBP"), M430*$Z$10,
            AND(Q430="HKD", $Q$2="EUR"), M430*$Z$11,
            AND(Q430="EUR", $Q$2="EUR"), M430,
            AND(Q430="EUR", $Q$2="USD"), M430*$Z$12,
            AND(Q430="EUR", $Q$2="GBP"), M430*$Z$13,
            AND(Q430="EUR", $Q$2="HKD"), M430*$Z$14,
        ),
        0
    )
)</f>
        <v>499.61992500000002</v>
      </c>
      <c r="T430" s="1" t="str">
        <f t="shared" ref="T430:T434" si="116">IF(ISBLANK(A430),"",TEXT(C430,"D"))</f>
        <v>17</v>
      </c>
      <c r="U430" s="8" t="str">
        <f t="shared" ref="U430:U434" si="117">IF(ISBLANK(A430),"",TEXT(C430,"MM"))</f>
        <v>03</v>
      </c>
      <c r="V430" s="1" t="str">
        <f t="shared" ref="V430:V434" si="118">IF(ISBLANK(A430),"",TEXT(C430,"YYYY"))</f>
        <v>2024</v>
      </c>
      <c r="W430" s="18" t="str">
        <f t="shared" ref="W430:W434" si="119">IF(ISBLANK(A430),"",TEXT(WEEKDAY(C430,1),"dddd"))</f>
        <v>星期日</v>
      </c>
    </row>
    <row r="431" spans="1:23">
      <c r="A431" s="17" t="s">
        <v>6</v>
      </c>
      <c r="B431" s="1" t="s">
        <v>348</v>
      </c>
      <c r="C431" s="9">
        <v>45368</v>
      </c>
      <c r="D431" s="1" t="s">
        <v>60</v>
      </c>
      <c r="E431" s="1" t="s">
        <v>424</v>
      </c>
      <c r="F431" s="1" t="s">
        <v>349</v>
      </c>
      <c r="H431" s="1" t="s">
        <v>367</v>
      </c>
      <c r="I431" s="1">
        <v>7.4999999999999997E-3</v>
      </c>
      <c r="J431" s="27">
        <v>66615</v>
      </c>
      <c r="M431" s="25">
        <f t="shared" si="114"/>
        <v>499.61249999999995</v>
      </c>
      <c r="N431" s="17">
        <f t="shared" si="108"/>
        <v>499.61249999999995</v>
      </c>
      <c r="O431" s="34">
        <f>IF(ISBLANK(A431),"",SUMIFS(I$3:I431,D$3:D431,D431,H$3:H431,"Buy")+SUMIFS(I$3:I431,D$3:D431,D431,H$3:H431,"Cash Deposit")+SUMIFS(I$3:I431,D$3:D431,D431,H$3:H431,"Crypto Deposit")+SUMIFS(I$3:I431,D$3:D431,D431,H$3:H431,"Airdrop/Rewards")-SUMIFS(I$3:I431,D$3:D431,D431,H$3:H431,"Sell"))</f>
        <v>0.30336499999999994</v>
      </c>
      <c r="P431" s="2" cm="1">
        <f t="array" ref="P431">IF(ISBLANK(A431),"",IFERROR(IF(OR(H431="Sell",F431="Stable Coin"),INDEX(_xlfn._xlws.FILTER(P$2:P430, D$2:D430=D431),COUNT(_xlfn._xlws.FILTER(P$2:P430, D$2:D430=D431))),(INDEX(_xlfn._xlws.FILTER(P$2:P430, D$2:D430=D431),COUNT(_xlfn._xlws.FILTER(P$2:P430, D$2:D430=D431)))*INDEX(_xlfn._xlws.FILTER(O$2:O430, D$2:D430=D431),COUNT(_xlfn._xlws.FILTER(O$2:O430, D$2:D430=D431)))-N431) / O431), J431))</f>
        <v>42136.333271369273</v>
      </c>
      <c r="Q431" s="1" t="str">
        <f t="shared" si="115"/>
        <v>USD</v>
      </c>
      <c r="R431" s="1" cm="1">
        <f t="array" ref="R431">IF(A431="", "",
    IFERROR(
        _xlfn.SWITCH(
            TRUE,
            AND(Q431="USD", $Q$2="USD"), K431,
            AND(Q431="USD", $Q$2="GBP"), K431*$Z$3,
            AND(Q431="USD", $Q$2="HKD"), K431*$Z$4,
            AND(Q431="USD", $Q$2="EUR"), K431*$Z$5,
            AND(Q431="GBP", $Q$2="GBP"), K431,
            AND(Q431="GBP", $Q$2="USD"), K431*$Z$6,
            AND(Q431="GBP", $Q$2="HKD"), K431*$Z$7,
            AND(Q431="HKG", $Q$2="HKG"), K431,
            AND(Q431="HKD", $Q$2="USD"), K431*$Z$9,
            AND(Q431="HKD", $Q$2="GBP"), K431*$Z$10,
            AND(Q431="HKD", $Q$2="EUR"), K431*$Z$11,
            AND(Q431="EUR", $Q$2="EUR"), K431,
            AND(Q431="EUR", $Q$2="USD"), K431*$Z$12,
            AND(Q431="EUR", $Q$2="GBP"), K431*$Z$13,
            AND(Q431="EUR", $Q$2="HKD"), K431*$Z$14,
        ),
        0
    )
)</f>
        <v>0</v>
      </c>
      <c r="S431" s="1" cm="1">
        <f t="array" ref="S431">IF(A431="", "",
    IFERROR(
        _xlfn.SWITCH(
            TRUE,
            AND(Q431="USD", $Q$2="USD"), M431,
            AND(Q431="USD", $Q$2="GBP"), M431*$Z$3,
            AND(Q431="USD", $Q$2="HKD"), M431*$Z$4,
            AND(Q431="USD", $Q$2="EUR"), M431*$Z$5,
            AND(Q431="GBP", $Q$2="GBP"), M431,
            AND(Q431="GBP", $Q$2="USD"), M431*$Z$6,
            AND(Q431="GBP", $Q$2="HKD"), M431*$Z$7,
            AND(Q431="GBP", $Q$2="HKD"), M431*$Z$8,
            AND(Q431="HKG", $Q$2="HKG"), M431,
            AND(Q431="HKD", $Q$2="USD"), M431*$Z$9,
            AND(Q431="HKD", $Q$2="GBP"), M431*$Z$10,
            AND(Q431="HKD", $Q$2="EUR"), M431*$Z$11,
            AND(Q431="EUR", $Q$2="EUR"), M431,
            AND(Q431="EUR", $Q$2="USD"), M431*$Z$12,
            AND(Q431="EUR", $Q$2="GBP"), M431*$Z$13,
            AND(Q431="EUR", $Q$2="HKD"), M431*$Z$14,
        ),
        0
    )
)</f>
        <v>499.61249999999995</v>
      </c>
      <c r="T431" s="1" t="str">
        <f t="shared" si="116"/>
        <v>17</v>
      </c>
      <c r="U431" s="8" t="str">
        <f t="shared" si="117"/>
        <v>03</v>
      </c>
      <c r="V431" s="1" t="str">
        <f t="shared" si="118"/>
        <v>2024</v>
      </c>
      <c r="W431" s="18" t="str">
        <f t="shared" si="119"/>
        <v>星期日</v>
      </c>
    </row>
    <row r="432" spans="1:23">
      <c r="A432" s="17" t="s">
        <v>59</v>
      </c>
      <c r="B432" s="1" t="s">
        <v>348</v>
      </c>
      <c r="C432" s="9">
        <v>45369</v>
      </c>
      <c r="D432" s="1" t="s">
        <v>27</v>
      </c>
      <c r="E432" s="1" t="s">
        <v>28</v>
      </c>
      <c r="F432" s="1" t="s">
        <v>349</v>
      </c>
      <c r="H432" s="1" t="s">
        <v>367</v>
      </c>
      <c r="I432" s="1">
        <v>1.62227126498387</v>
      </c>
      <c r="J432" s="27">
        <v>56.593499999999999</v>
      </c>
      <c r="K432" s="1">
        <v>0.19</v>
      </c>
      <c r="M432" s="25">
        <f t="shared" si="114"/>
        <v>91.620008834864649</v>
      </c>
      <c r="N432" s="17">
        <f t="shared" si="108"/>
        <v>91.810008834864647</v>
      </c>
      <c r="O432" s="34">
        <f>IF(ISBLANK(A432),"",SUMIFS(I$3:I432,D$3:D432,D432,H$3:H432,"Buy")+SUMIFS(I$3:I432,D$3:D432,D432,H$3:H432,"Cash Deposit")+SUMIFS(I$3:I432,D$3:D432,D432,H$3:H432,"Crypto Deposit")+SUMIFS(I$3:I432,D$3:D432,D432,H$3:H432,"Airdrop/Rewards")-SUMIFS(I$3:I432,D$3:D432,D432,H$3:H432,"Sell"))</f>
        <v>100.27922873501613</v>
      </c>
      <c r="P432" s="2" cm="1">
        <f t="array" ref="P432">IF(ISBLANK(A432),"",IFERROR(IF(OR(H432="Sell",F432="Stable Coin"),INDEX(_xlfn._xlws.FILTER(P$2:P431, D$2:D431=D432),COUNT(_xlfn._xlws.FILTER(P$2:P431, D$2:D431=D432))),(INDEX(_xlfn._xlws.FILTER(P$2:P431, D$2:D431=D432),COUNT(_xlfn._xlws.FILTER(P$2:P431, D$2:D431=D432)))*INDEX(_xlfn._xlws.FILTER(O$2:O431, D$2:D431=D432),COUNT(_xlfn._xlws.FILTER(O$2:O431, D$2:D431=D432)))-N432) / O432), J432))</f>
        <v>25.333068071607066</v>
      </c>
      <c r="Q432" s="1" t="str">
        <f t="shared" si="115"/>
        <v>USD</v>
      </c>
      <c r="R432" s="1" cm="1">
        <f t="array" ref="R432">IF(A432="", "",
    IFERROR(
        _xlfn.SWITCH(
            TRUE,
            AND(Q432="USD", $Q$2="USD"), K432,
            AND(Q432="USD", $Q$2="GBP"), K432*$Z$3,
            AND(Q432="USD", $Q$2="HKD"), K432*$Z$4,
            AND(Q432="USD", $Q$2="EUR"), K432*$Z$5,
            AND(Q432="GBP", $Q$2="GBP"), K432,
            AND(Q432="GBP", $Q$2="USD"), K432*$Z$6,
            AND(Q432="GBP", $Q$2="HKD"), K432*$Z$7,
            AND(Q432="HKG", $Q$2="HKG"), K432,
            AND(Q432="HKD", $Q$2="USD"), K432*$Z$9,
            AND(Q432="HKD", $Q$2="GBP"), K432*$Z$10,
            AND(Q432="HKD", $Q$2="EUR"), K432*$Z$11,
            AND(Q432="EUR", $Q$2="EUR"), K432,
            AND(Q432="EUR", $Q$2="USD"), K432*$Z$12,
            AND(Q432="EUR", $Q$2="GBP"), K432*$Z$13,
            AND(Q432="EUR", $Q$2="HKD"), K432*$Z$14,
        ),
        0
    )
)</f>
        <v>0.19</v>
      </c>
      <c r="S432" s="1" cm="1">
        <f t="array" ref="S432">IF(A432="", "",
    IFERROR(
        _xlfn.SWITCH(
            TRUE,
            AND(Q432="USD", $Q$2="USD"), M432,
            AND(Q432="USD", $Q$2="GBP"), M432*$Z$3,
            AND(Q432="USD", $Q$2="HKD"), M432*$Z$4,
            AND(Q432="USD", $Q$2="EUR"), M432*$Z$5,
            AND(Q432="GBP", $Q$2="GBP"), M432,
            AND(Q432="GBP", $Q$2="USD"), M432*$Z$6,
            AND(Q432="GBP", $Q$2="HKD"), M432*$Z$7,
            AND(Q432="GBP", $Q$2="HKD"), M432*$Z$8,
            AND(Q432="HKG", $Q$2="HKG"), M432,
            AND(Q432="HKD", $Q$2="USD"), M432*$Z$9,
            AND(Q432="HKD", $Q$2="GBP"), M432*$Z$10,
            AND(Q432="HKD", $Q$2="EUR"), M432*$Z$11,
            AND(Q432="EUR", $Q$2="EUR"), M432,
            AND(Q432="EUR", $Q$2="USD"), M432*$Z$12,
            AND(Q432="EUR", $Q$2="GBP"), M432*$Z$13,
            AND(Q432="EUR", $Q$2="HKD"), M432*$Z$14,
        ),
        0
    )
)</f>
        <v>91.620008834864649</v>
      </c>
      <c r="T432" s="1" t="str">
        <f t="shared" si="116"/>
        <v>18</v>
      </c>
      <c r="U432" s="8" t="str">
        <f t="shared" si="117"/>
        <v>03</v>
      </c>
      <c r="V432" s="1" t="str">
        <f t="shared" si="118"/>
        <v>2024</v>
      </c>
      <c r="W432" s="18" t="str">
        <f t="shared" si="119"/>
        <v>星期一</v>
      </c>
    </row>
    <row r="433" spans="1:23">
      <c r="A433" s="17" t="s">
        <v>59</v>
      </c>
      <c r="B433" s="1" t="s">
        <v>348</v>
      </c>
      <c r="C433" s="9">
        <v>45369</v>
      </c>
      <c r="D433" s="1" t="s">
        <v>510</v>
      </c>
      <c r="E433" s="1" t="s">
        <v>511</v>
      </c>
      <c r="F433" s="1" t="s">
        <v>349</v>
      </c>
      <c r="H433" s="1" t="s">
        <v>347</v>
      </c>
      <c r="I433" s="1">
        <v>20000000</v>
      </c>
      <c r="J433" s="27">
        <v>4.5905000000000003E-6</v>
      </c>
      <c r="M433" s="25">
        <f t="shared" si="114"/>
        <v>91.81</v>
      </c>
      <c r="N433" s="17">
        <f t="shared" si="108"/>
        <v>-91.81</v>
      </c>
      <c r="O433" s="34">
        <f>IF(ISBLANK(A433),"",SUMIFS(I$3:I433,D$3:D433,D433,H$3:H433,"Buy")+SUMIFS(I$3:I433,D$3:D433,D433,H$3:H433,"Cash Deposit")+SUMIFS(I$3:I433,D$3:D433,D433,H$3:H433,"Crypto Deposit")+SUMIFS(I$3:I433,D$3:D433,D433,H$3:H433,"Airdrop/Rewards")-SUMIFS(I$3:I433,D$3:D433,D433,H$3:H433,"Sell"))</f>
        <v>80000000</v>
      </c>
      <c r="P433" s="2" cm="1">
        <f t="array" ref="P433">IF(ISBLANK(A433),"",IFERROR(IF(OR(H433="Sell",F433="Stable Coin"),INDEX(_xlfn._xlws.FILTER(P$2:P432, D$2:D432=D433),COUNT(_xlfn._xlws.FILTER(P$2:P432, D$2:D432=D433))),(INDEX(_xlfn._xlws.FILTER(P$2:P432, D$2:D432=D433),COUNT(_xlfn._xlws.FILTER(P$2:P432, D$2:D432=D433)))*INDEX(_xlfn._xlws.FILTER(O$2:O432, D$2:D432=D433),COUNT(_xlfn._xlws.FILTER(O$2:O432, D$2:D432=D433)))-N433) / O433), J433))</f>
        <v>1.9096249999999999E-6</v>
      </c>
      <c r="Q433" s="1" t="str">
        <f t="shared" si="115"/>
        <v>USD</v>
      </c>
      <c r="R433" s="1" cm="1">
        <f t="array" ref="R433">IF(A433="", "",
    IFERROR(
        _xlfn.SWITCH(
            TRUE,
            AND(Q433="USD", $Q$2="USD"), K433,
            AND(Q433="USD", $Q$2="GBP"), K433*$Z$3,
            AND(Q433="USD", $Q$2="HKD"), K433*$Z$4,
            AND(Q433="USD", $Q$2="EUR"), K433*$Z$5,
            AND(Q433="GBP", $Q$2="GBP"), K433,
            AND(Q433="GBP", $Q$2="USD"), K433*$Z$6,
            AND(Q433="GBP", $Q$2="HKD"), K433*$Z$7,
            AND(Q433="HKG", $Q$2="HKG"), K433,
            AND(Q433="HKD", $Q$2="USD"), K433*$Z$9,
            AND(Q433="HKD", $Q$2="GBP"), K433*$Z$10,
            AND(Q433="HKD", $Q$2="EUR"), K433*$Z$11,
            AND(Q433="EUR", $Q$2="EUR"), K433,
            AND(Q433="EUR", $Q$2="USD"), K433*$Z$12,
            AND(Q433="EUR", $Q$2="GBP"), K433*$Z$13,
            AND(Q433="EUR", $Q$2="HKD"), K433*$Z$14,
        ),
        0
    )
)</f>
        <v>0</v>
      </c>
      <c r="S433" s="1" cm="1">
        <f t="array" ref="S433">IF(A433="", "",
    IFERROR(
        _xlfn.SWITCH(
            TRUE,
            AND(Q433="USD", $Q$2="USD"), M433,
            AND(Q433="USD", $Q$2="GBP"), M433*$Z$3,
            AND(Q433="USD", $Q$2="HKD"), M433*$Z$4,
            AND(Q433="USD", $Q$2="EUR"), M433*$Z$5,
            AND(Q433="GBP", $Q$2="GBP"), M433,
            AND(Q433="GBP", $Q$2="USD"), M433*$Z$6,
            AND(Q433="GBP", $Q$2="HKD"), M433*$Z$7,
            AND(Q433="GBP", $Q$2="HKD"), M433*$Z$8,
            AND(Q433="HKG", $Q$2="HKG"), M433,
            AND(Q433="HKD", $Q$2="USD"), M433*$Z$9,
            AND(Q433="HKD", $Q$2="GBP"), M433*$Z$10,
            AND(Q433="HKD", $Q$2="EUR"), M433*$Z$11,
            AND(Q433="EUR", $Q$2="EUR"), M433,
            AND(Q433="EUR", $Q$2="USD"), M433*$Z$12,
            AND(Q433="EUR", $Q$2="GBP"), M433*$Z$13,
            AND(Q433="EUR", $Q$2="HKD"), M433*$Z$14,
        ),
        0
    )
)</f>
        <v>91.81</v>
      </c>
      <c r="T433" s="1" t="str">
        <f t="shared" si="116"/>
        <v>18</v>
      </c>
      <c r="U433" s="8" t="str">
        <f t="shared" si="117"/>
        <v>03</v>
      </c>
      <c r="V433" s="1" t="str">
        <f t="shared" si="118"/>
        <v>2024</v>
      </c>
      <c r="W433" s="18" t="str">
        <f t="shared" si="119"/>
        <v>星期一</v>
      </c>
    </row>
    <row r="434" spans="1:23">
      <c r="A434" s="17" t="s">
        <v>59</v>
      </c>
      <c r="B434" s="1" t="s">
        <v>589</v>
      </c>
      <c r="C434" s="9">
        <v>45369</v>
      </c>
      <c r="D434" s="1" t="s">
        <v>364</v>
      </c>
      <c r="E434" s="1" t="s">
        <v>114</v>
      </c>
      <c r="F434" s="1" t="s">
        <v>346</v>
      </c>
      <c r="H434" s="1" t="s">
        <v>359</v>
      </c>
      <c r="I434" s="1">
        <v>30.8</v>
      </c>
      <c r="J434" s="27">
        <v>1</v>
      </c>
      <c r="K434" s="1">
        <v>0.6</v>
      </c>
      <c r="M434" s="25">
        <f t="shared" si="114"/>
        <v>30.8</v>
      </c>
      <c r="N434" s="17">
        <f t="shared" si="108"/>
        <v>0</v>
      </c>
      <c r="O434" s="34">
        <f>IF(ISBLANK(A434),"",SUMIFS(I$3:I434,D$3:D434,D434,H$3:H434,"Buy")+SUMIFS(I$3:I434,D$3:D434,D434,H$3:H434,"Cash Deposit")+SUMIFS(I$3:I434,D$3:D434,D434,H$3:H434,"Crypto Deposit")+SUMIFS(I$3:I434,D$3:D434,D434,H$3:H434,"Airdrop/Rewards")-SUMIFS(I$3:I434,D$3:D434,D434,H$3:H434,"Sell"))</f>
        <v>10390.602980080392</v>
      </c>
      <c r="P434" s="2" cm="1">
        <f t="array" ref="P434">IF(ISBLANK(A434),"",IFERROR(IF(OR(H434="Sell",F434="Stable Coin"),INDEX(_xlfn._xlws.FILTER(P$2:P433, D$2:D433=D434),COUNT(_xlfn._xlws.FILTER(P$2:P433, D$2:D433=D434))),(INDEX(_xlfn._xlws.FILTER(P$2:P433, D$2:D433=D434),COUNT(_xlfn._xlws.FILTER(P$2:P433, D$2:D433=D434)))*INDEX(_xlfn._xlws.FILTER(O$2:O433, D$2:D433=D434),COUNT(_xlfn._xlws.FILTER(O$2:O433, D$2:D433=D434)))-N434) / O434), J434))</f>
        <v>1</v>
      </c>
      <c r="Q434" s="1" t="s">
        <v>348</v>
      </c>
      <c r="R434" s="1" cm="1">
        <f t="array" ref="R434">IF(A434="", "",
    IFERROR(
        _xlfn.SWITCH(
            TRUE,
            AND(Q434="USD", $Q$2="USD"), K434,
            AND(Q434="USD", $Q$2="GBP"), K434*$Z$3,
            AND(Q434="USD", $Q$2="HKD"), K434*$Z$4,
            AND(Q434="USD", $Q$2="EUR"), K434*$Z$5,
            AND(Q434="GBP", $Q$2="GBP"), K434,
            AND(Q434="GBP", $Q$2="USD"), K434*$Z$6,
            AND(Q434="GBP", $Q$2="HKD"), K434*$Z$7,
            AND(Q434="HKG", $Q$2="HKG"), K434,
            AND(Q434="HKD", $Q$2="USD"), K434*$Z$9,
            AND(Q434="HKD", $Q$2="GBP"), K434*$Z$10,
            AND(Q434="HKD", $Q$2="EUR"), K434*$Z$11,
            AND(Q434="EUR", $Q$2="EUR"), K434,
            AND(Q434="EUR", $Q$2="USD"), K434*$Z$12,
            AND(Q434="EUR", $Q$2="GBP"), K434*$Z$13,
            AND(Q434="EUR", $Q$2="HKD"), K434*$Z$14,
        ),
        0
    )
)</f>
        <v>0.6</v>
      </c>
      <c r="S434" s="1" cm="1">
        <f t="array" ref="S434">IF(A434="", "",
    IFERROR(
        _xlfn.SWITCH(
            TRUE,
            AND(Q434="USD", $Q$2="USD"), M434,
            AND(Q434="USD", $Q$2="GBP"), M434*$Z$3,
            AND(Q434="USD", $Q$2="HKD"), M434*$Z$4,
            AND(Q434="USD", $Q$2="EUR"), M434*$Z$5,
            AND(Q434="GBP", $Q$2="GBP"), M434,
            AND(Q434="GBP", $Q$2="USD"), M434*$Z$6,
            AND(Q434="GBP", $Q$2="HKD"), M434*$Z$7,
            AND(Q434="GBP", $Q$2="HKD"), M434*$Z$8,
            AND(Q434="HKG", $Q$2="HKG"), M434,
            AND(Q434="HKD", $Q$2="USD"), M434*$Z$9,
            AND(Q434="HKD", $Q$2="GBP"), M434*$Z$10,
            AND(Q434="HKD", $Q$2="EUR"), M434*$Z$11,
            AND(Q434="EUR", $Q$2="EUR"), M434,
            AND(Q434="EUR", $Q$2="USD"), M434*$Z$12,
            AND(Q434="EUR", $Q$2="GBP"), M434*$Z$13,
            AND(Q434="EUR", $Q$2="HKD"), M434*$Z$14,
        ),
        0
    )
)</f>
        <v>30.8</v>
      </c>
      <c r="T434" s="1" t="str">
        <f t="shared" si="116"/>
        <v>18</v>
      </c>
      <c r="U434" s="8" t="str">
        <f t="shared" si="117"/>
        <v>03</v>
      </c>
      <c r="V434" s="1" t="str">
        <f t="shared" si="118"/>
        <v>2024</v>
      </c>
      <c r="W434" s="18" t="str">
        <f t="shared" si="119"/>
        <v>星期一</v>
      </c>
    </row>
    <row r="435" spans="1:23">
      <c r="A435" s="17" t="s">
        <v>59</v>
      </c>
      <c r="B435" s="1" t="s">
        <v>348</v>
      </c>
      <c r="C435" s="9">
        <v>45370</v>
      </c>
      <c r="D435" s="1" t="s">
        <v>27</v>
      </c>
      <c r="E435" s="1" t="s">
        <v>28</v>
      </c>
      <c r="F435" s="1" t="s">
        <v>349</v>
      </c>
      <c r="H435" s="1" t="s">
        <v>367</v>
      </c>
      <c r="I435" s="1">
        <v>0.13390093516835</v>
      </c>
      <c r="J435" s="27">
        <v>58.5</v>
      </c>
      <c r="K435" s="1">
        <v>0.23</v>
      </c>
      <c r="M435" s="25">
        <f t="shared" si="114"/>
        <v>7.6032047073484748</v>
      </c>
      <c r="N435" s="17">
        <f t="shared" si="108"/>
        <v>7.8332047073484752</v>
      </c>
      <c r="O435" s="34">
        <f>IF(ISBLANK(A435),"",SUMIFS(I$3:I435,D$3:D435,D435,H$3:H435,"Buy")+SUMIFS(I$3:I435,D$3:D435,D435,H$3:H435,"Cash Deposit")+SUMIFS(I$3:I435,D$3:D435,D435,H$3:H435,"Crypto Deposit")+SUMIFS(I$3:I435,D$3:D435,D435,H$3:H435,"Airdrop/Rewards")-SUMIFS(I$3:I435,D$3:D435,D435,H$3:H435,"Sell"))</f>
        <v>100.14532779984779</v>
      </c>
      <c r="P435" s="2" cm="1">
        <f t="array" ref="P435">IF(ISBLANK(A435),"",IFERROR(IF(OR(H435="Sell",F435="Stable Coin"),INDEX(_xlfn._xlws.FILTER(P$2:P434, D$2:D434=D435),COUNT(_xlfn._xlws.FILTER(P$2:P434, D$2:D434=D435))),(INDEX(_xlfn._xlws.FILTER(P$2:P434, D$2:D434=D435),COUNT(_xlfn._xlws.FILTER(P$2:P434, D$2:D434=D435)))*INDEX(_xlfn._xlws.FILTER(O$2:O434, D$2:D434=D435),COUNT(_xlfn._xlws.FILTER(O$2:O434, D$2:D434=D435)))-N435) / O435), J435))</f>
        <v>25.333068071607066</v>
      </c>
      <c r="Q435" s="1" t="str">
        <f t="shared" si="115"/>
        <v>USD</v>
      </c>
      <c r="R435" s="1" cm="1">
        <f t="array" ref="R435">IF(A435="", "",
    IFERROR(
        _xlfn.SWITCH(
            TRUE,
            AND(Q435="USD", $Q$2="USD"), K435,
            AND(Q435="USD", $Q$2="GBP"), K435*$Z$3,
            AND(Q435="USD", $Q$2="HKD"), K435*$Z$4,
            AND(Q435="USD", $Q$2="EUR"), K435*$Z$5,
            AND(Q435="GBP", $Q$2="GBP"), K435,
            AND(Q435="GBP", $Q$2="USD"), K435*$Z$6,
            AND(Q435="GBP", $Q$2="HKD"), K435*$Z$7,
            AND(Q435="HKG", $Q$2="HKG"), K435,
            AND(Q435="HKD", $Q$2="USD"), K435*$Z$9,
            AND(Q435="HKD", $Q$2="GBP"), K435*$Z$10,
            AND(Q435="HKD", $Q$2="EUR"), K435*$Z$11,
            AND(Q435="EUR", $Q$2="EUR"), K435,
            AND(Q435="EUR", $Q$2="USD"), K435*$Z$12,
            AND(Q435="EUR", $Q$2="GBP"), K435*$Z$13,
            AND(Q435="EUR", $Q$2="HKD"), K435*$Z$14,
        ),
        0
    )
)</f>
        <v>0.23</v>
      </c>
      <c r="S435" s="1" cm="1">
        <f t="array" ref="S435">IF(A435="", "",
    IFERROR(
        _xlfn.SWITCH(
            TRUE,
            AND(Q435="USD", $Q$2="USD"), M435,
            AND(Q435="USD", $Q$2="GBP"), M435*$Z$3,
            AND(Q435="USD", $Q$2="HKD"), M435*$Z$4,
            AND(Q435="USD", $Q$2="EUR"), M435*$Z$5,
            AND(Q435="GBP", $Q$2="GBP"), M435,
            AND(Q435="GBP", $Q$2="USD"), M435*$Z$6,
            AND(Q435="GBP", $Q$2="HKD"), M435*$Z$7,
            AND(Q435="GBP", $Q$2="HKD"), M435*$Z$8,
            AND(Q435="HKG", $Q$2="HKG"), M435,
            AND(Q435="HKD", $Q$2="USD"), M435*$Z$9,
            AND(Q435="HKD", $Q$2="GBP"), M435*$Z$10,
            AND(Q435="HKD", $Q$2="EUR"), M435*$Z$11,
            AND(Q435="EUR", $Q$2="EUR"), M435,
            AND(Q435="EUR", $Q$2="USD"), M435*$Z$12,
            AND(Q435="EUR", $Q$2="GBP"), M435*$Z$13,
            AND(Q435="EUR", $Q$2="HKD"), M435*$Z$14,
        ),
        0
    )
)</f>
        <v>7.6032047073484748</v>
      </c>
      <c r="T435" s="1" t="str">
        <f t="shared" ref="T435:T436" si="120">IF(ISBLANK(A435),"",TEXT(C435,"D"))</f>
        <v>19</v>
      </c>
      <c r="U435" s="8" t="str">
        <f t="shared" ref="U435:U436" si="121">IF(ISBLANK(A435),"",TEXT(C435,"MM"))</f>
        <v>03</v>
      </c>
      <c r="V435" s="1" t="str">
        <f t="shared" ref="V435:V436" si="122">IF(ISBLANK(A435),"",TEXT(C435,"YYYY"))</f>
        <v>2024</v>
      </c>
      <c r="W435" s="18" t="str">
        <f t="shared" ref="W435:W436" si="123">IF(ISBLANK(A435),"",TEXT(WEEKDAY(C435,1),"dddd"))</f>
        <v>星期二</v>
      </c>
    </row>
    <row r="436" spans="1:23">
      <c r="A436" s="17" t="s">
        <v>59</v>
      </c>
      <c r="B436" s="1" t="s">
        <v>348</v>
      </c>
      <c r="C436" s="9">
        <v>45370</v>
      </c>
      <c r="D436" s="1" t="s">
        <v>510</v>
      </c>
      <c r="E436" s="1" t="s">
        <v>511</v>
      </c>
      <c r="F436" s="1" t="s">
        <v>349</v>
      </c>
      <c r="H436" s="1" t="s">
        <v>347</v>
      </c>
      <c r="I436" s="1">
        <v>2000000</v>
      </c>
      <c r="J436" s="27">
        <v>3.9450000000000003E-6</v>
      </c>
      <c r="M436" s="25">
        <f t="shared" si="114"/>
        <v>7.8900000000000006</v>
      </c>
      <c r="N436" s="17">
        <f t="shared" si="108"/>
        <v>-7.8900000000000006</v>
      </c>
      <c r="O436" s="34">
        <f>IF(ISBLANK(A436),"",SUMIFS(I$3:I436,D$3:D436,D436,H$3:H436,"Buy")+SUMIFS(I$3:I436,D$3:D436,D436,H$3:H436,"Cash Deposit")+SUMIFS(I$3:I436,D$3:D436,D436,H$3:H436,"Crypto Deposit")+SUMIFS(I$3:I436,D$3:D436,D436,H$3:H436,"Airdrop/Rewards")-SUMIFS(I$3:I436,D$3:D436,D436,H$3:H436,"Sell"))</f>
        <v>82000000</v>
      </c>
      <c r="P436" s="2" cm="1">
        <f t="array" ref="P436">IF(ISBLANK(A436),"",IFERROR(IF(OR(H436="Sell",F436="Stable Coin"),INDEX(_xlfn._xlws.FILTER(P$2:P435, D$2:D435=D436),COUNT(_xlfn._xlws.FILTER(P$2:P435, D$2:D435=D436))),(INDEX(_xlfn._xlws.FILTER(P$2:P435, D$2:D435=D436),COUNT(_xlfn._xlws.FILTER(P$2:P435, D$2:D435=D436)))*INDEX(_xlfn._xlws.FILTER(O$2:O435, D$2:D435=D436),COUNT(_xlfn._xlws.FILTER(O$2:O435, D$2:D435=D436)))-N436) / O436), J436))</f>
        <v>1.9592682926829264E-6</v>
      </c>
      <c r="Q436" s="1" t="str">
        <f t="shared" si="115"/>
        <v>USD</v>
      </c>
      <c r="R436" s="1" cm="1">
        <f t="array" ref="R436">IF(A436="", "",
    IFERROR(
        _xlfn.SWITCH(
            TRUE,
            AND(Q436="USD", $Q$2="USD"), K436,
            AND(Q436="USD", $Q$2="GBP"), K436*$Z$3,
            AND(Q436="USD", $Q$2="HKD"), K436*$Z$4,
            AND(Q436="USD", $Q$2="EUR"), K436*$Z$5,
            AND(Q436="GBP", $Q$2="GBP"), K436,
            AND(Q436="GBP", $Q$2="USD"), K436*$Z$6,
            AND(Q436="GBP", $Q$2="HKD"), K436*$Z$7,
            AND(Q436="HKG", $Q$2="HKG"), K436,
            AND(Q436="HKD", $Q$2="USD"), K436*$Z$9,
            AND(Q436="HKD", $Q$2="GBP"), K436*$Z$10,
            AND(Q436="HKD", $Q$2="EUR"), K436*$Z$11,
            AND(Q436="EUR", $Q$2="EUR"), K436,
            AND(Q436="EUR", $Q$2="USD"), K436*$Z$12,
            AND(Q436="EUR", $Q$2="GBP"), K436*$Z$13,
            AND(Q436="EUR", $Q$2="HKD"), K436*$Z$14,
        ),
        0
    )
)</f>
        <v>0</v>
      </c>
      <c r="S436" s="1" cm="1">
        <f t="array" ref="S436">IF(A436="", "",
    IFERROR(
        _xlfn.SWITCH(
            TRUE,
            AND(Q436="USD", $Q$2="USD"), M436,
            AND(Q436="USD", $Q$2="GBP"), M436*$Z$3,
            AND(Q436="USD", $Q$2="HKD"), M436*$Z$4,
            AND(Q436="USD", $Q$2="EUR"), M436*$Z$5,
            AND(Q436="GBP", $Q$2="GBP"), M436,
            AND(Q436="GBP", $Q$2="USD"), M436*$Z$6,
            AND(Q436="GBP", $Q$2="HKD"), M436*$Z$7,
            AND(Q436="GBP", $Q$2="HKD"), M436*$Z$8,
            AND(Q436="HKG", $Q$2="HKG"), M436,
            AND(Q436="HKD", $Q$2="USD"), M436*$Z$9,
            AND(Q436="HKD", $Q$2="GBP"), M436*$Z$10,
            AND(Q436="HKD", $Q$2="EUR"), M436*$Z$11,
            AND(Q436="EUR", $Q$2="EUR"), M436,
            AND(Q436="EUR", $Q$2="USD"), M436*$Z$12,
            AND(Q436="EUR", $Q$2="GBP"), M436*$Z$13,
            AND(Q436="EUR", $Q$2="HKD"), M436*$Z$14,
        ),
        0
    )
)</f>
        <v>7.8900000000000006</v>
      </c>
      <c r="T436" s="1" t="str">
        <f t="shared" si="120"/>
        <v>19</v>
      </c>
      <c r="U436" s="8" t="str">
        <f t="shared" si="121"/>
        <v>03</v>
      </c>
      <c r="V436" s="1" t="str">
        <f t="shared" si="122"/>
        <v>2024</v>
      </c>
      <c r="W436" s="18" t="str">
        <f t="shared" si="123"/>
        <v>星期二</v>
      </c>
    </row>
    <row r="437" spans="1:23">
      <c r="A437" s="17" t="s">
        <v>59</v>
      </c>
      <c r="B437" s="1" t="s">
        <v>348</v>
      </c>
      <c r="C437" s="9">
        <v>45370</v>
      </c>
      <c r="D437" s="1" t="s">
        <v>27</v>
      </c>
      <c r="E437" s="1" t="s">
        <v>28</v>
      </c>
      <c r="F437" s="1" t="s">
        <v>349</v>
      </c>
      <c r="H437" s="1" t="s">
        <v>367</v>
      </c>
      <c r="I437" s="1">
        <v>1.20729888514382</v>
      </c>
      <c r="J437" s="27">
        <v>58.8</v>
      </c>
      <c r="K437" s="1">
        <v>0.21</v>
      </c>
      <c r="M437" s="25">
        <f t="shared" si="114"/>
        <v>70.779174446456622</v>
      </c>
      <c r="N437" s="17">
        <f t="shared" si="108"/>
        <v>70.989174446456616</v>
      </c>
      <c r="O437" s="34">
        <f>IF(ISBLANK(A437),"",SUMIFS(I$3:I437,D$3:D437,D437,H$3:H437,"Buy")+SUMIFS(I$3:I437,D$3:D437,D437,H$3:H437,"Cash Deposit")+SUMIFS(I$3:I437,D$3:D437,D437,H$3:H437,"Crypto Deposit")+SUMIFS(I$3:I437,D$3:D437,D437,H$3:H437,"Airdrop/Rewards")-SUMIFS(I$3:I437,D$3:D437,D437,H$3:H437,"Sell"))</f>
        <v>98.938028914703963</v>
      </c>
      <c r="P437" s="2" cm="1">
        <f t="array" ref="P437">IF(ISBLANK(A437),"",IFERROR(IF(OR(H437="Sell",F437="Stable Coin"),INDEX(_xlfn._xlws.FILTER(P$2:P436, D$2:D436=D437),COUNT(_xlfn._xlws.FILTER(P$2:P436, D$2:D436=D437))),(INDEX(_xlfn._xlws.FILTER(P$2:P436, D$2:D436=D437),COUNT(_xlfn._xlws.FILTER(P$2:P436, D$2:D436=D437)))*INDEX(_xlfn._xlws.FILTER(O$2:O436, D$2:D436=D437),COUNT(_xlfn._xlws.FILTER(O$2:O436, D$2:D436=D437)))-N437) / O437), J437))</f>
        <v>25.333068071607066</v>
      </c>
      <c r="Q437" s="1" t="str">
        <f t="shared" si="115"/>
        <v>USD</v>
      </c>
      <c r="R437" s="1" cm="1">
        <f t="array" ref="R437">IF(A437="", "",
    IFERROR(
        _xlfn.SWITCH(
            TRUE,
            AND(Q437="USD", $Q$2="USD"), K437,
            AND(Q437="USD", $Q$2="GBP"), K437*$Z$3,
            AND(Q437="USD", $Q$2="HKD"), K437*$Z$4,
            AND(Q437="USD", $Q$2="EUR"), K437*$Z$5,
            AND(Q437="GBP", $Q$2="GBP"), K437,
            AND(Q437="GBP", $Q$2="USD"), K437*$Z$6,
            AND(Q437="GBP", $Q$2="HKD"), K437*$Z$7,
            AND(Q437="HKG", $Q$2="HKG"), K437,
            AND(Q437="HKD", $Q$2="USD"), K437*$Z$9,
            AND(Q437="HKD", $Q$2="GBP"), K437*$Z$10,
            AND(Q437="HKD", $Q$2="EUR"), K437*$Z$11,
            AND(Q437="EUR", $Q$2="EUR"), K437,
            AND(Q437="EUR", $Q$2="USD"), K437*$Z$12,
            AND(Q437="EUR", $Q$2="GBP"), K437*$Z$13,
            AND(Q437="EUR", $Q$2="HKD"), K437*$Z$14,
        ),
        0
    )
)</f>
        <v>0.21</v>
      </c>
      <c r="S437" s="1" cm="1">
        <f t="array" ref="S437">IF(A437="", "",
    IFERROR(
        _xlfn.SWITCH(
            TRUE,
            AND(Q437="USD", $Q$2="USD"), M437,
            AND(Q437="USD", $Q$2="GBP"), M437*$Z$3,
            AND(Q437="USD", $Q$2="HKD"), M437*$Z$4,
            AND(Q437="USD", $Q$2="EUR"), M437*$Z$5,
            AND(Q437="GBP", $Q$2="GBP"), M437,
            AND(Q437="GBP", $Q$2="USD"), M437*$Z$6,
            AND(Q437="GBP", $Q$2="HKD"), M437*$Z$7,
            AND(Q437="GBP", $Q$2="HKD"), M437*$Z$8,
            AND(Q437="HKG", $Q$2="HKG"), M437,
            AND(Q437="HKD", $Q$2="USD"), M437*$Z$9,
            AND(Q437="HKD", $Q$2="GBP"), M437*$Z$10,
            AND(Q437="HKD", $Q$2="EUR"), M437*$Z$11,
            AND(Q437="EUR", $Q$2="EUR"), M437,
            AND(Q437="EUR", $Q$2="USD"), M437*$Z$12,
            AND(Q437="EUR", $Q$2="GBP"), M437*$Z$13,
            AND(Q437="EUR", $Q$2="HKD"), M437*$Z$14,
        ),
        0
    )
)</f>
        <v>70.779174446456622</v>
      </c>
      <c r="T437" s="1" t="str">
        <f t="shared" ref="T437:T443" si="124">IF(ISBLANK(A437),"",TEXT(C437,"D"))</f>
        <v>19</v>
      </c>
      <c r="U437" s="8" t="str">
        <f t="shared" ref="U437:U443" si="125">IF(ISBLANK(A437),"",TEXT(C437,"MM"))</f>
        <v>03</v>
      </c>
      <c r="V437" s="1" t="str">
        <f t="shared" ref="V437:V443" si="126">IF(ISBLANK(A437),"",TEXT(C437,"YYYY"))</f>
        <v>2024</v>
      </c>
      <c r="W437" s="18" t="str">
        <f t="shared" ref="W437:W443" si="127">IF(ISBLANK(A437),"",TEXT(WEEKDAY(C437,1),"dddd"))</f>
        <v>星期二</v>
      </c>
    </row>
    <row r="438" spans="1:23">
      <c r="A438" s="17" t="s">
        <v>59</v>
      </c>
      <c r="B438" s="1" t="s">
        <v>348</v>
      </c>
      <c r="C438" s="9">
        <v>45370</v>
      </c>
      <c r="D438" s="1" t="s">
        <v>510</v>
      </c>
      <c r="E438" s="1" t="s">
        <v>511</v>
      </c>
      <c r="F438" s="1" t="s">
        <v>349</v>
      </c>
      <c r="H438" s="1" t="s">
        <v>347</v>
      </c>
      <c r="I438" s="1">
        <v>18000000</v>
      </c>
      <c r="J438" s="27">
        <v>3.9299999999999996E-6</v>
      </c>
      <c r="M438" s="25">
        <f t="shared" si="114"/>
        <v>70.739999999999995</v>
      </c>
      <c r="N438" s="17">
        <f t="shared" si="108"/>
        <v>-70.739999999999995</v>
      </c>
      <c r="O438" s="34">
        <f>IF(ISBLANK(A438),"",SUMIFS(I$3:I438,D$3:D438,D438,H$3:H438,"Buy")+SUMIFS(I$3:I438,D$3:D438,D438,H$3:H438,"Cash Deposit")+SUMIFS(I$3:I438,D$3:D438,D438,H$3:H438,"Crypto Deposit")+SUMIFS(I$3:I438,D$3:D438,D438,H$3:H438,"Airdrop/Rewards")-SUMIFS(I$3:I438,D$3:D438,D438,H$3:H438,"Sell"))</f>
        <v>100000000</v>
      </c>
      <c r="P438" s="2" cm="1">
        <f t="array" ref="P438">IF(ISBLANK(A438),"",IFERROR(IF(OR(H438="Sell",F438="Stable Coin"),INDEX(_xlfn._xlws.FILTER(P$2:P437, D$2:D437=D438),COUNT(_xlfn._xlws.FILTER(P$2:P437, D$2:D437=D438))),(INDEX(_xlfn._xlws.FILTER(P$2:P437, D$2:D437=D438),COUNT(_xlfn._xlws.FILTER(P$2:P437, D$2:D437=D438)))*INDEX(_xlfn._xlws.FILTER(O$2:O437, D$2:D437=D438),COUNT(_xlfn._xlws.FILTER(O$2:O437, D$2:D437=D438)))-N438) / O438), J438))</f>
        <v>2.3139999999999998E-6</v>
      </c>
      <c r="Q438" s="1" t="str">
        <f t="shared" si="115"/>
        <v>USD</v>
      </c>
      <c r="R438" s="1" cm="1">
        <f t="array" ref="R438">IF(A438="", "",
    IFERROR(
        _xlfn.SWITCH(
            TRUE,
            AND(Q438="USD", $Q$2="USD"), K438,
            AND(Q438="USD", $Q$2="GBP"), K438*$Z$3,
            AND(Q438="USD", $Q$2="HKD"), K438*$Z$4,
            AND(Q438="USD", $Q$2="EUR"), K438*$Z$5,
            AND(Q438="GBP", $Q$2="GBP"), K438,
            AND(Q438="GBP", $Q$2="USD"), K438*$Z$6,
            AND(Q438="GBP", $Q$2="HKD"), K438*$Z$7,
            AND(Q438="HKG", $Q$2="HKG"), K438,
            AND(Q438="HKD", $Q$2="USD"), K438*$Z$9,
            AND(Q438="HKD", $Q$2="GBP"), K438*$Z$10,
            AND(Q438="HKD", $Q$2="EUR"), K438*$Z$11,
            AND(Q438="EUR", $Q$2="EUR"), K438,
            AND(Q438="EUR", $Q$2="USD"), K438*$Z$12,
            AND(Q438="EUR", $Q$2="GBP"), K438*$Z$13,
            AND(Q438="EUR", $Q$2="HKD"), K438*$Z$14,
        ),
        0
    )
)</f>
        <v>0</v>
      </c>
      <c r="S438" s="1" cm="1">
        <f t="array" ref="S438">IF(A438="", "",
    IFERROR(
        _xlfn.SWITCH(
            TRUE,
            AND(Q438="USD", $Q$2="USD"), M438,
            AND(Q438="USD", $Q$2="GBP"), M438*$Z$3,
            AND(Q438="USD", $Q$2="HKD"), M438*$Z$4,
            AND(Q438="USD", $Q$2="EUR"), M438*$Z$5,
            AND(Q438="GBP", $Q$2="GBP"), M438,
            AND(Q438="GBP", $Q$2="USD"), M438*$Z$6,
            AND(Q438="GBP", $Q$2="HKD"), M438*$Z$7,
            AND(Q438="GBP", $Q$2="HKD"), M438*$Z$8,
            AND(Q438="HKG", $Q$2="HKG"), M438,
            AND(Q438="HKD", $Q$2="USD"), M438*$Z$9,
            AND(Q438="HKD", $Q$2="GBP"), M438*$Z$10,
            AND(Q438="HKD", $Q$2="EUR"), M438*$Z$11,
            AND(Q438="EUR", $Q$2="EUR"), M438,
            AND(Q438="EUR", $Q$2="USD"), M438*$Z$12,
            AND(Q438="EUR", $Q$2="GBP"), M438*$Z$13,
            AND(Q438="EUR", $Q$2="HKD"), M438*$Z$14,
        ),
        0
    )
)</f>
        <v>70.739999999999995</v>
      </c>
      <c r="T438" s="1" t="str">
        <f t="shared" si="124"/>
        <v>19</v>
      </c>
      <c r="U438" s="8" t="str">
        <f t="shared" si="125"/>
        <v>03</v>
      </c>
      <c r="V438" s="1" t="str">
        <f t="shared" si="126"/>
        <v>2024</v>
      </c>
      <c r="W438" s="18" t="str">
        <f t="shared" si="127"/>
        <v>星期二</v>
      </c>
    </row>
    <row r="439" spans="1:23">
      <c r="A439" s="17" t="s">
        <v>6</v>
      </c>
      <c r="B439" s="1" t="s">
        <v>348</v>
      </c>
      <c r="C439" s="9">
        <v>45372</v>
      </c>
      <c r="D439" s="1" t="s">
        <v>364</v>
      </c>
      <c r="E439" s="1" t="s">
        <v>114</v>
      </c>
      <c r="F439" s="1" t="s">
        <v>346</v>
      </c>
      <c r="H439" s="1" t="s">
        <v>359</v>
      </c>
      <c r="I439" s="1">
        <v>46.896999999999998</v>
      </c>
      <c r="J439" s="27">
        <v>1</v>
      </c>
      <c r="K439" s="1">
        <v>3.5000000000000003E-2</v>
      </c>
      <c r="M439" s="25">
        <f t="shared" si="114"/>
        <v>46.896999999999998</v>
      </c>
      <c r="N439" s="17">
        <f t="shared" si="108"/>
        <v>0</v>
      </c>
      <c r="O439" s="34">
        <f>IF(ISBLANK(A439),"",SUMIFS(I$3:I439,D$3:D439,D439,H$3:H439,"Buy")+SUMIFS(I$3:I439,D$3:D439,D439,H$3:H439,"Cash Deposit")+SUMIFS(I$3:I439,D$3:D439,D439,H$3:H439,"Crypto Deposit")+SUMIFS(I$3:I439,D$3:D439,D439,H$3:H439,"Airdrop/Rewards")-SUMIFS(I$3:I439,D$3:D439,D439,H$3:H439,"Sell"))</f>
        <v>10437.499980080389</v>
      </c>
      <c r="P439" s="2" cm="1">
        <f t="array" ref="P439">IF(ISBLANK(A439),"",IFERROR(IF(OR(H439="Sell",F439="Stable Coin"),INDEX(_xlfn._xlws.FILTER(P$2:P438, D$2:D438=D439),COUNT(_xlfn._xlws.FILTER(P$2:P438, D$2:D438=D439))),(INDEX(_xlfn._xlws.FILTER(P$2:P438, D$2:D438=D439),COUNT(_xlfn._xlws.FILTER(P$2:P438, D$2:D438=D439)))*INDEX(_xlfn._xlws.FILTER(O$2:O438, D$2:D438=D439),COUNT(_xlfn._xlws.FILTER(O$2:O438, D$2:D438=D439)))-N439) / O439), J439))</f>
        <v>1</v>
      </c>
      <c r="Q439" s="1" t="str">
        <f t="shared" si="115"/>
        <v>USD</v>
      </c>
      <c r="R439" s="1" cm="1">
        <f t="array" ref="R439">IF(A439="", "",
    IFERROR(
        _xlfn.SWITCH(
            TRUE,
            AND(Q439="USD", $Q$2="USD"), K439,
            AND(Q439="USD", $Q$2="GBP"), K439*$Z$3,
            AND(Q439="USD", $Q$2="HKD"), K439*$Z$4,
            AND(Q439="USD", $Q$2="EUR"), K439*$Z$5,
            AND(Q439="GBP", $Q$2="GBP"), K439,
            AND(Q439="GBP", $Q$2="USD"), K439*$Z$6,
            AND(Q439="GBP", $Q$2="HKD"), K439*$Z$7,
            AND(Q439="HKG", $Q$2="HKG"), K439,
            AND(Q439="HKD", $Q$2="USD"), K439*$Z$9,
            AND(Q439="HKD", $Q$2="GBP"), K439*$Z$10,
            AND(Q439="HKD", $Q$2="EUR"), K439*$Z$11,
            AND(Q439="EUR", $Q$2="EUR"), K439,
            AND(Q439="EUR", $Q$2="USD"), K439*$Z$12,
            AND(Q439="EUR", $Q$2="GBP"), K439*$Z$13,
            AND(Q439="EUR", $Q$2="HKD"), K439*$Z$14,
        ),
        0
    )
)</f>
        <v>3.5000000000000003E-2</v>
      </c>
      <c r="S439" s="1" cm="1">
        <f t="array" ref="S439">IF(A439="", "",
    IFERROR(
        _xlfn.SWITCH(
            TRUE,
            AND(Q439="USD", $Q$2="USD"), M439,
            AND(Q439="USD", $Q$2="GBP"), M439*$Z$3,
            AND(Q439="USD", $Q$2="HKD"), M439*$Z$4,
            AND(Q439="USD", $Q$2="EUR"), M439*$Z$5,
            AND(Q439="GBP", $Q$2="GBP"), M439,
            AND(Q439="GBP", $Q$2="USD"), M439*$Z$6,
            AND(Q439="GBP", $Q$2="HKD"), M439*$Z$7,
            AND(Q439="GBP", $Q$2="HKD"), M439*$Z$8,
            AND(Q439="HKG", $Q$2="HKG"), M439,
            AND(Q439="HKD", $Q$2="USD"), M439*$Z$9,
            AND(Q439="HKD", $Q$2="GBP"), M439*$Z$10,
            AND(Q439="HKD", $Q$2="EUR"), M439*$Z$11,
            AND(Q439="EUR", $Q$2="EUR"), M439,
            AND(Q439="EUR", $Q$2="USD"), M439*$Z$12,
            AND(Q439="EUR", $Q$2="GBP"), M439*$Z$13,
            AND(Q439="EUR", $Q$2="HKD"), M439*$Z$14,
        ),
        0
    )
)</f>
        <v>46.896999999999998</v>
      </c>
      <c r="T439" s="1" t="str">
        <f t="shared" si="124"/>
        <v>21</v>
      </c>
      <c r="U439" s="8" t="str">
        <f t="shared" si="125"/>
        <v>03</v>
      </c>
      <c r="V439" s="1" t="str">
        <f t="shared" si="126"/>
        <v>2024</v>
      </c>
      <c r="W439" s="18" t="str">
        <f t="shared" si="127"/>
        <v>星期四</v>
      </c>
    </row>
    <row r="440" spans="1:23">
      <c r="A440" s="17" t="s">
        <v>45</v>
      </c>
      <c r="B440" s="1" t="s">
        <v>348</v>
      </c>
      <c r="C440" s="9">
        <v>45372</v>
      </c>
      <c r="D440" s="1" t="s">
        <v>57</v>
      </c>
      <c r="E440" s="1" t="s">
        <v>43</v>
      </c>
      <c r="F440" s="1" t="s">
        <v>349</v>
      </c>
      <c r="H440" s="1" t="s">
        <v>359</v>
      </c>
      <c r="I440" s="1">
        <v>21.515689999999999</v>
      </c>
      <c r="J440" s="27">
        <v>3.258</v>
      </c>
      <c r="K440" s="1">
        <v>0.5</v>
      </c>
      <c r="M440" s="25">
        <f t="shared" si="114"/>
        <v>70.098118020000001</v>
      </c>
      <c r="N440" s="17">
        <f t="shared" si="108"/>
        <v>0</v>
      </c>
      <c r="O440" s="34">
        <f>IF(ISBLANK(A440),"",SUMIFS(I$3:I440,D$3:D440,D440,H$3:H440,"Buy")+SUMIFS(I$3:I440,D$3:D440,D440,H$3:H440,"Cash Deposit")+SUMIFS(I$3:I440,D$3:D440,D440,H$3:H440,"Crypto Deposit")+SUMIFS(I$3:I440,D$3:D440,D440,H$3:H440,"Airdrop/Rewards")-SUMIFS(I$3:I440,D$3:D440,D440,H$3:H440,"Sell"))</f>
        <v>962.23118999999997</v>
      </c>
      <c r="P440" s="2" cm="1">
        <f t="array" ref="P440">IF(ISBLANK(A440),"",IFERROR(IF(OR(H440="Sell",F440="Stable Coin"),INDEX(_xlfn._xlws.FILTER(P$2:P439, D$2:D439=D440),COUNT(_xlfn._xlws.FILTER(P$2:P439, D$2:D439=D440))),(INDEX(_xlfn._xlws.FILTER(P$2:P439, D$2:D439=D440),COUNT(_xlfn._xlws.FILTER(P$2:P439, D$2:D439=D440)))*INDEX(_xlfn._xlws.FILTER(O$2:O439, D$2:D439=D440),COUNT(_xlfn._xlws.FILTER(O$2:O439, D$2:D439=D440)))-N440) / O440), J440))</f>
        <v>1.0026386834332401</v>
      </c>
      <c r="Q440" s="1" t="str">
        <f t="shared" si="115"/>
        <v>USD</v>
      </c>
      <c r="R440" s="1" cm="1">
        <f t="array" ref="R440">IF(A440="", "",
    IFERROR(
        _xlfn.SWITCH(
            TRUE,
            AND(Q440="USD", $Q$2="USD"), K440,
            AND(Q440="USD", $Q$2="GBP"), K440*$Z$3,
            AND(Q440="USD", $Q$2="HKD"), K440*$Z$4,
            AND(Q440="USD", $Q$2="EUR"), K440*$Z$5,
            AND(Q440="GBP", $Q$2="GBP"), K440,
            AND(Q440="GBP", $Q$2="USD"), K440*$Z$6,
            AND(Q440="GBP", $Q$2="HKD"), K440*$Z$7,
            AND(Q440="HKG", $Q$2="HKG"), K440,
            AND(Q440="HKD", $Q$2="USD"), K440*$Z$9,
            AND(Q440="HKD", $Q$2="GBP"), K440*$Z$10,
            AND(Q440="HKD", $Q$2="EUR"), K440*$Z$11,
            AND(Q440="EUR", $Q$2="EUR"), K440,
            AND(Q440="EUR", $Q$2="USD"), K440*$Z$12,
            AND(Q440="EUR", $Q$2="GBP"), K440*$Z$13,
            AND(Q440="EUR", $Q$2="HKD"), K440*$Z$14,
        ),
        0
    )
)</f>
        <v>0.5</v>
      </c>
      <c r="S440" s="1" cm="1">
        <f t="array" ref="S440">IF(A440="", "",
    IFERROR(
        _xlfn.SWITCH(
            TRUE,
            AND(Q440="USD", $Q$2="USD"), M440,
            AND(Q440="USD", $Q$2="GBP"), M440*$Z$3,
            AND(Q440="USD", $Q$2="HKD"), M440*$Z$4,
            AND(Q440="USD", $Q$2="EUR"), M440*$Z$5,
            AND(Q440="GBP", $Q$2="GBP"), M440,
            AND(Q440="GBP", $Q$2="USD"), M440*$Z$6,
            AND(Q440="GBP", $Q$2="HKD"), M440*$Z$7,
            AND(Q440="GBP", $Q$2="HKD"), M440*$Z$8,
            AND(Q440="HKG", $Q$2="HKG"), M440,
            AND(Q440="HKD", $Q$2="USD"), M440*$Z$9,
            AND(Q440="HKD", $Q$2="GBP"), M440*$Z$10,
            AND(Q440="HKD", $Q$2="EUR"), M440*$Z$11,
            AND(Q440="EUR", $Q$2="EUR"), M440,
            AND(Q440="EUR", $Q$2="USD"), M440*$Z$12,
            AND(Q440="EUR", $Q$2="GBP"), M440*$Z$13,
            AND(Q440="EUR", $Q$2="HKD"), M440*$Z$14,
        ),
        0
    )
)</f>
        <v>70.098118020000001</v>
      </c>
      <c r="T440" s="1" t="str">
        <f t="shared" si="124"/>
        <v>21</v>
      </c>
      <c r="U440" s="8" t="str">
        <f t="shared" si="125"/>
        <v>03</v>
      </c>
      <c r="V440" s="1" t="str">
        <f t="shared" si="126"/>
        <v>2024</v>
      </c>
      <c r="W440" s="18" t="str">
        <f t="shared" si="127"/>
        <v>星期四</v>
      </c>
    </row>
    <row r="441" spans="1:23">
      <c r="A441" s="17" t="s">
        <v>59</v>
      </c>
      <c r="B441" s="1" t="s">
        <v>348</v>
      </c>
      <c r="C441" s="9">
        <v>45377</v>
      </c>
      <c r="D441" s="1" t="s">
        <v>364</v>
      </c>
      <c r="E441" s="1" t="s">
        <v>114</v>
      </c>
      <c r="F441" s="1" t="s">
        <v>346</v>
      </c>
      <c r="H441" s="1" t="s">
        <v>359</v>
      </c>
      <c r="I441" s="1">
        <v>229.5</v>
      </c>
      <c r="J441" s="27">
        <v>1</v>
      </c>
      <c r="K441" s="1">
        <v>1.73</v>
      </c>
      <c r="M441" s="25">
        <f t="shared" si="114"/>
        <v>229.5</v>
      </c>
      <c r="N441" s="17">
        <f t="shared" si="108"/>
        <v>0</v>
      </c>
      <c r="O441" s="34">
        <f>IF(ISBLANK(A441),"",SUMIFS(I$3:I441,D$3:D441,D441,H$3:H441,"Buy")+SUMIFS(I$3:I441,D$3:D441,D441,H$3:H441,"Cash Deposit")+SUMIFS(I$3:I441,D$3:D441,D441,H$3:H441,"Crypto Deposit")+SUMIFS(I$3:I441,D$3:D441,D441,H$3:H441,"Airdrop/Rewards")-SUMIFS(I$3:I441,D$3:D441,D441,H$3:H441,"Sell"))</f>
        <v>10666.999980080389</v>
      </c>
      <c r="P441" s="2" cm="1">
        <f t="array" ref="P441">IF(ISBLANK(A441),"",IFERROR(IF(OR(H441="Sell",F441="Stable Coin"),INDEX(_xlfn._xlws.FILTER(P$2:P440, D$2:D440=D441),COUNT(_xlfn._xlws.FILTER(P$2:P440, D$2:D440=D441))),(INDEX(_xlfn._xlws.FILTER(P$2:P440, D$2:D440=D441),COUNT(_xlfn._xlws.FILTER(P$2:P440, D$2:D440=D441)))*INDEX(_xlfn._xlws.FILTER(O$2:O440, D$2:D440=D441),COUNT(_xlfn._xlws.FILTER(O$2:O440, D$2:D440=D441)))-N441) / O441), J441))</f>
        <v>1</v>
      </c>
      <c r="Q441" s="1" t="str">
        <f t="shared" si="115"/>
        <v>USD</v>
      </c>
      <c r="R441" s="1" cm="1">
        <f t="array" ref="R441">IF(A441="", "",
    IFERROR(
        _xlfn.SWITCH(
            TRUE,
            AND(Q441="USD", $Q$2="USD"), K441,
            AND(Q441="USD", $Q$2="GBP"), K441*$Z$3,
            AND(Q441="USD", $Q$2="HKD"), K441*$Z$4,
            AND(Q441="USD", $Q$2="EUR"), K441*$Z$5,
            AND(Q441="GBP", $Q$2="GBP"), K441,
            AND(Q441="GBP", $Q$2="USD"), K441*$Z$6,
            AND(Q441="GBP", $Q$2="HKD"), K441*$Z$7,
            AND(Q441="HKG", $Q$2="HKG"), K441,
            AND(Q441="HKD", $Q$2="USD"), K441*$Z$9,
            AND(Q441="HKD", $Q$2="GBP"), K441*$Z$10,
            AND(Q441="HKD", $Q$2="EUR"), K441*$Z$11,
            AND(Q441="EUR", $Q$2="EUR"), K441,
            AND(Q441="EUR", $Q$2="USD"), K441*$Z$12,
            AND(Q441="EUR", $Q$2="GBP"), K441*$Z$13,
            AND(Q441="EUR", $Q$2="HKD"), K441*$Z$14,
        ),
        0
    )
)</f>
        <v>1.73</v>
      </c>
      <c r="S441" s="1" cm="1">
        <f t="array" ref="S441">IF(A441="", "",
    IFERROR(
        _xlfn.SWITCH(
            TRUE,
            AND(Q441="USD", $Q$2="USD"), M441,
            AND(Q441="USD", $Q$2="GBP"), M441*$Z$3,
            AND(Q441="USD", $Q$2="HKD"), M441*$Z$4,
            AND(Q441="USD", $Q$2="EUR"), M441*$Z$5,
            AND(Q441="GBP", $Q$2="GBP"), M441,
            AND(Q441="GBP", $Q$2="USD"), M441*$Z$6,
            AND(Q441="GBP", $Q$2="HKD"), M441*$Z$7,
            AND(Q441="GBP", $Q$2="HKD"), M441*$Z$8,
            AND(Q441="HKG", $Q$2="HKG"), M441,
            AND(Q441="HKD", $Q$2="USD"), M441*$Z$9,
            AND(Q441="HKD", $Q$2="GBP"), M441*$Z$10,
            AND(Q441="HKD", $Q$2="EUR"), M441*$Z$11,
            AND(Q441="EUR", $Q$2="EUR"), M441,
            AND(Q441="EUR", $Q$2="USD"), M441*$Z$12,
            AND(Q441="EUR", $Q$2="GBP"), M441*$Z$13,
            AND(Q441="EUR", $Q$2="HKD"), M441*$Z$14,
        ),
        0
    )
)</f>
        <v>229.5</v>
      </c>
      <c r="T441" s="1" t="str">
        <f t="shared" si="124"/>
        <v>26</v>
      </c>
      <c r="U441" s="8" t="str">
        <f t="shared" si="125"/>
        <v>03</v>
      </c>
      <c r="V441" s="1" t="str">
        <f t="shared" si="126"/>
        <v>2024</v>
      </c>
      <c r="W441" s="18" t="str">
        <f t="shared" si="127"/>
        <v>星期二</v>
      </c>
    </row>
    <row r="442" spans="1:23">
      <c r="A442" s="17" t="s">
        <v>59</v>
      </c>
      <c r="B442" s="1" t="s">
        <v>348</v>
      </c>
      <c r="C442" s="9">
        <v>45377</v>
      </c>
      <c r="D442" s="1" t="s">
        <v>122</v>
      </c>
      <c r="E442" s="1" t="s">
        <v>122</v>
      </c>
      <c r="F442" s="1" t="s">
        <v>346</v>
      </c>
      <c r="H442" s="1" t="s">
        <v>359</v>
      </c>
      <c r="I442" s="1">
        <v>469.4</v>
      </c>
      <c r="J442" s="27">
        <v>1</v>
      </c>
      <c r="K442" s="1">
        <v>0.02</v>
      </c>
      <c r="L442" s="1" t="s">
        <v>593</v>
      </c>
      <c r="M442" s="25">
        <f t="shared" si="114"/>
        <v>469.4</v>
      </c>
      <c r="N442" s="17">
        <f t="shared" si="108"/>
        <v>0</v>
      </c>
      <c r="O442" s="34">
        <f>IF(ISBLANK(A442),"",SUMIFS(I$3:I442,D$3:D442,D442,H$3:H442,"Buy")+SUMIFS(I$3:I442,D$3:D442,D442,H$3:H442,"Cash Deposit")+SUMIFS(I$3:I442,D$3:D442,D442,H$3:H442,"Crypto Deposit")+SUMIFS(I$3:I442,D$3:D442,D442,H$3:H442,"Airdrop/Rewards")-SUMIFS(I$3:I442,D$3:D442,D442,H$3:H442,"Sell"))</f>
        <v>1469.3299999999995</v>
      </c>
      <c r="P442" s="2" cm="1">
        <f t="array" ref="P442">IF(ISBLANK(A442),"",IFERROR(IF(OR(H442="Sell",F442="Stable Coin"),INDEX(_xlfn._xlws.FILTER(P$2:P441, D$2:D441=D442),COUNT(_xlfn._xlws.FILTER(P$2:P441, D$2:D441=D442))),(INDEX(_xlfn._xlws.FILTER(P$2:P441, D$2:D441=D442),COUNT(_xlfn._xlws.FILTER(P$2:P441, D$2:D441=D442)))*INDEX(_xlfn._xlws.FILTER(O$2:O441, D$2:D441=D442),COUNT(_xlfn._xlws.FILTER(O$2:O441, D$2:D441=D442)))-N442) / O442), J442))</f>
        <v>1</v>
      </c>
      <c r="Q442" s="1" t="str">
        <f t="shared" si="115"/>
        <v>USD</v>
      </c>
      <c r="R442" s="1" cm="1">
        <f t="array" ref="R442">IF(A442="", "",
    IFERROR(
        _xlfn.SWITCH(
            TRUE,
            AND(Q442="USD", $Q$2="USD"), K442,
            AND(Q442="USD", $Q$2="GBP"), K442*$Z$3,
            AND(Q442="USD", $Q$2="HKD"), K442*$Z$4,
            AND(Q442="USD", $Q$2="EUR"), K442*$Z$5,
            AND(Q442="GBP", $Q$2="GBP"), K442,
            AND(Q442="GBP", $Q$2="USD"), K442*$Z$6,
            AND(Q442="GBP", $Q$2="HKD"), K442*$Z$7,
            AND(Q442="HKG", $Q$2="HKG"), K442,
            AND(Q442="HKD", $Q$2="USD"), K442*$Z$9,
            AND(Q442="HKD", $Q$2="GBP"), K442*$Z$10,
            AND(Q442="HKD", $Q$2="EUR"), K442*$Z$11,
            AND(Q442="EUR", $Q$2="EUR"), K442,
            AND(Q442="EUR", $Q$2="USD"), K442*$Z$12,
            AND(Q442="EUR", $Q$2="GBP"), K442*$Z$13,
            AND(Q442="EUR", $Q$2="HKD"), K442*$Z$14,
        ),
        0
    )
)</f>
        <v>0.02</v>
      </c>
      <c r="S442" s="1" cm="1">
        <f t="array" ref="S442">IF(A442="", "",
    IFERROR(
        _xlfn.SWITCH(
            TRUE,
            AND(Q442="USD", $Q$2="USD"), M442,
            AND(Q442="USD", $Q$2="GBP"), M442*$Z$3,
            AND(Q442="USD", $Q$2="HKD"), M442*$Z$4,
            AND(Q442="USD", $Q$2="EUR"), M442*$Z$5,
            AND(Q442="GBP", $Q$2="GBP"), M442,
            AND(Q442="GBP", $Q$2="USD"), M442*$Z$6,
            AND(Q442="GBP", $Q$2="HKD"), M442*$Z$7,
            AND(Q442="GBP", $Q$2="HKD"), M442*$Z$8,
            AND(Q442="HKG", $Q$2="HKG"), M442,
            AND(Q442="HKD", $Q$2="USD"), M442*$Z$9,
            AND(Q442="HKD", $Q$2="GBP"), M442*$Z$10,
            AND(Q442="HKD", $Q$2="EUR"), M442*$Z$11,
            AND(Q442="EUR", $Q$2="EUR"), M442,
            AND(Q442="EUR", $Q$2="USD"), M442*$Z$12,
            AND(Q442="EUR", $Q$2="GBP"), M442*$Z$13,
            AND(Q442="EUR", $Q$2="HKD"), M442*$Z$14,
        ),
        0
    )
)</f>
        <v>469.4</v>
      </c>
      <c r="T442" s="1" t="str">
        <f t="shared" si="124"/>
        <v>26</v>
      </c>
      <c r="U442" s="8" t="str">
        <f t="shared" si="125"/>
        <v>03</v>
      </c>
      <c r="V442" s="1" t="str">
        <f t="shared" si="126"/>
        <v>2024</v>
      </c>
      <c r="W442" s="18" t="str">
        <f t="shared" si="127"/>
        <v>星期二</v>
      </c>
    </row>
    <row r="443" spans="1:23">
      <c r="A443" s="17" t="s">
        <v>59</v>
      </c>
      <c r="B443" s="1" t="s">
        <v>348</v>
      </c>
      <c r="C443" s="9">
        <v>45377</v>
      </c>
      <c r="D443" s="1" t="s">
        <v>23</v>
      </c>
      <c r="E443" s="1" t="s">
        <v>24</v>
      </c>
      <c r="F443" s="1" t="s">
        <v>349</v>
      </c>
      <c r="H443" s="1" t="s">
        <v>359</v>
      </c>
      <c r="I443" s="1">
        <v>1.48724138891247E-2</v>
      </c>
      <c r="J443" s="27">
        <v>3607</v>
      </c>
      <c r="K443" s="1">
        <v>0.09</v>
      </c>
      <c r="M443" s="25">
        <f t="shared" si="114"/>
        <v>53.644796898072791</v>
      </c>
      <c r="N443" s="17">
        <f t="shared" si="108"/>
        <v>0</v>
      </c>
      <c r="O443" s="34">
        <f>IF(ISBLANK(A443),"",SUMIFS(I$3:I443,D$3:D443,D443,H$3:H443,"Buy")+SUMIFS(I$3:I443,D$3:D443,D443,H$3:H443,"Cash Deposit")+SUMIFS(I$3:I443,D$3:D443,D443,H$3:H443,"Crypto Deposit")+SUMIFS(I$3:I443,D$3:D443,D443,H$3:H443,"Airdrop/Rewards")-SUMIFS(I$3:I443,D$3:D443,D443,H$3:H443,"Sell"))</f>
        <v>10.474062116497931</v>
      </c>
      <c r="P443" s="2" cm="1">
        <f t="array" ref="P443">IF(ISBLANK(A443),"",IFERROR(IF(OR(H443="Sell",F443="Stable Coin"),INDEX(_xlfn._xlws.FILTER(P$2:P442, D$2:D442=D443),COUNT(_xlfn._xlws.FILTER(P$2:P442, D$2:D442=D443))),(INDEX(_xlfn._xlws.FILTER(P$2:P442, D$2:D442=D443),COUNT(_xlfn._xlws.FILTER(P$2:P442, D$2:D442=D443)))*INDEX(_xlfn._xlws.FILTER(O$2:O442, D$2:D442=D443),COUNT(_xlfn._xlws.FILTER(O$2:O442, D$2:D442=D443)))-N443) / O443), J443))</f>
        <v>2331.5797609609203</v>
      </c>
      <c r="Q443" s="1" t="str">
        <f t="shared" si="115"/>
        <v>USD</v>
      </c>
      <c r="R443" s="1" cm="1">
        <f t="array" ref="R443">IF(A443="", "",
    IFERROR(
        _xlfn.SWITCH(
            TRUE,
            AND(Q443="USD", $Q$2="USD"), K443,
            AND(Q443="USD", $Q$2="GBP"), K443*$Z$3,
            AND(Q443="USD", $Q$2="HKD"), K443*$Z$4,
            AND(Q443="USD", $Q$2="EUR"), K443*$Z$5,
            AND(Q443="GBP", $Q$2="GBP"), K443,
            AND(Q443="GBP", $Q$2="USD"), K443*$Z$6,
            AND(Q443="GBP", $Q$2="HKD"), K443*$Z$7,
            AND(Q443="HKG", $Q$2="HKG"), K443,
            AND(Q443="HKD", $Q$2="USD"), K443*$Z$9,
            AND(Q443="HKD", $Q$2="GBP"), K443*$Z$10,
            AND(Q443="HKD", $Q$2="EUR"), K443*$Z$11,
            AND(Q443="EUR", $Q$2="EUR"), K443,
            AND(Q443="EUR", $Q$2="USD"), K443*$Z$12,
            AND(Q443="EUR", $Q$2="GBP"), K443*$Z$13,
            AND(Q443="EUR", $Q$2="HKD"), K443*$Z$14,
        ),
        0
    )
)</f>
        <v>0.09</v>
      </c>
      <c r="S443" s="1" cm="1">
        <f t="array" ref="S443">IF(A443="", "",
    IFERROR(
        _xlfn.SWITCH(
            TRUE,
            AND(Q443="USD", $Q$2="USD"), M443,
            AND(Q443="USD", $Q$2="GBP"), M443*$Z$3,
            AND(Q443="USD", $Q$2="HKD"), M443*$Z$4,
            AND(Q443="USD", $Q$2="EUR"), M443*$Z$5,
            AND(Q443="GBP", $Q$2="GBP"), M443,
            AND(Q443="GBP", $Q$2="USD"), M443*$Z$6,
            AND(Q443="GBP", $Q$2="HKD"), M443*$Z$7,
            AND(Q443="GBP", $Q$2="HKD"), M443*$Z$8,
            AND(Q443="HKG", $Q$2="HKG"), M443,
            AND(Q443="HKD", $Q$2="USD"), M443*$Z$9,
            AND(Q443="HKD", $Q$2="GBP"), M443*$Z$10,
            AND(Q443="HKD", $Q$2="EUR"), M443*$Z$11,
            AND(Q443="EUR", $Q$2="EUR"), M443,
            AND(Q443="EUR", $Q$2="USD"), M443*$Z$12,
            AND(Q443="EUR", $Q$2="GBP"), M443*$Z$13,
            AND(Q443="EUR", $Q$2="HKD"), M443*$Z$14,
        ),
        0
    )
)</f>
        <v>53.644796898072791</v>
      </c>
      <c r="T443" s="1" t="str">
        <f t="shared" si="124"/>
        <v>26</v>
      </c>
      <c r="U443" s="8" t="str">
        <f t="shared" si="125"/>
        <v>03</v>
      </c>
      <c r="V443" s="1" t="str">
        <f t="shared" si="126"/>
        <v>2024</v>
      </c>
      <c r="W443" s="18" t="str">
        <f t="shared" si="127"/>
        <v>星期二</v>
      </c>
    </row>
    <row r="444" spans="1:23">
      <c r="A444" s="17"/>
      <c r="J444" s="27"/>
      <c r="M444" s="25"/>
      <c r="N444" s="17"/>
      <c r="W444" s="18"/>
    </row>
    <row r="445" spans="1:23">
      <c r="A445" s="17"/>
      <c r="J445" s="27"/>
      <c r="M445" s="25"/>
      <c r="N445" s="17"/>
      <c r="W445" s="18"/>
    </row>
    <row r="446" spans="1:23">
      <c r="A446" s="17"/>
      <c r="J446" s="27"/>
      <c r="M446" s="25"/>
      <c r="N446" s="17"/>
      <c r="W446" s="18"/>
    </row>
    <row r="447" spans="1:23">
      <c r="A447" s="17"/>
      <c r="J447" s="27"/>
      <c r="M447" s="25"/>
      <c r="N447" s="17"/>
      <c r="W447" s="18"/>
    </row>
    <row r="448" spans="1:23">
      <c r="A448" s="17"/>
      <c r="J448" s="27"/>
      <c r="M448" s="25"/>
      <c r="N448" s="17"/>
      <c r="W448" s="18"/>
    </row>
    <row r="449" spans="1:23">
      <c r="A449" s="17"/>
      <c r="J449" s="27"/>
      <c r="M449" s="25"/>
      <c r="N449" s="17"/>
      <c r="W449" s="18"/>
    </row>
    <row r="450" spans="1:23">
      <c r="A450" s="17"/>
      <c r="J450" s="27"/>
      <c r="M450" s="25"/>
      <c r="N450" s="17"/>
      <c r="W450" s="18"/>
    </row>
    <row r="451" spans="1:23">
      <c r="A451" s="17"/>
      <c r="J451" s="27"/>
      <c r="M451" s="25"/>
      <c r="N451" s="17"/>
      <c r="W451" s="18"/>
    </row>
    <row r="452" spans="1:23">
      <c r="A452" s="17"/>
      <c r="J452" s="27"/>
      <c r="M452" s="25"/>
      <c r="N452" s="17"/>
      <c r="W452" s="18"/>
    </row>
    <row r="453" spans="1:23">
      <c r="A453" s="17"/>
      <c r="J453" s="27"/>
      <c r="M453" s="25"/>
      <c r="N453" s="17"/>
      <c r="W453" s="18"/>
    </row>
    <row r="454" spans="1:23">
      <c r="A454" s="17"/>
      <c r="J454" s="27"/>
      <c r="M454" s="25"/>
      <c r="N454" s="17"/>
      <c r="W454" s="18"/>
    </row>
    <row r="455" spans="1:23">
      <c r="A455" s="17"/>
      <c r="J455" s="27"/>
      <c r="M455" s="25"/>
      <c r="N455" s="17"/>
      <c r="W455" s="18"/>
    </row>
    <row r="456" spans="1:23">
      <c r="A456" s="17"/>
      <c r="J456" s="27"/>
      <c r="M456" s="25"/>
      <c r="N456" s="17"/>
      <c r="W456" s="18"/>
    </row>
    <row r="457" spans="1:23">
      <c r="A457" s="17"/>
      <c r="J457" s="27"/>
      <c r="M457" s="25"/>
      <c r="N457" s="17"/>
      <c r="W457" s="18"/>
    </row>
    <row r="458" spans="1:23">
      <c r="A458" s="17"/>
      <c r="J458" s="27"/>
      <c r="M458" s="25"/>
      <c r="N458" s="17"/>
      <c r="W458" s="18"/>
    </row>
    <row r="459" spans="1:23">
      <c r="A459" s="17"/>
      <c r="J459" s="27"/>
      <c r="M459" s="25"/>
      <c r="N459" s="17"/>
      <c r="W459" s="18"/>
    </row>
    <row r="460" spans="1:23">
      <c r="A460" s="17"/>
      <c r="J460" s="27"/>
      <c r="M460" s="25"/>
      <c r="N460" s="17"/>
      <c r="W460" s="18"/>
    </row>
    <row r="461" spans="1:23">
      <c r="A461" s="17"/>
      <c r="J461" s="27"/>
      <c r="M461" s="25"/>
      <c r="N461" s="17"/>
      <c r="W461" s="18"/>
    </row>
    <row r="462" spans="1:23">
      <c r="A462" s="17"/>
      <c r="J462" s="27"/>
      <c r="M462" s="25"/>
      <c r="N462" s="17"/>
      <c r="W462" s="18"/>
    </row>
    <row r="463" spans="1:23">
      <c r="A463" s="17"/>
      <c r="J463" s="27"/>
      <c r="M463" s="25"/>
      <c r="N463" s="17"/>
      <c r="W463" s="18"/>
    </row>
    <row r="464" spans="1:23">
      <c r="A464" s="17"/>
      <c r="J464" s="27"/>
      <c r="M464" s="25"/>
      <c r="N464" s="17"/>
      <c r="W464" s="18"/>
    </row>
    <row r="465" spans="1:23">
      <c r="A465" s="17"/>
      <c r="J465" s="27"/>
      <c r="M465" s="25"/>
      <c r="N465" s="17"/>
      <c r="W465" s="18"/>
    </row>
    <row r="466" spans="1:23">
      <c r="A466" s="17"/>
      <c r="J466" s="27"/>
      <c r="M466" s="25"/>
      <c r="N466" s="17"/>
      <c r="W466" s="18"/>
    </row>
    <row r="467" spans="1:23">
      <c r="A467" s="17"/>
      <c r="J467" s="27"/>
      <c r="M467" s="25"/>
      <c r="N467" s="17"/>
      <c r="W467" s="18"/>
    </row>
    <row r="468" spans="1:23">
      <c r="A468" s="17"/>
      <c r="J468" s="27"/>
      <c r="M468" s="25"/>
      <c r="N468" s="17"/>
      <c r="W468" s="18"/>
    </row>
    <row r="469" spans="1:23">
      <c r="A469" s="17"/>
      <c r="J469" s="27"/>
      <c r="M469" s="25"/>
      <c r="N469" s="17"/>
      <c r="W469" s="18"/>
    </row>
    <row r="470" spans="1:23">
      <c r="A470" s="17"/>
      <c r="J470" s="27"/>
      <c r="M470" s="25"/>
      <c r="N470" s="17"/>
      <c r="W470" s="18"/>
    </row>
    <row r="471" spans="1:23">
      <c r="A471" s="17"/>
      <c r="J471" s="27"/>
      <c r="M471" s="25"/>
      <c r="N471" s="17"/>
      <c r="W471" s="18"/>
    </row>
    <row r="472" spans="1:23">
      <c r="A472" s="17"/>
      <c r="J472" s="27"/>
      <c r="M472" s="25"/>
      <c r="N472" s="17"/>
      <c r="W472" s="18"/>
    </row>
    <row r="473" spans="1:23">
      <c r="A473" s="17"/>
      <c r="J473" s="27"/>
      <c r="M473" s="25"/>
      <c r="N473" s="17"/>
      <c r="W473" s="18"/>
    </row>
    <row r="474" spans="1:23">
      <c r="A474" s="17"/>
      <c r="J474" s="27"/>
      <c r="M474" s="25"/>
      <c r="N474" s="17"/>
      <c r="W474" s="18"/>
    </row>
    <row r="475" spans="1:23">
      <c r="A475" s="17"/>
      <c r="J475" s="27"/>
      <c r="M475" s="25"/>
      <c r="N475" s="17"/>
      <c r="W475" s="18"/>
    </row>
    <row r="476" spans="1:23">
      <c r="A476" s="17"/>
      <c r="J476" s="27"/>
      <c r="M476" s="25"/>
      <c r="N476" s="17"/>
      <c r="W476" s="18"/>
    </row>
    <row r="477" spans="1:23">
      <c r="A477" s="17"/>
      <c r="J477" s="27"/>
      <c r="M477" s="25"/>
      <c r="N477" s="17"/>
      <c r="W477" s="18"/>
    </row>
    <row r="478" spans="1:23">
      <c r="A478" s="17"/>
      <c r="J478" s="27"/>
      <c r="M478" s="25"/>
      <c r="N478" s="17"/>
      <c r="W478" s="18"/>
    </row>
    <row r="479" spans="1:23">
      <c r="A479" s="17"/>
      <c r="J479" s="27"/>
      <c r="M479" s="25"/>
      <c r="N479" s="17"/>
      <c r="W479" s="18"/>
    </row>
    <row r="480" spans="1:23">
      <c r="A480" s="17"/>
      <c r="J480" s="27"/>
      <c r="M480" s="25"/>
      <c r="N480" s="17"/>
      <c r="W480" s="18"/>
    </row>
    <row r="481" spans="1:23">
      <c r="A481" s="17"/>
      <c r="J481" s="27"/>
      <c r="M481" s="25"/>
      <c r="N481" s="17"/>
      <c r="W481" s="18"/>
    </row>
    <row r="482" spans="1:23">
      <c r="A482" s="17"/>
      <c r="J482" s="27"/>
      <c r="M482" s="25"/>
      <c r="N482" s="17"/>
      <c r="W482" s="18"/>
    </row>
    <row r="483" spans="1:23">
      <c r="A483" s="17"/>
      <c r="J483" s="27"/>
      <c r="M483" s="25"/>
      <c r="N483" s="17"/>
      <c r="W483" s="18"/>
    </row>
    <row r="484" spans="1:23">
      <c r="A484" s="17"/>
      <c r="J484" s="27"/>
      <c r="M484" s="25"/>
      <c r="N484" s="17"/>
      <c r="W484" s="18"/>
    </row>
    <row r="485" spans="1:23">
      <c r="A485" s="17"/>
      <c r="J485" s="27"/>
      <c r="M485" s="25"/>
      <c r="N485" s="17"/>
      <c r="W485" s="18"/>
    </row>
    <row r="486" spans="1:23">
      <c r="A486" s="17"/>
      <c r="J486" s="27"/>
      <c r="M486" s="25"/>
      <c r="N486" s="17"/>
      <c r="W486" s="18"/>
    </row>
    <row r="487" spans="1:23">
      <c r="A487" s="17"/>
      <c r="J487" s="27"/>
      <c r="M487" s="25"/>
      <c r="N487" s="17"/>
      <c r="W487" s="18"/>
    </row>
    <row r="488" spans="1:23">
      <c r="A488" s="17"/>
      <c r="J488" s="27"/>
      <c r="M488" s="25"/>
      <c r="N488" s="17"/>
      <c r="W488" s="18"/>
    </row>
    <row r="489" spans="1:23">
      <c r="A489" s="17"/>
      <c r="J489" s="27"/>
      <c r="M489" s="25"/>
      <c r="N489" s="17"/>
      <c r="W489" s="18"/>
    </row>
    <row r="490" spans="1:23">
      <c r="A490" s="17"/>
      <c r="J490" s="27"/>
      <c r="M490" s="25"/>
      <c r="N490" s="17"/>
      <c r="W490" s="18"/>
    </row>
    <row r="491" spans="1:23">
      <c r="A491" s="17"/>
      <c r="J491" s="27"/>
      <c r="M491" s="25"/>
      <c r="N491" s="17"/>
      <c r="W491" s="18"/>
    </row>
    <row r="492" spans="1:23">
      <c r="A492" s="17"/>
      <c r="J492" s="27"/>
      <c r="M492" s="25"/>
      <c r="N492" s="17"/>
      <c r="W492" s="18"/>
    </row>
    <row r="493" spans="1:23">
      <c r="A493" s="17"/>
      <c r="J493" s="27"/>
      <c r="M493" s="25"/>
      <c r="N493" s="17"/>
      <c r="W493" s="18"/>
    </row>
    <row r="494" spans="1:23">
      <c r="A494" s="17"/>
      <c r="J494" s="27"/>
      <c r="M494" s="25"/>
      <c r="N494" s="17"/>
      <c r="W494" s="18"/>
    </row>
    <row r="495" spans="1:23">
      <c r="A495" s="17"/>
      <c r="J495" s="27"/>
      <c r="M495" s="25"/>
      <c r="N495" s="17"/>
      <c r="W495" s="18"/>
    </row>
    <row r="496" spans="1:23">
      <c r="A496" s="17"/>
      <c r="J496" s="27"/>
      <c r="M496" s="25"/>
      <c r="N496" s="17"/>
      <c r="W496" s="18"/>
    </row>
    <row r="497" spans="1:23">
      <c r="A497" s="17"/>
      <c r="J497" s="27"/>
      <c r="M497" s="25"/>
      <c r="N497" s="17"/>
      <c r="W497" s="18"/>
    </row>
    <row r="498" spans="1:23">
      <c r="A498" s="17"/>
      <c r="J498" s="27"/>
      <c r="M498" s="25"/>
      <c r="N498" s="17"/>
      <c r="W498" s="18"/>
    </row>
    <row r="499" spans="1:23">
      <c r="A499" s="17"/>
      <c r="J499" s="27"/>
      <c r="M499" s="25"/>
      <c r="N499" s="17"/>
      <c r="W499" s="18"/>
    </row>
    <row r="500" spans="1:23">
      <c r="A500" s="17"/>
      <c r="J500" s="27"/>
      <c r="M500" s="25"/>
      <c r="N500" s="17"/>
      <c r="W500" s="18"/>
    </row>
    <row r="501" spans="1:23">
      <c r="A501" s="17"/>
      <c r="J501" s="27"/>
      <c r="M501" s="25"/>
      <c r="N501" s="17"/>
      <c r="W501" s="18"/>
    </row>
    <row r="502" spans="1:23">
      <c r="A502" s="17"/>
      <c r="J502" s="27"/>
      <c r="M502" s="25"/>
      <c r="N502" s="17"/>
      <c r="W502" s="18"/>
    </row>
    <row r="503" spans="1:23">
      <c r="A503" s="17"/>
      <c r="J503" s="27"/>
      <c r="M503" s="25"/>
      <c r="N503" s="17"/>
      <c r="W503" s="18"/>
    </row>
    <row r="504" spans="1:23">
      <c r="A504" s="17"/>
      <c r="J504" s="27"/>
      <c r="M504" s="25"/>
      <c r="N504" s="17"/>
      <c r="W504" s="18"/>
    </row>
    <row r="505" spans="1:23">
      <c r="A505" s="17"/>
      <c r="J505" s="27"/>
      <c r="M505" s="25"/>
      <c r="N505" s="17"/>
      <c r="W505" s="18"/>
    </row>
    <row r="506" spans="1:23">
      <c r="A506" s="17"/>
      <c r="J506" s="27"/>
      <c r="M506" s="25"/>
      <c r="N506" s="17"/>
      <c r="W506" s="18"/>
    </row>
    <row r="507" spans="1:23">
      <c r="A507" s="17"/>
      <c r="J507" s="27"/>
      <c r="M507" s="25"/>
      <c r="N507" s="17"/>
      <c r="W507" s="18"/>
    </row>
    <row r="508" spans="1:23">
      <c r="A508" s="17"/>
      <c r="J508" s="27"/>
      <c r="M508" s="25"/>
      <c r="N508" s="17"/>
      <c r="W508" s="18"/>
    </row>
    <row r="509" spans="1:23">
      <c r="A509" s="17"/>
      <c r="J509" s="27"/>
      <c r="M509" s="25"/>
      <c r="N509" s="17"/>
      <c r="W509" s="18"/>
    </row>
    <row r="510" spans="1:23">
      <c r="A510" s="17"/>
      <c r="J510" s="27"/>
      <c r="M510" s="25"/>
      <c r="N510" s="17"/>
      <c r="W510" s="18"/>
    </row>
    <row r="511" spans="1:23">
      <c r="A511" s="17"/>
      <c r="J511" s="27"/>
      <c r="M511" s="25"/>
      <c r="N511" s="17"/>
      <c r="W511" s="18"/>
    </row>
    <row r="512" spans="1:23">
      <c r="A512" s="17"/>
      <c r="J512" s="27"/>
      <c r="M512" s="25"/>
      <c r="N512" s="17"/>
      <c r="W512" s="18"/>
    </row>
    <row r="513" spans="1:23">
      <c r="A513" s="17"/>
      <c r="J513" s="27"/>
      <c r="M513" s="25"/>
      <c r="N513" s="17"/>
      <c r="W513" s="18"/>
    </row>
    <row r="514" spans="1:23">
      <c r="A514" s="17"/>
      <c r="J514" s="27"/>
      <c r="M514" s="25"/>
      <c r="N514" s="17"/>
      <c r="W514" s="18"/>
    </row>
    <row r="515" spans="1:23">
      <c r="A515" s="17"/>
      <c r="J515" s="27"/>
      <c r="M515" s="25"/>
      <c r="N515" s="17"/>
      <c r="W515" s="18"/>
    </row>
    <row r="516" spans="1:23">
      <c r="A516" s="17"/>
      <c r="J516" s="27"/>
      <c r="M516" s="25"/>
      <c r="N516" s="17"/>
      <c r="W516" s="18"/>
    </row>
    <row r="517" spans="1:23">
      <c r="A517" s="17"/>
      <c r="J517" s="27"/>
      <c r="M517" s="25"/>
      <c r="N517" s="17"/>
      <c r="W517" s="18"/>
    </row>
    <row r="518" spans="1:23">
      <c r="A518" s="17"/>
      <c r="J518" s="27"/>
      <c r="M518" s="25"/>
      <c r="N518" s="17"/>
      <c r="W518" s="18"/>
    </row>
    <row r="519" spans="1:23">
      <c r="A519" s="17"/>
      <c r="J519" s="27"/>
      <c r="M519" s="25"/>
      <c r="N519" s="17"/>
      <c r="W519" s="18"/>
    </row>
    <row r="520" spans="1:23">
      <c r="A520" s="17"/>
      <c r="J520" s="27"/>
      <c r="M520" s="25"/>
      <c r="N520" s="17"/>
      <c r="W520" s="18"/>
    </row>
    <row r="521" spans="1:23">
      <c r="A521" s="17"/>
      <c r="J521" s="27"/>
      <c r="M521" s="25"/>
      <c r="N521" s="17"/>
      <c r="W521" s="18"/>
    </row>
    <row r="522" spans="1:23">
      <c r="A522" s="17"/>
      <c r="J522" s="27"/>
      <c r="M522" s="25"/>
      <c r="N522" s="17"/>
      <c r="W522" s="18"/>
    </row>
    <row r="523" spans="1:23">
      <c r="A523" s="17"/>
      <c r="J523" s="27"/>
      <c r="M523" s="25"/>
      <c r="N523" s="17"/>
      <c r="W523" s="18"/>
    </row>
    <row r="524" spans="1:23">
      <c r="A524" s="17"/>
      <c r="J524" s="27"/>
      <c r="M524" s="25"/>
      <c r="N524" s="17"/>
      <c r="W524" s="18"/>
    </row>
    <row r="525" spans="1:23">
      <c r="A525" s="17"/>
      <c r="J525" s="27"/>
      <c r="M525" s="25"/>
      <c r="N525" s="17"/>
      <c r="W525" s="18"/>
    </row>
    <row r="526" spans="1:23">
      <c r="A526" s="17"/>
      <c r="J526" s="27"/>
      <c r="M526" s="25"/>
      <c r="N526" s="17"/>
      <c r="W526" s="18"/>
    </row>
    <row r="527" spans="1:23">
      <c r="A527" s="17"/>
      <c r="J527" s="27"/>
      <c r="M527" s="25"/>
      <c r="N527" s="17"/>
      <c r="W527" s="18"/>
    </row>
    <row r="528" spans="1:23">
      <c r="A528" s="17"/>
      <c r="J528" s="27"/>
      <c r="M528" s="25"/>
      <c r="N528" s="17"/>
      <c r="W528" s="18"/>
    </row>
    <row r="529" spans="1:23">
      <c r="A529" s="17"/>
      <c r="J529" s="27"/>
      <c r="M529" s="25"/>
      <c r="N529" s="17"/>
      <c r="W529" s="18"/>
    </row>
    <row r="530" spans="1:23">
      <c r="A530" s="17"/>
      <c r="J530" s="27"/>
      <c r="M530" s="25"/>
      <c r="N530" s="17"/>
      <c r="W530" s="18"/>
    </row>
    <row r="531" spans="1:23">
      <c r="A531" s="17"/>
      <c r="J531" s="27"/>
      <c r="M531" s="25"/>
      <c r="N531" s="17"/>
      <c r="W531" s="18"/>
    </row>
    <row r="532" spans="1:23">
      <c r="A532" s="17"/>
      <c r="J532" s="27"/>
      <c r="M532" s="25"/>
      <c r="N532" s="17"/>
      <c r="W532" s="18"/>
    </row>
    <row r="533" spans="1:23">
      <c r="A533" s="17"/>
      <c r="J533" s="27"/>
      <c r="M533" s="25"/>
      <c r="N533" s="17"/>
      <c r="W533" s="18"/>
    </row>
    <row r="534" spans="1:23">
      <c r="A534" s="17"/>
      <c r="J534" s="27"/>
      <c r="M534" s="25"/>
      <c r="N534" s="17"/>
      <c r="W534" s="18"/>
    </row>
    <row r="535" spans="1:23">
      <c r="A535" s="17"/>
      <c r="J535" s="27"/>
      <c r="M535" s="25"/>
      <c r="N535" s="17"/>
      <c r="W535" s="18"/>
    </row>
    <row r="536" spans="1:23">
      <c r="A536" s="17"/>
      <c r="J536" s="27"/>
      <c r="M536" s="25"/>
      <c r="N536" s="17"/>
      <c r="W536" s="18"/>
    </row>
    <row r="537" spans="1:23">
      <c r="A537" s="17"/>
      <c r="J537" s="27"/>
      <c r="M537" s="25"/>
      <c r="N537" s="17"/>
      <c r="W537" s="18"/>
    </row>
    <row r="538" spans="1:23">
      <c r="A538" s="17"/>
      <c r="J538" s="27"/>
      <c r="M538" s="25"/>
      <c r="N538" s="17"/>
      <c r="W538" s="18"/>
    </row>
    <row r="539" spans="1:23">
      <c r="A539" s="17"/>
      <c r="J539" s="27"/>
      <c r="M539" s="25"/>
      <c r="N539" s="17"/>
      <c r="W539" s="18"/>
    </row>
    <row r="540" spans="1:23">
      <c r="A540" s="17"/>
      <c r="J540" s="27"/>
      <c r="M540" s="25"/>
      <c r="N540" s="17"/>
      <c r="W540" s="18"/>
    </row>
    <row r="541" spans="1:23">
      <c r="A541" s="17"/>
      <c r="J541" s="27"/>
      <c r="M541" s="25"/>
      <c r="N541" s="17"/>
      <c r="W541" s="18"/>
    </row>
    <row r="542" spans="1:23">
      <c r="A542" s="17"/>
      <c r="J542" s="27"/>
      <c r="M542" s="25"/>
      <c r="N542" s="17"/>
      <c r="W542" s="18"/>
    </row>
    <row r="543" spans="1:23">
      <c r="A543" s="17"/>
      <c r="J543" s="27"/>
      <c r="M543" s="25"/>
      <c r="N543" s="17"/>
      <c r="W543" s="18"/>
    </row>
    <row r="544" spans="1:23">
      <c r="A544" s="17"/>
      <c r="J544" s="27"/>
      <c r="M544" s="25"/>
      <c r="N544" s="17"/>
      <c r="W544" s="18"/>
    </row>
    <row r="545" spans="1:23">
      <c r="A545" s="17"/>
      <c r="J545" s="27"/>
      <c r="M545" s="25"/>
      <c r="N545" s="17"/>
      <c r="W545" s="18"/>
    </row>
    <row r="546" spans="1:23">
      <c r="A546" s="17"/>
      <c r="J546" s="27"/>
      <c r="M546" s="25"/>
      <c r="N546" s="17"/>
      <c r="W546" s="18"/>
    </row>
    <row r="547" spans="1:23">
      <c r="A547" s="17"/>
      <c r="J547" s="27"/>
      <c r="M547" s="25"/>
      <c r="N547" s="17"/>
      <c r="W547" s="18"/>
    </row>
    <row r="548" spans="1:23">
      <c r="A548" s="17"/>
      <c r="J548" s="27"/>
      <c r="M548" s="25"/>
      <c r="N548" s="17"/>
      <c r="W548" s="18"/>
    </row>
    <row r="549" spans="1:23">
      <c r="A549" s="17"/>
      <c r="J549" s="27"/>
      <c r="M549" s="25"/>
      <c r="N549" s="17"/>
      <c r="W549" s="18"/>
    </row>
    <row r="550" spans="1:23">
      <c r="A550" s="17"/>
      <c r="J550" s="27"/>
      <c r="M550" s="25"/>
      <c r="N550" s="17"/>
      <c r="W550" s="18"/>
    </row>
    <row r="551" spans="1:23">
      <c r="A551" s="17"/>
      <c r="J551" s="27"/>
      <c r="M551" s="25"/>
      <c r="N551" s="17"/>
      <c r="W551" s="18"/>
    </row>
    <row r="552" spans="1:23">
      <c r="A552" s="17"/>
      <c r="J552" s="27"/>
      <c r="M552" s="25"/>
      <c r="N552" s="17"/>
      <c r="W552" s="18"/>
    </row>
    <row r="553" spans="1:23">
      <c r="A553" s="17"/>
      <c r="J553" s="27"/>
      <c r="M553" s="25"/>
      <c r="N553" s="17"/>
      <c r="W553" s="18"/>
    </row>
    <row r="554" spans="1:23">
      <c r="A554" s="17"/>
      <c r="J554" s="27"/>
      <c r="M554" s="25"/>
      <c r="N554" s="17"/>
      <c r="W554" s="18"/>
    </row>
    <row r="555" spans="1:23">
      <c r="A555" s="17"/>
      <c r="J555" s="27"/>
      <c r="M555" s="25"/>
      <c r="N555" s="17"/>
      <c r="W555" s="18"/>
    </row>
    <row r="556" spans="1:23">
      <c r="A556" s="17"/>
      <c r="J556" s="27"/>
      <c r="M556" s="25"/>
      <c r="N556" s="17"/>
      <c r="W556" s="18"/>
    </row>
    <row r="557" spans="1:23">
      <c r="A557" s="17"/>
      <c r="J557" s="27"/>
      <c r="M557" s="25"/>
      <c r="N557" s="17"/>
      <c r="W557" s="18"/>
    </row>
    <row r="558" spans="1:23">
      <c r="A558" s="17"/>
      <c r="J558" s="27"/>
      <c r="M558" s="25"/>
      <c r="N558" s="17"/>
      <c r="W558" s="18"/>
    </row>
    <row r="559" spans="1:23">
      <c r="A559" s="17"/>
      <c r="J559" s="27"/>
      <c r="M559" s="25"/>
      <c r="N559" s="17"/>
      <c r="W559" s="18"/>
    </row>
    <row r="560" spans="1:23">
      <c r="A560" s="17"/>
      <c r="J560" s="27"/>
      <c r="M560" s="25"/>
      <c r="N560" s="17"/>
      <c r="W560" s="18"/>
    </row>
    <row r="561" spans="1:23">
      <c r="A561" s="17"/>
      <c r="J561" s="27"/>
      <c r="M561" s="25"/>
      <c r="N561" s="17"/>
      <c r="W561" s="18"/>
    </row>
    <row r="562" spans="1:23">
      <c r="A562" s="17"/>
      <c r="J562" s="27"/>
      <c r="M562" s="25"/>
      <c r="N562" s="17"/>
      <c r="W562" s="18"/>
    </row>
    <row r="563" spans="1:23">
      <c r="A563" s="17"/>
      <c r="J563" s="27"/>
      <c r="M563" s="25"/>
      <c r="N563" s="17"/>
      <c r="W563" s="18"/>
    </row>
    <row r="564" spans="1:23">
      <c r="A564" s="17"/>
      <c r="J564" s="27"/>
      <c r="M564" s="25"/>
      <c r="N564" s="17"/>
      <c r="W564" s="18"/>
    </row>
    <row r="565" spans="1:23">
      <c r="A565" s="17"/>
      <c r="J565" s="27"/>
      <c r="M565" s="25"/>
      <c r="N565" s="17"/>
      <c r="W565" s="18"/>
    </row>
    <row r="566" spans="1:23">
      <c r="A566" s="17"/>
      <c r="J566" s="27"/>
      <c r="M566" s="25"/>
      <c r="N566" s="17"/>
      <c r="W566" s="18"/>
    </row>
    <row r="567" spans="1:23">
      <c r="A567" s="17"/>
      <c r="J567" s="27"/>
      <c r="M567" s="25"/>
      <c r="N567" s="17"/>
      <c r="W567" s="18"/>
    </row>
    <row r="568" spans="1:23">
      <c r="A568" s="17"/>
      <c r="J568" s="27"/>
      <c r="M568" s="25"/>
      <c r="N568" s="17"/>
      <c r="W568" s="18"/>
    </row>
    <row r="569" spans="1:23">
      <c r="A569" s="17"/>
      <c r="J569" s="27"/>
      <c r="M569" s="25"/>
      <c r="N569" s="17"/>
      <c r="W569" s="18"/>
    </row>
    <row r="570" spans="1:23">
      <c r="A570" s="17"/>
      <c r="J570" s="27"/>
      <c r="M570" s="25"/>
      <c r="N570" s="17"/>
      <c r="W570" s="18"/>
    </row>
    <row r="571" spans="1:23">
      <c r="A571" s="17"/>
      <c r="J571" s="27"/>
      <c r="M571" s="25"/>
      <c r="N571" s="17"/>
      <c r="W571" s="18"/>
    </row>
    <row r="572" spans="1:23">
      <c r="A572" s="17"/>
      <c r="J572" s="27"/>
      <c r="M572" s="25"/>
      <c r="N572" s="17"/>
      <c r="W572" s="18"/>
    </row>
    <row r="573" spans="1:23">
      <c r="A573" s="17"/>
      <c r="J573" s="27"/>
      <c r="M573" s="25"/>
      <c r="N573" s="17"/>
      <c r="W573" s="18"/>
    </row>
    <row r="574" spans="1:23">
      <c r="A574" s="17"/>
      <c r="J574" s="27"/>
      <c r="M574" s="25"/>
      <c r="N574" s="17"/>
      <c r="W574" s="18"/>
    </row>
    <row r="575" spans="1:23">
      <c r="A575" s="17"/>
      <c r="J575" s="27"/>
      <c r="M575" s="25"/>
      <c r="N575" s="17"/>
      <c r="W575" s="18"/>
    </row>
    <row r="576" spans="1:23">
      <c r="A576" s="17"/>
      <c r="J576" s="27"/>
      <c r="M576" s="25"/>
      <c r="N576" s="17"/>
      <c r="W576" s="18"/>
    </row>
    <row r="577" spans="1:23">
      <c r="A577" s="17"/>
      <c r="J577" s="27"/>
      <c r="M577" s="25"/>
      <c r="N577" s="17"/>
      <c r="W577" s="18"/>
    </row>
    <row r="578" spans="1:23">
      <c r="A578" s="17"/>
      <c r="J578" s="27"/>
      <c r="M578" s="25"/>
      <c r="N578" s="17"/>
      <c r="W578" s="18"/>
    </row>
    <row r="579" spans="1:23">
      <c r="A579" s="17"/>
      <c r="J579" s="27"/>
      <c r="M579" s="25"/>
      <c r="N579" s="17"/>
      <c r="W579" s="18"/>
    </row>
    <row r="580" spans="1:23">
      <c r="A580" s="17"/>
      <c r="J580" s="27"/>
      <c r="M580" s="25"/>
      <c r="N580" s="17"/>
      <c r="W580" s="18"/>
    </row>
    <row r="581" spans="1:23">
      <c r="A581" s="17"/>
      <c r="J581" s="27"/>
      <c r="M581" s="25"/>
      <c r="N581" s="17"/>
      <c r="W581" s="18"/>
    </row>
    <row r="582" spans="1:23">
      <c r="A582" s="17"/>
      <c r="J582" s="27"/>
      <c r="M582" s="25"/>
      <c r="N582" s="17"/>
      <c r="W582" s="18"/>
    </row>
    <row r="583" spans="1:23">
      <c r="A583" s="17"/>
      <c r="J583" s="27"/>
      <c r="M583" s="25"/>
      <c r="N583" s="17"/>
      <c r="W583" s="18"/>
    </row>
    <row r="584" spans="1:23">
      <c r="A584" s="17"/>
      <c r="J584" s="27"/>
      <c r="M584" s="25"/>
      <c r="N584" s="17"/>
      <c r="W584" s="18"/>
    </row>
    <row r="585" spans="1:23">
      <c r="A585" s="17"/>
      <c r="J585" s="27"/>
      <c r="M585" s="25"/>
      <c r="N585" s="17"/>
      <c r="W585" s="18"/>
    </row>
    <row r="586" spans="1:23">
      <c r="A586" s="17"/>
      <c r="J586" s="27"/>
      <c r="M586" s="25"/>
      <c r="N586" s="17"/>
      <c r="W586" s="18"/>
    </row>
    <row r="587" spans="1:23">
      <c r="A587" s="17"/>
      <c r="J587" s="27"/>
      <c r="M587" s="25"/>
      <c r="N587" s="17"/>
      <c r="W587" s="18"/>
    </row>
    <row r="588" spans="1:23">
      <c r="A588" s="17"/>
      <c r="J588" s="27"/>
      <c r="M588" s="25"/>
      <c r="N588" s="17"/>
      <c r="W588" s="18"/>
    </row>
    <row r="589" spans="1:23">
      <c r="A589" s="17"/>
      <c r="J589" s="27"/>
      <c r="M589" s="25"/>
      <c r="N589" s="17"/>
      <c r="W589" s="18"/>
    </row>
    <row r="590" spans="1:23">
      <c r="A590" s="17"/>
      <c r="J590" s="27"/>
      <c r="M590" s="25"/>
      <c r="N590" s="17"/>
      <c r="W590" s="18"/>
    </row>
    <row r="591" spans="1:23">
      <c r="A591" s="17"/>
      <c r="J591" s="27"/>
      <c r="M591" s="25"/>
      <c r="N591" s="17"/>
      <c r="W591" s="18"/>
    </row>
    <row r="592" spans="1:23">
      <c r="A592" s="17"/>
      <c r="J592" s="27"/>
      <c r="M592" s="25"/>
      <c r="N592" s="17"/>
      <c r="W592" s="18"/>
    </row>
    <row r="593" spans="1:23">
      <c r="A593" s="17"/>
      <c r="J593" s="27"/>
      <c r="M593" s="25"/>
      <c r="N593" s="17"/>
      <c r="W593" s="18"/>
    </row>
    <row r="594" spans="1:23">
      <c r="A594" s="17"/>
      <c r="J594" s="27"/>
      <c r="M594" s="25"/>
      <c r="N594" s="17"/>
      <c r="W594" s="18"/>
    </row>
    <row r="595" spans="1:23">
      <c r="A595" s="17"/>
      <c r="J595" s="27"/>
      <c r="M595" s="25"/>
      <c r="N595" s="17"/>
      <c r="W595" s="18"/>
    </row>
    <row r="596" spans="1:23">
      <c r="A596" s="17"/>
      <c r="J596" s="27"/>
      <c r="M596" s="25"/>
      <c r="N596" s="17"/>
      <c r="W596" s="18"/>
    </row>
    <row r="597" spans="1:23">
      <c r="A597" s="17"/>
      <c r="J597" s="27"/>
      <c r="M597" s="25"/>
      <c r="N597" s="17"/>
      <c r="W597" s="18"/>
    </row>
    <row r="598" spans="1:23">
      <c r="A598" s="17"/>
      <c r="J598" s="27"/>
      <c r="M598" s="25"/>
      <c r="N598" s="17"/>
      <c r="W598" s="18"/>
    </row>
    <row r="599" spans="1:23">
      <c r="A599" s="17"/>
      <c r="J599" s="27"/>
      <c r="M599" s="25"/>
      <c r="N599" s="17"/>
      <c r="W599" s="18"/>
    </row>
    <row r="600" spans="1:23">
      <c r="A600" s="17"/>
      <c r="J600" s="27"/>
      <c r="M600" s="25"/>
      <c r="N600" s="17"/>
      <c r="W600" s="18"/>
    </row>
    <row r="601" spans="1:23">
      <c r="A601" s="17"/>
      <c r="J601" s="27"/>
      <c r="M601" s="25"/>
      <c r="N601" s="17"/>
      <c r="W601" s="18"/>
    </row>
    <row r="602" spans="1:23">
      <c r="A602" s="17"/>
      <c r="J602" s="27"/>
      <c r="M602" s="25"/>
      <c r="N602" s="17"/>
      <c r="W602" s="18"/>
    </row>
    <row r="603" spans="1:23">
      <c r="A603" s="17"/>
      <c r="J603" s="27"/>
      <c r="M603" s="25"/>
      <c r="N603" s="17"/>
      <c r="W603" s="18"/>
    </row>
    <row r="604" spans="1:23">
      <c r="A604" s="17"/>
      <c r="J604" s="27"/>
      <c r="M604" s="25"/>
      <c r="N604" s="17"/>
      <c r="W604" s="18"/>
    </row>
    <row r="605" spans="1:23">
      <c r="A605" s="17"/>
      <c r="J605" s="27"/>
      <c r="M605" s="25"/>
      <c r="N605" s="17"/>
      <c r="W605" s="18"/>
    </row>
    <row r="606" spans="1:23">
      <c r="A606" s="17"/>
      <c r="J606" s="27"/>
      <c r="M606" s="25"/>
      <c r="N606" s="17"/>
      <c r="W606" s="18"/>
    </row>
    <row r="607" spans="1:23">
      <c r="A607" s="17"/>
      <c r="J607" s="27"/>
      <c r="M607" s="25"/>
      <c r="N607" s="17"/>
      <c r="W607" s="18"/>
    </row>
    <row r="608" spans="1:23">
      <c r="A608" s="17"/>
      <c r="J608" s="27"/>
      <c r="M608" s="25"/>
      <c r="N608" s="17"/>
      <c r="W608" s="18"/>
    </row>
    <row r="609" spans="1:23">
      <c r="A609" s="17"/>
      <c r="J609" s="27"/>
      <c r="M609" s="25"/>
      <c r="N609" s="17"/>
      <c r="W609" s="18"/>
    </row>
    <row r="610" spans="1:23">
      <c r="A610" s="17"/>
      <c r="J610" s="27"/>
      <c r="M610" s="25"/>
      <c r="N610" s="17"/>
      <c r="W610" s="18"/>
    </row>
    <row r="611" spans="1:23">
      <c r="A611" s="17"/>
      <c r="J611" s="27"/>
      <c r="M611" s="25"/>
      <c r="N611" s="17"/>
      <c r="W611" s="18"/>
    </row>
    <row r="612" spans="1:23">
      <c r="A612" s="17"/>
      <c r="J612" s="27"/>
      <c r="M612" s="25"/>
      <c r="N612" s="17"/>
      <c r="W612" s="18"/>
    </row>
    <row r="613" spans="1:23">
      <c r="A613" s="17"/>
      <c r="J613" s="27"/>
      <c r="M613" s="25"/>
      <c r="N613" s="17"/>
      <c r="W613" s="18"/>
    </row>
    <row r="614" spans="1:23">
      <c r="A614" s="17"/>
      <c r="J614" s="27"/>
      <c r="M614" s="25"/>
      <c r="N614" s="17"/>
      <c r="W614" s="18"/>
    </row>
    <row r="615" spans="1:23">
      <c r="A615" s="17"/>
      <c r="J615" s="27"/>
      <c r="M615" s="25"/>
      <c r="N615" s="17"/>
      <c r="W615" s="18"/>
    </row>
    <row r="616" spans="1:23">
      <c r="A616" s="17"/>
      <c r="J616" s="27"/>
      <c r="M616" s="25"/>
      <c r="N616" s="17"/>
      <c r="W616" s="18"/>
    </row>
    <row r="617" spans="1:23">
      <c r="A617" s="17"/>
      <c r="J617" s="27"/>
      <c r="M617" s="25"/>
      <c r="N617" s="17"/>
      <c r="W617" s="18"/>
    </row>
    <row r="618" spans="1:23">
      <c r="A618" s="17"/>
      <c r="J618" s="27"/>
      <c r="M618" s="25"/>
      <c r="N618" s="17"/>
      <c r="W618" s="18"/>
    </row>
    <row r="619" spans="1:23">
      <c r="A619" s="17"/>
      <c r="J619" s="27"/>
      <c r="M619" s="25"/>
      <c r="N619" s="17"/>
      <c r="W619" s="18"/>
    </row>
    <row r="620" spans="1:23">
      <c r="A620" s="17"/>
      <c r="J620" s="27"/>
      <c r="M620" s="25"/>
      <c r="N620" s="17"/>
      <c r="W620" s="18"/>
    </row>
    <row r="621" spans="1:23">
      <c r="A621" s="17"/>
      <c r="J621" s="27"/>
      <c r="M621" s="25"/>
      <c r="N621" s="17"/>
      <c r="W621" s="18"/>
    </row>
    <row r="622" spans="1:23">
      <c r="A622" s="17"/>
      <c r="J622" s="27"/>
      <c r="M622" s="25"/>
      <c r="N622" s="17"/>
      <c r="W622" s="18"/>
    </row>
    <row r="623" spans="1:23">
      <c r="A623" s="17"/>
      <c r="J623" s="27"/>
      <c r="M623" s="25"/>
      <c r="N623" s="17"/>
      <c r="W623" s="18"/>
    </row>
    <row r="624" spans="1:23">
      <c r="A624" s="17"/>
      <c r="J624" s="27"/>
      <c r="M624" s="25"/>
      <c r="N624" s="17"/>
      <c r="W624" s="18"/>
    </row>
    <row r="625" spans="1:23">
      <c r="A625" s="17"/>
      <c r="J625" s="27"/>
      <c r="M625" s="25"/>
      <c r="N625" s="17"/>
      <c r="W625" s="18"/>
    </row>
    <row r="626" spans="1:23">
      <c r="A626" s="17"/>
      <c r="J626" s="27"/>
      <c r="M626" s="25"/>
      <c r="N626" s="17"/>
      <c r="W626" s="18"/>
    </row>
    <row r="627" spans="1:23">
      <c r="A627" s="17"/>
      <c r="J627" s="27"/>
      <c r="M627" s="25"/>
      <c r="N627" s="17"/>
      <c r="W627" s="18"/>
    </row>
    <row r="628" spans="1:23">
      <c r="A628" s="17"/>
      <c r="J628" s="27"/>
      <c r="M628" s="25"/>
      <c r="N628" s="17"/>
      <c r="W628" s="18"/>
    </row>
    <row r="629" spans="1:23">
      <c r="A629" s="17"/>
      <c r="J629" s="27"/>
      <c r="M629" s="25"/>
      <c r="N629" s="17"/>
      <c r="W629" s="18"/>
    </row>
    <row r="630" spans="1:23">
      <c r="A630" s="17"/>
      <c r="J630" s="27"/>
      <c r="M630" s="25"/>
      <c r="N630" s="17"/>
      <c r="W630" s="18"/>
    </row>
    <row r="631" spans="1:23">
      <c r="A631" s="17"/>
      <c r="J631" s="27"/>
      <c r="M631" s="25"/>
      <c r="N631" s="17"/>
      <c r="W631" s="18"/>
    </row>
    <row r="632" spans="1:23">
      <c r="A632" s="17"/>
      <c r="J632" s="27"/>
      <c r="M632" s="25"/>
      <c r="N632" s="17"/>
      <c r="W632" s="18"/>
    </row>
    <row r="633" spans="1:23">
      <c r="A633" s="17"/>
      <c r="J633" s="27"/>
      <c r="M633" s="25"/>
      <c r="N633" s="17"/>
      <c r="W633" s="18"/>
    </row>
    <row r="634" spans="1:23">
      <c r="A634" s="17"/>
      <c r="J634" s="27"/>
      <c r="M634" s="25"/>
      <c r="N634" s="17"/>
      <c r="W634" s="18"/>
    </row>
    <row r="635" spans="1:23">
      <c r="A635" s="17"/>
      <c r="J635" s="27"/>
      <c r="M635" s="25"/>
      <c r="N635" s="17"/>
      <c r="W635" s="18"/>
    </row>
    <row r="636" spans="1:23">
      <c r="A636" s="17"/>
      <c r="J636" s="27"/>
      <c r="M636" s="25"/>
      <c r="N636" s="17"/>
      <c r="W636" s="18"/>
    </row>
    <row r="637" spans="1:23">
      <c r="A637" s="17"/>
      <c r="J637" s="27"/>
      <c r="M637" s="25"/>
      <c r="N637" s="17"/>
      <c r="W637" s="18"/>
    </row>
    <row r="638" spans="1:23">
      <c r="A638" s="17"/>
      <c r="J638" s="27"/>
      <c r="M638" s="25"/>
      <c r="N638" s="17"/>
      <c r="W638" s="18"/>
    </row>
    <row r="639" spans="1:23">
      <c r="A639" s="17"/>
      <c r="J639" s="27"/>
      <c r="M639" s="25"/>
      <c r="N639" s="17"/>
      <c r="W639" s="18"/>
    </row>
    <row r="640" spans="1:23">
      <c r="A640" s="17"/>
      <c r="J640" s="27"/>
      <c r="M640" s="25"/>
      <c r="N640" s="17"/>
      <c r="W640" s="18"/>
    </row>
    <row r="641" spans="1:23">
      <c r="A641" s="17"/>
      <c r="J641" s="27"/>
      <c r="M641" s="25"/>
      <c r="N641" s="17"/>
      <c r="W641" s="18"/>
    </row>
    <row r="642" spans="1:23">
      <c r="A642" s="17"/>
      <c r="J642" s="27"/>
      <c r="M642" s="25"/>
      <c r="N642" s="17"/>
      <c r="W642" s="18"/>
    </row>
    <row r="643" spans="1:23">
      <c r="A643" s="17"/>
      <c r="J643" s="27"/>
      <c r="M643" s="25"/>
      <c r="N643" s="17"/>
      <c r="W643" s="18"/>
    </row>
    <row r="644" spans="1:23">
      <c r="A644" s="17"/>
      <c r="J644" s="27"/>
      <c r="M644" s="25"/>
      <c r="N644" s="17"/>
      <c r="W644" s="18"/>
    </row>
    <row r="645" spans="1:23">
      <c r="A645" s="17"/>
      <c r="J645" s="27"/>
      <c r="M645" s="25"/>
      <c r="N645" s="17"/>
      <c r="W645" s="18"/>
    </row>
    <row r="646" spans="1:23">
      <c r="A646" s="17"/>
      <c r="J646" s="27"/>
      <c r="M646" s="25"/>
      <c r="N646" s="17"/>
      <c r="W646" s="18"/>
    </row>
    <row r="647" spans="1:23">
      <c r="A647" s="17"/>
      <c r="J647" s="27"/>
      <c r="M647" s="25"/>
      <c r="N647" s="17"/>
      <c r="W647" s="18"/>
    </row>
    <row r="648" spans="1:23">
      <c r="A648" s="17"/>
      <c r="J648" s="27"/>
      <c r="M648" s="25"/>
      <c r="N648" s="17"/>
      <c r="W648" s="18"/>
    </row>
    <row r="649" spans="1:23">
      <c r="A649" s="17"/>
      <c r="J649" s="27"/>
      <c r="M649" s="25"/>
      <c r="N649" s="17"/>
      <c r="W649" s="18"/>
    </row>
    <row r="650" spans="1:23">
      <c r="A650" s="17"/>
      <c r="J650" s="27"/>
      <c r="M650" s="25"/>
      <c r="N650" s="17"/>
      <c r="W650" s="18"/>
    </row>
    <row r="651" spans="1:23">
      <c r="A651" s="17"/>
      <c r="J651" s="27"/>
      <c r="M651" s="25"/>
      <c r="N651" s="17"/>
      <c r="W651" s="18"/>
    </row>
    <row r="652" spans="1:23">
      <c r="A652" s="17"/>
      <c r="J652" s="27"/>
      <c r="M652" s="25"/>
      <c r="N652" s="17"/>
      <c r="W652" s="18"/>
    </row>
    <row r="653" spans="1:23">
      <c r="A653" s="17"/>
      <c r="J653" s="27"/>
      <c r="M653" s="25"/>
      <c r="N653" s="17"/>
      <c r="W653" s="18"/>
    </row>
    <row r="654" spans="1:23">
      <c r="A654" s="17"/>
      <c r="J654" s="27"/>
      <c r="M654" s="25"/>
      <c r="N654" s="17"/>
      <c r="W654" s="18"/>
    </row>
    <row r="655" spans="1:23">
      <c r="A655" s="17"/>
      <c r="J655" s="27"/>
      <c r="M655" s="25"/>
      <c r="N655" s="17"/>
      <c r="W655" s="18"/>
    </row>
    <row r="656" spans="1:23">
      <c r="A656" s="17"/>
      <c r="J656" s="27"/>
      <c r="M656" s="25"/>
      <c r="N656" s="17"/>
      <c r="W656" s="18"/>
    </row>
    <row r="657" spans="1:23">
      <c r="A657" s="17"/>
      <c r="J657" s="27"/>
      <c r="M657" s="25"/>
      <c r="N657" s="17"/>
      <c r="W657" s="18"/>
    </row>
    <row r="658" spans="1:23">
      <c r="A658" s="17"/>
      <c r="J658" s="27"/>
      <c r="M658" s="25"/>
      <c r="N658" s="17"/>
      <c r="W658" s="18"/>
    </row>
    <row r="659" spans="1:23">
      <c r="A659" s="17"/>
      <c r="J659" s="27"/>
      <c r="M659" s="25"/>
      <c r="N659" s="17"/>
      <c r="W659" s="18"/>
    </row>
    <row r="660" spans="1:23">
      <c r="A660" s="17"/>
      <c r="J660" s="27"/>
      <c r="M660" s="25"/>
      <c r="N660" s="17"/>
      <c r="W660" s="18"/>
    </row>
    <row r="661" spans="1:23">
      <c r="A661" s="17"/>
      <c r="J661" s="27"/>
      <c r="M661" s="25"/>
      <c r="N661" s="17"/>
      <c r="W661" s="18"/>
    </row>
    <row r="662" spans="1:23">
      <c r="A662" s="17"/>
      <c r="J662" s="27"/>
      <c r="M662" s="25"/>
      <c r="N662" s="17"/>
      <c r="W662" s="18"/>
    </row>
    <row r="663" spans="1:23">
      <c r="A663" s="17"/>
      <c r="J663" s="27"/>
      <c r="M663" s="25"/>
      <c r="N663" s="17"/>
      <c r="W663" s="18"/>
    </row>
    <row r="664" spans="1:23">
      <c r="A664" s="17"/>
      <c r="J664" s="27"/>
      <c r="M664" s="25"/>
      <c r="N664" s="17"/>
      <c r="W664" s="18"/>
    </row>
    <row r="665" spans="1:23">
      <c r="A665" s="17"/>
      <c r="J665" s="27"/>
      <c r="M665" s="25"/>
      <c r="N665" s="17"/>
      <c r="W665" s="18"/>
    </row>
    <row r="666" spans="1:23">
      <c r="A666" s="17"/>
      <c r="J666" s="27"/>
      <c r="M666" s="25"/>
      <c r="N666" s="17"/>
      <c r="W666" s="18"/>
    </row>
    <row r="667" spans="1:23">
      <c r="A667" s="17"/>
      <c r="J667" s="27"/>
      <c r="M667" s="25"/>
      <c r="N667" s="17"/>
      <c r="W667" s="18"/>
    </row>
    <row r="668" spans="1:23">
      <c r="A668" s="17"/>
      <c r="J668" s="27"/>
      <c r="M668" s="25"/>
      <c r="N668" s="17"/>
      <c r="W668" s="18"/>
    </row>
    <row r="669" spans="1:23">
      <c r="A669" s="17"/>
      <c r="J669" s="27"/>
      <c r="M669" s="25"/>
      <c r="N669" s="17"/>
      <c r="W669" s="18"/>
    </row>
    <row r="670" spans="1:23">
      <c r="A670" s="17"/>
      <c r="J670" s="27"/>
      <c r="M670" s="25"/>
      <c r="N670" s="17"/>
      <c r="W670" s="18"/>
    </row>
    <row r="671" spans="1:23">
      <c r="A671" s="17"/>
      <c r="J671" s="27"/>
      <c r="M671" s="25"/>
      <c r="N671" s="17"/>
      <c r="W671" s="18"/>
    </row>
    <row r="672" spans="1:23">
      <c r="A672" s="17"/>
      <c r="J672" s="27"/>
      <c r="M672" s="25"/>
      <c r="N672" s="17"/>
      <c r="W672" s="18"/>
    </row>
    <row r="673" spans="1:23">
      <c r="A673" s="17"/>
      <c r="J673" s="27"/>
      <c r="M673" s="25"/>
      <c r="N673" s="17"/>
      <c r="W673" s="18"/>
    </row>
    <row r="674" spans="1:23">
      <c r="A674" s="17"/>
      <c r="J674" s="27"/>
      <c r="M674" s="25"/>
      <c r="N674" s="17"/>
      <c r="W674" s="18"/>
    </row>
    <row r="675" spans="1:23">
      <c r="A675" s="17"/>
      <c r="J675" s="27"/>
      <c r="M675" s="25"/>
      <c r="N675" s="17"/>
      <c r="W675" s="18"/>
    </row>
    <row r="676" spans="1:23">
      <c r="A676" s="17"/>
      <c r="J676" s="27"/>
      <c r="M676" s="25"/>
      <c r="N676" s="17"/>
      <c r="W676" s="18"/>
    </row>
    <row r="677" spans="1:23">
      <c r="A677" s="17"/>
      <c r="J677" s="27"/>
      <c r="M677" s="25"/>
      <c r="N677" s="17"/>
      <c r="W677" s="18"/>
    </row>
    <row r="678" spans="1:23">
      <c r="A678" s="17"/>
      <c r="J678" s="27"/>
      <c r="M678" s="25"/>
      <c r="N678" s="17"/>
      <c r="W678" s="18"/>
    </row>
    <row r="679" spans="1:23">
      <c r="A679" s="17"/>
      <c r="J679" s="27"/>
      <c r="M679" s="25"/>
      <c r="N679" s="17"/>
      <c r="W679" s="18"/>
    </row>
    <row r="680" spans="1:23">
      <c r="A680" s="17"/>
      <c r="J680" s="27"/>
      <c r="M680" s="25"/>
      <c r="N680" s="17"/>
      <c r="W680" s="18"/>
    </row>
    <row r="681" spans="1:23">
      <c r="A681" s="17"/>
      <c r="J681" s="27"/>
      <c r="M681" s="25"/>
      <c r="N681" s="17"/>
      <c r="W681" s="18"/>
    </row>
    <row r="682" spans="1:23">
      <c r="A682" s="17"/>
      <c r="J682" s="27"/>
      <c r="M682" s="25"/>
      <c r="N682" s="17"/>
      <c r="W682" s="18"/>
    </row>
    <row r="683" spans="1:23">
      <c r="A683" s="17"/>
      <c r="J683" s="27"/>
      <c r="M683" s="25"/>
      <c r="N683" s="17"/>
      <c r="W683" s="18"/>
    </row>
    <row r="684" spans="1:23">
      <c r="A684" s="17"/>
      <c r="J684" s="27"/>
      <c r="M684" s="25"/>
      <c r="N684" s="17"/>
      <c r="W684" s="18"/>
    </row>
    <row r="685" spans="1:23">
      <c r="A685" s="17"/>
      <c r="J685" s="27"/>
      <c r="M685" s="25"/>
      <c r="N685" s="17"/>
      <c r="W685" s="18"/>
    </row>
    <row r="686" spans="1:23">
      <c r="A686" s="17"/>
      <c r="J686" s="27"/>
      <c r="M686" s="25"/>
      <c r="N686" s="17"/>
      <c r="W686" s="18"/>
    </row>
    <row r="687" spans="1:23">
      <c r="A687" s="17"/>
      <c r="J687" s="27"/>
      <c r="M687" s="25"/>
      <c r="N687" s="17"/>
      <c r="W687" s="18"/>
    </row>
    <row r="688" spans="1:23">
      <c r="A688" s="17"/>
      <c r="J688" s="27"/>
      <c r="M688" s="25"/>
      <c r="N688" s="17"/>
      <c r="W688" s="18"/>
    </row>
    <row r="689" spans="1:23">
      <c r="A689" s="17"/>
      <c r="J689" s="27"/>
      <c r="M689" s="25"/>
      <c r="N689" s="17"/>
      <c r="W689" s="18"/>
    </row>
    <row r="690" spans="1:23">
      <c r="A690" s="17"/>
      <c r="J690" s="27"/>
      <c r="M690" s="25"/>
      <c r="N690" s="17"/>
      <c r="W690" s="18"/>
    </row>
    <row r="691" spans="1:23">
      <c r="A691" s="17"/>
      <c r="J691" s="27"/>
      <c r="M691" s="25"/>
      <c r="N691" s="17"/>
      <c r="W691" s="18"/>
    </row>
    <row r="692" spans="1:23">
      <c r="A692" s="17"/>
      <c r="J692" s="27"/>
      <c r="M692" s="25"/>
      <c r="N692" s="17"/>
      <c r="W692" s="18"/>
    </row>
    <row r="693" spans="1:23">
      <c r="A693" s="17"/>
      <c r="J693" s="27"/>
      <c r="M693" s="25"/>
      <c r="N693" s="17"/>
      <c r="W693" s="18"/>
    </row>
    <row r="694" spans="1:23">
      <c r="A694" s="17"/>
      <c r="J694" s="27"/>
      <c r="M694" s="25"/>
      <c r="N694" s="17"/>
      <c r="W694" s="18"/>
    </row>
    <row r="695" spans="1:23">
      <c r="A695" s="17"/>
      <c r="J695" s="27"/>
      <c r="M695" s="25"/>
      <c r="N695" s="17"/>
      <c r="W695" s="18"/>
    </row>
    <row r="696" spans="1:23">
      <c r="A696" s="17"/>
      <c r="J696" s="27"/>
      <c r="M696" s="25"/>
      <c r="N696" s="17"/>
      <c r="W696" s="18"/>
    </row>
    <row r="697" spans="1:23">
      <c r="A697" s="17"/>
      <c r="J697" s="27"/>
      <c r="M697" s="25"/>
      <c r="N697" s="17"/>
      <c r="W697" s="18"/>
    </row>
    <row r="698" spans="1:23">
      <c r="A698" s="17"/>
      <c r="J698" s="27"/>
      <c r="M698" s="25"/>
      <c r="N698" s="17"/>
      <c r="W698" s="18"/>
    </row>
    <row r="699" spans="1:23">
      <c r="A699" s="17"/>
      <c r="J699" s="27"/>
      <c r="M699" s="25"/>
      <c r="N699" s="17"/>
      <c r="W699" s="18"/>
    </row>
    <row r="700" spans="1:23">
      <c r="A700" s="17"/>
      <c r="J700" s="27"/>
      <c r="M700" s="25"/>
      <c r="N700" s="17"/>
      <c r="W700" s="18"/>
    </row>
    <row r="701" spans="1:23">
      <c r="A701" s="17"/>
      <c r="J701" s="27"/>
      <c r="M701" s="25"/>
      <c r="N701" s="17"/>
      <c r="W701" s="18"/>
    </row>
    <row r="702" spans="1:23">
      <c r="A702" s="17"/>
      <c r="J702" s="27"/>
      <c r="M702" s="25"/>
      <c r="N702" s="17"/>
      <c r="W702" s="18"/>
    </row>
    <row r="703" spans="1:23">
      <c r="A703" s="17"/>
      <c r="J703" s="27"/>
      <c r="M703" s="25"/>
      <c r="N703" s="17"/>
      <c r="W703" s="18"/>
    </row>
    <row r="704" spans="1:23">
      <c r="A704" s="17"/>
      <c r="J704" s="27"/>
      <c r="M704" s="25"/>
      <c r="N704" s="17"/>
      <c r="W704" s="18"/>
    </row>
    <row r="705" spans="1:23">
      <c r="A705" s="17"/>
      <c r="J705" s="27"/>
      <c r="M705" s="25"/>
      <c r="N705" s="17"/>
      <c r="W705" s="18"/>
    </row>
    <row r="706" spans="1:23">
      <c r="A706" s="17"/>
      <c r="J706" s="27"/>
      <c r="M706" s="25"/>
      <c r="N706" s="17"/>
      <c r="W706" s="18"/>
    </row>
    <row r="707" spans="1:23">
      <c r="A707" s="17"/>
      <c r="J707" s="27"/>
      <c r="M707" s="25"/>
      <c r="N707" s="17"/>
      <c r="W707" s="18"/>
    </row>
    <row r="708" spans="1:23">
      <c r="A708" s="17"/>
      <c r="J708" s="27"/>
      <c r="M708" s="25"/>
      <c r="N708" s="17"/>
      <c r="W708" s="18"/>
    </row>
    <row r="709" spans="1:23">
      <c r="A709" s="17"/>
      <c r="J709" s="27"/>
      <c r="M709" s="25"/>
      <c r="N709" s="17"/>
      <c r="W709" s="18"/>
    </row>
    <row r="710" spans="1:23">
      <c r="A710" s="17"/>
      <c r="J710" s="27"/>
      <c r="M710" s="25"/>
      <c r="N710" s="17"/>
      <c r="W710" s="18"/>
    </row>
    <row r="711" spans="1:23">
      <c r="A711" s="17"/>
      <c r="J711" s="27"/>
      <c r="M711" s="25"/>
      <c r="N711" s="17"/>
      <c r="W711" s="18"/>
    </row>
    <row r="712" spans="1:23">
      <c r="A712" s="17"/>
      <c r="J712" s="27"/>
      <c r="M712" s="25"/>
      <c r="N712" s="17"/>
      <c r="W712" s="18"/>
    </row>
    <row r="713" spans="1:23">
      <c r="A713" s="17"/>
      <c r="J713" s="27"/>
      <c r="M713" s="25"/>
      <c r="N713" s="17"/>
      <c r="W713" s="18"/>
    </row>
    <row r="714" spans="1:23">
      <c r="A714" s="17"/>
      <c r="J714" s="27"/>
      <c r="M714" s="25"/>
      <c r="N714" s="17"/>
      <c r="W714" s="18"/>
    </row>
    <row r="715" spans="1:23">
      <c r="A715" s="17"/>
      <c r="J715" s="27"/>
      <c r="M715" s="25"/>
      <c r="N715" s="17"/>
      <c r="W715" s="18"/>
    </row>
    <row r="716" spans="1:23">
      <c r="A716" s="17"/>
      <c r="J716" s="27"/>
      <c r="M716" s="25"/>
      <c r="N716" s="17"/>
      <c r="W716" s="18"/>
    </row>
    <row r="717" spans="1:23">
      <c r="A717" s="17"/>
      <c r="J717" s="27"/>
      <c r="M717" s="25"/>
      <c r="N717" s="17"/>
      <c r="W717" s="18"/>
    </row>
    <row r="718" spans="1:23">
      <c r="A718" s="17"/>
      <c r="J718" s="27"/>
      <c r="M718" s="25"/>
      <c r="N718" s="17"/>
      <c r="W718" s="18"/>
    </row>
    <row r="719" spans="1:23">
      <c r="A719" s="17"/>
      <c r="J719" s="27"/>
      <c r="M719" s="25"/>
      <c r="N719" s="17"/>
      <c r="W719" s="18"/>
    </row>
    <row r="720" spans="1:23">
      <c r="A720" s="17"/>
      <c r="J720" s="27"/>
      <c r="M720" s="25"/>
      <c r="N720" s="17"/>
      <c r="W720" s="18"/>
    </row>
    <row r="721" spans="1:23">
      <c r="A721" s="17"/>
      <c r="J721" s="27"/>
      <c r="M721" s="25"/>
      <c r="N721" s="17"/>
      <c r="W721" s="18"/>
    </row>
    <row r="722" spans="1:23">
      <c r="A722" s="17"/>
      <c r="J722" s="27"/>
      <c r="M722" s="25"/>
      <c r="N722" s="17"/>
      <c r="W722" s="18"/>
    </row>
    <row r="723" spans="1:23">
      <c r="A723" s="17"/>
      <c r="J723" s="27"/>
      <c r="M723" s="25"/>
      <c r="N723" s="17"/>
      <c r="W723" s="18"/>
    </row>
    <row r="724" spans="1:23">
      <c r="A724" s="17"/>
      <c r="J724" s="27"/>
      <c r="M724" s="25"/>
      <c r="N724" s="17"/>
      <c r="W724" s="18"/>
    </row>
    <row r="725" spans="1:23">
      <c r="A725" s="17"/>
      <c r="J725" s="27"/>
      <c r="M725" s="25"/>
      <c r="N725" s="17"/>
      <c r="W725" s="18"/>
    </row>
    <row r="726" spans="1:23">
      <c r="A726" s="17"/>
      <c r="J726" s="27"/>
      <c r="M726" s="25"/>
      <c r="N726" s="17"/>
      <c r="W726" s="18"/>
    </row>
    <row r="727" spans="1:23">
      <c r="A727" s="17"/>
      <c r="J727" s="27"/>
      <c r="M727" s="25"/>
      <c r="N727" s="17"/>
      <c r="W727" s="18"/>
    </row>
    <row r="728" spans="1:23">
      <c r="A728" s="17"/>
      <c r="J728" s="27"/>
      <c r="M728" s="25"/>
      <c r="N728" s="17"/>
      <c r="W728" s="18"/>
    </row>
    <row r="729" spans="1:23">
      <c r="A729" s="17"/>
      <c r="J729" s="27"/>
      <c r="M729" s="25"/>
      <c r="N729" s="17"/>
      <c r="W729" s="18"/>
    </row>
    <row r="730" spans="1:23">
      <c r="A730" s="17"/>
      <c r="J730" s="27"/>
      <c r="M730" s="25"/>
      <c r="N730" s="17"/>
      <c r="W730" s="18"/>
    </row>
    <row r="731" spans="1:23">
      <c r="A731" s="17"/>
      <c r="J731" s="27"/>
      <c r="M731" s="25"/>
      <c r="N731" s="17"/>
      <c r="W731" s="18"/>
    </row>
    <row r="732" spans="1:23">
      <c r="A732" s="17"/>
      <c r="J732" s="27"/>
      <c r="M732" s="25"/>
      <c r="N732" s="17"/>
      <c r="W732" s="18"/>
    </row>
    <row r="733" spans="1:23">
      <c r="A733" s="17"/>
      <c r="J733" s="27"/>
      <c r="M733" s="25"/>
      <c r="N733" s="17"/>
      <c r="W733" s="18"/>
    </row>
    <row r="734" spans="1:23">
      <c r="A734" s="17"/>
      <c r="J734" s="27"/>
      <c r="M734" s="25"/>
      <c r="N734" s="17"/>
      <c r="W734" s="18"/>
    </row>
    <row r="735" spans="1:23">
      <c r="A735" s="17"/>
      <c r="J735" s="27"/>
      <c r="M735" s="25"/>
      <c r="N735" s="17"/>
      <c r="W735" s="18"/>
    </row>
    <row r="736" spans="1:23">
      <c r="A736" s="17"/>
      <c r="J736" s="27"/>
      <c r="M736" s="25"/>
      <c r="N736" s="17"/>
      <c r="W736" s="18"/>
    </row>
    <row r="737" spans="1:23">
      <c r="A737" s="17"/>
      <c r="J737" s="27"/>
      <c r="M737" s="25"/>
      <c r="N737" s="17"/>
      <c r="W737" s="18"/>
    </row>
    <row r="738" spans="1:23">
      <c r="A738" s="17"/>
      <c r="J738" s="27"/>
      <c r="M738" s="25"/>
      <c r="N738" s="17"/>
      <c r="W738" s="18"/>
    </row>
    <row r="739" spans="1:23">
      <c r="A739" s="17"/>
      <c r="J739" s="27"/>
      <c r="M739" s="25"/>
      <c r="N739" s="17"/>
      <c r="W739" s="18"/>
    </row>
    <row r="740" spans="1:23">
      <c r="A740" s="17"/>
      <c r="J740" s="27"/>
      <c r="M740" s="25"/>
      <c r="N740" s="17"/>
      <c r="W740" s="18"/>
    </row>
    <row r="741" spans="1:23">
      <c r="A741" s="17"/>
      <c r="J741" s="27"/>
      <c r="M741" s="25"/>
      <c r="N741" s="17"/>
      <c r="W741" s="18"/>
    </row>
    <row r="742" spans="1:23">
      <c r="A742" s="17"/>
      <c r="J742" s="27"/>
      <c r="M742" s="25"/>
      <c r="N742" s="17"/>
      <c r="W742" s="18"/>
    </row>
    <row r="743" spans="1:23">
      <c r="A743" s="17"/>
      <c r="J743" s="27"/>
      <c r="M743" s="25"/>
      <c r="N743" s="17"/>
      <c r="W743" s="18"/>
    </row>
    <row r="744" spans="1:23">
      <c r="A744" s="17"/>
      <c r="J744" s="27"/>
      <c r="M744" s="25"/>
      <c r="N744" s="17"/>
      <c r="W744" s="18"/>
    </row>
    <row r="745" spans="1:23">
      <c r="A745" s="17"/>
      <c r="J745" s="27"/>
      <c r="M745" s="25"/>
      <c r="N745" s="17"/>
      <c r="W745" s="18"/>
    </row>
    <row r="746" spans="1:23">
      <c r="A746" s="17"/>
      <c r="J746" s="27"/>
      <c r="M746" s="25"/>
      <c r="N746" s="17"/>
      <c r="W746" s="18"/>
    </row>
    <row r="747" spans="1:23">
      <c r="A747" s="17"/>
      <c r="J747" s="27"/>
      <c r="M747" s="25"/>
      <c r="N747" s="17"/>
      <c r="W747" s="18"/>
    </row>
    <row r="748" spans="1:23">
      <c r="A748" s="17"/>
      <c r="J748" s="27"/>
      <c r="M748" s="25"/>
      <c r="N748" s="17"/>
      <c r="W748" s="18"/>
    </row>
    <row r="749" spans="1:23">
      <c r="A749" s="17"/>
      <c r="J749" s="27"/>
      <c r="M749" s="25"/>
      <c r="N749" s="17"/>
      <c r="W749" s="18"/>
    </row>
    <row r="750" spans="1:23">
      <c r="A750" s="17"/>
      <c r="J750" s="27"/>
      <c r="M750" s="25"/>
      <c r="N750" s="17"/>
      <c r="W750" s="18"/>
    </row>
    <row r="751" spans="1:23">
      <c r="A751" s="17"/>
      <c r="J751" s="27"/>
      <c r="M751" s="25"/>
      <c r="N751" s="17"/>
      <c r="W751" s="18"/>
    </row>
    <row r="752" spans="1:23">
      <c r="A752" s="17"/>
      <c r="J752" s="27"/>
      <c r="M752" s="25"/>
      <c r="N752" s="17"/>
      <c r="W752" s="18"/>
    </row>
    <row r="753" spans="1:23">
      <c r="A753" s="17"/>
      <c r="J753" s="27"/>
      <c r="M753" s="25"/>
      <c r="N753" s="17"/>
      <c r="W753" s="18"/>
    </row>
    <row r="754" spans="1:23">
      <c r="A754" s="17"/>
      <c r="J754" s="27"/>
      <c r="M754" s="25"/>
      <c r="N754" s="17"/>
      <c r="W754" s="18"/>
    </row>
    <row r="755" spans="1:23">
      <c r="A755" s="17"/>
      <c r="J755" s="27"/>
      <c r="M755" s="25"/>
      <c r="N755" s="17"/>
      <c r="W755" s="18"/>
    </row>
    <row r="756" spans="1:23">
      <c r="A756" s="17"/>
      <c r="J756" s="27"/>
      <c r="M756" s="25"/>
      <c r="N756" s="17"/>
      <c r="W756" s="18"/>
    </row>
    <row r="757" spans="1:23">
      <c r="A757" s="17"/>
      <c r="J757" s="27"/>
      <c r="M757" s="25"/>
      <c r="N757" s="17"/>
      <c r="W757" s="18"/>
    </row>
    <row r="758" spans="1:23">
      <c r="A758" s="17"/>
      <c r="J758" s="27"/>
      <c r="M758" s="25"/>
      <c r="N758" s="17"/>
      <c r="W758" s="18"/>
    </row>
    <row r="759" spans="1:23">
      <c r="A759" s="17"/>
      <c r="J759" s="27"/>
      <c r="M759" s="25"/>
      <c r="N759" s="17"/>
      <c r="W759" s="18"/>
    </row>
    <row r="760" spans="1:23">
      <c r="A760" s="17"/>
      <c r="J760" s="27"/>
      <c r="M760" s="25"/>
      <c r="N760" s="17"/>
      <c r="W760" s="18"/>
    </row>
    <row r="761" spans="1:23">
      <c r="A761" s="17"/>
      <c r="J761" s="27"/>
      <c r="M761" s="25"/>
      <c r="N761" s="17"/>
      <c r="W761" s="18"/>
    </row>
    <row r="762" spans="1:23">
      <c r="A762" s="17"/>
      <c r="J762" s="27"/>
      <c r="M762" s="25"/>
      <c r="N762" s="17"/>
      <c r="W762" s="18"/>
    </row>
    <row r="763" spans="1:23">
      <c r="A763" s="17"/>
      <c r="J763" s="27"/>
      <c r="M763" s="25"/>
      <c r="N763" s="17"/>
      <c r="W763" s="18"/>
    </row>
    <row r="764" spans="1:23">
      <c r="A764" s="17"/>
      <c r="J764" s="27"/>
      <c r="M764" s="25"/>
      <c r="N764" s="17"/>
      <c r="W764" s="18"/>
    </row>
    <row r="765" spans="1:23">
      <c r="A765" s="17"/>
      <c r="J765" s="27"/>
      <c r="M765" s="25"/>
      <c r="N765" s="17"/>
      <c r="W765" s="18"/>
    </row>
    <row r="766" spans="1:23">
      <c r="A766" s="17"/>
      <c r="J766" s="27"/>
      <c r="M766" s="25"/>
      <c r="N766" s="17"/>
      <c r="W766" s="18"/>
    </row>
    <row r="767" spans="1:23">
      <c r="A767" s="17"/>
      <c r="J767" s="27"/>
      <c r="M767" s="25"/>
      <c r="N767" s="17"/>
      <c r="W767" s="18"/>
    </row>
    <row r="768" spans="1:23">
      <c r="A768" s="17"/>
      <c r="J768" s="27"/>
      <c r="M768" s="25"/>
      <c r="N768" s="17"/>
      <c r="W768" s="18"/>
    </row>
    <row r="769" spans="1:23">
      <c r="A769" s="17"/>
      <c r="J769" s="27"/>
      <c r="M769" s="25"/>
      <c r="N769" s="17"/>
      <c r="W769" s="18"/>
    </row>
    <row r="770" spans="1:23">
      <c r="A770" s="17"/>
      <c r="J770" s="27"/>
      <c r="M770" s="25"/>
      <c r="N770" s="17"/>
      <c r="W770" s="18"/>
    </row>
    <row r="771" spans="1:23">
      <c r="A771" s="17"/>
      <c r="J771" s="27"/>
      <c r="M771" s="25"/>
      <c r="N771" s="17"/>
      <c r="W771" s="18"/>
    </row>
    <row r="772" spans="1:23">
      <c r="A772" s="17"/>
      <c r="J772" s="27"/>
      <c r="M772" s="25"/>
      <c r="N772" s="17"/>
      <c r="W772" s="18"/>
    </row>
    <row r="773" spans="1:23">
      <c r="A773" s="17"/>
      <c r="J773" s="27"/>
      <c r="M773" s="25"/>
      <c r="N773" s="17"/>
      <c r="W773" s="18"/>
    </row>
    <row r="774" spans="1:23">
      <c r="A774" s="17"/>
      <c r="J774" s="27"/>
      <c r="M774" s="25"/>
      <c r="N774" s="17"/>
      <c r="W774" s="18"/>
    </row>
    <row r="775" spans="1:23">
      <c r="A775" s="17"/>
      <c r="J775" s="27"/>
      <c r="M775" s="25"/>
      <c r="N775" s="17"/>
      <c r="W775" s="18"/>
    </row>
    <row r="776" spans="1:23">
      <c r="A776" s="17"/>
      <c r="J776" s="27"/>
      <c r="M776" s="25"/>
      <c r="N776" s="17"/>
      <c r="W776" s="18"/>
    </row>
    <row r="777" spans="1:23">
      <c r="A777" s="17"/>
      <c r="J777" s="27"/>
      <c r="M777" s="25"/>
      <c r="N777" s="17"/>
      <c r="W777" s="18"/>
    </row>
    <row r="778" spans="1:23">
      <c r="A778" s="17"/>
      <c r="J778" s="27"/>
      <c r="M778" s="25"/>
      <c r="N778" s="17"/>
      <c r="W778" s="18"/>
    </row>
    <row r="779" spans="1:23">
      <c r="A779" s="17"/>
      <c r="J779" s="27"/>
      <c r="M779" s="25"/>
      <c r="N779" s="17"/>
      <c r="W779" s="18"/>
    </row>
    <row r="780" spans="1:23">
      <c r="A780" s="17"/>
      <c r="J780" s="27"/>
      <c r="M780" s="25"/>
      <c r="N780" s="17"/>
      <c r="W780" s="18"/>
    </row>
    <row r="781" spans="1:23">
      <c r="A781" s="17"/>
      <c r="J781" s="27"/>
      <c r="M781" s="25"/>
      <c r="N781" s="17"/>
      <c r="W781" s="18"/>
    </row>
    <row r="782" spans="1:23">
      <c r="A782" s="17"/>
      <c r="J782" s="27"/>
      <c r="M782" s="25"/>
      <c r="N782" s="17"/>
      <c r="W782" s="18"/>
    </row>
    <row r="783" spans="1:23">
      <c r="A783" s="17"/>
      <c r="J783" s="27"/>
      <c r="M783" s="25"/>
      <c r="N783" s="17"/>
      <c r="W783" s="18"/>
    </row>
    <row r="784" spans="1:23">
      <c r="A784" s="17"/>
      <c r="J784" s="27"/>
      <c r="M784" s="25"/>
      <c r="N784" s="17"/>
      <c r="W784" s="18"/>
    </row>
    <row r="785" spans="1:23">
      <c r="A785" s="17"/>
      <c r="J785" s="27"/>
      <c r="M785" s="25"/>
      <c r="N785" s="17"/>
      <c r="W785" s="18"/>
    </row>
    <row r="786" spans="1:23">
      <c r="A786" s="17"/>
      <c r="J786" s="27"/>
      <c r="M786" s="25"/>
      <c r="N786" s="17"/>
      <c r="W786" s="18"/>
    </row>
    <row r="787" spans="1:23">
      <c r="A787" s="17"/>
      <c r="J787" s="27"/>
      <c r="M787" s="25"/>
      <c r="N787" s="17"/>
      <c r="W787" s="18"/>
    </row>
    <row r="788" spans="1:23">
      <c r="A788" s="17"/>
      <c r="J788" s="27"/>
      <c r="M788" s="25"/>
      <c r="N788" s="17"/>
      <c r="W788" s="18"/>
    </row>
    <row r="789" spans="1:23">
      <c r="A789" s="17"/>
      <c r="J789" s="27"/>
      <c r="M789" s="25"/>
      <c r="N789" s="17"/>
      <c r="W789" s="18"/>
    </row>
    <row r="790" spans="1:23">
      <c r="A790" s="17"/>
      <c r="J790" s="27"/>
      <c r="M790" s="25"/>
      <c r="N790" s="17"/>
      <c r="W790" s="18"/>
    </row>
    <row r="791" spans="1:23">
      <c r="A791" s="17"/>
      <c r="J791" s="27"/>
      <c r="M791" s="25"/>
      <c r="N791" s="17"/>
      <c r="W791" s="18"/>
    </row>
    <row r="792" spans="1:23">
      <c r="A792" s="17"/>
      <c r="J792" s="27"/>
      <c r="M792" s="25"/>
      <c r="N792" s="17"/>
      <c r="W792" s="18"/>
    </row>
    <row r="793" spans="1:23">
      <c r="A793" s="17"/>
      <c r="J793" s="27"/>
      <c r="M793" s="25"/>
      <c r="N793" s="17"/>
      <c r="W793" s="18"/>
    </row>
    <row r="794" spans="1:23">
      <c r="A794" s="17"/>
      <c r="J794" s="27"/>
      <c r="M794" s="25"/>
      <c r="N794" s="17"/>
      <c r="W794" s="18"/>
    </row>
    <row r="795" spans="1:23">
      <c r="A795" s="17"/>
      <c r="J795" s="27"/>
      <c r="M795" s="25"/>
      <c r="N795" s="17"/>
      <c r="W795" s="18"/>
    </row>
    <row r="796" spans="1:23">
      <c r="A796" s="17"/>
      <c r="J796" s="27"/>
      <c r="M796" s="25"/>
      <c r="N796" s="17"/>
      <c r="W796" s="18"/>
    </row>
    <row r="797" spans="1:23">
      <c r="A797" s="17"/>
      <c r="J797" s="27"/>
      <c r="M797" s="25"/>
      <c r="N797" s="17"/>
      <c r="W797" s="18"/>
    </row>
    <row r="798" spans="1:23">
      <c r="A798" s="17"/>
      <c r="J798" s="27"/>
      <c r="M798" s="25"/>
      <c r="N798" s="17"/>
      <c r="W798" s="18"/>
    </row>
    <row r="799" spans="1:23">
      <c r="A799" s="17"/>
      <c r="J799" s="27"/>
      <c r="M799" s="25"/>
      <c r="N799" s="17"/>
      <c r="W799" s="18"/>
    </row>
    <row r="800" spans="1:23">
      <c r="A800" s="17"/>
      <c r="J800" s="27"/>
      <c r="M800" s="25"/>
      <c r="N800" s="17"/>
      <c r="W800" s="18"/>
    </row>
    <row r="801" spans="1:23">
      <c r="A801" s="17"/>
      <c r="J801" s="27"/>
      <c r="M801" s="25"/>
      <c r="N801" s="17"/>
      <c r="W801" s="18"/>
    </row>
    <row r="802" spans="1:23">
      <c r="A802" s="17"/>
      <c r="J802" s="27"/>
      <c r="M802" s="25"/>
      <c r="N802" s="17"/>
      <c r="W802" s="18"/>
    </row>
    <row r="803" spans="1:23">
      <c r="A803" s="17"/>
      <c r="J803" s="27"/>
      <c r="M803" s="25"/>
      <c r="N803" s="17"/>
      <c r="W803" s="18"/>
    </row>
    <row r="804" spans="1:23">
      <c r="A804" s="17"/>
      <c r="J804" s="27"/>
      <c r="M804" s="25"/>
      <c r="N804" s="17"/>
      <c r="W804" s="18"/>
    </row>
    <row r="805" spans="1:23">
      <c r="A805" s="17"/>
      <c r="J805" s="27"/>
      <c r="M805" s="25"/>
      <c r="N805" s="17"/>
      <c r="W805" s="18"/>
    </row>
    <row r="806" spans="1:23">
      <c r="A806" s="17"/>
      <c r="J806" s="27"/>
      <c r="M806" s="25"/>
      <c r="N806" s="17"/>
      <c r="W806" s="18"/>
    </row>
    <row r="807" spans="1:23">
      <c r="A807" s="17"/>
      <c r="J807" s="27"/>
      <c r="M807" s="25"/>
      <c r="N807" s="17"/>
      <c r="W807" s="18"/>
    </row>
    <row r="808" spans="1:23">
      <c r="A808" s="17"/>
      <c r="J808" s="27"/>
      <c r="M808" s="25"/>
      <c r="N808" s="17"/>
      <c r="W808" s="18"/>
    </row>
    <row r="809" spans="1:23">
      <c r="A809" s="17"/>
      <c r="J809" s="27"/>
      <c r="M809" s="25"/>
      <c r="N809" s="17"/>
      <c r="W809" s="18"/>
    </row>
    <row r="810" spans="1:23">
      <c r="A810" s="17"/>
      <c r="J810" s="27"/>
      <c r="M810" s="25"/>
      <c r="N810" s="17"/>
      <c r="W810" s="18"/>
    </row>
    <row r="811" spans="1:23">
      <c r="A811" s="17"/>
      <c r="J811" s="27"/>
      <c r="M811" s="25"/>
      <c r="N811" s="17"/>
      <c r="W811" s="18"/>
    </row>
    <row r="812" spans="1:23">
      <c r="A812" s="17"/>
      <c r="J812" s="27"/>
      <c r="M812" s="25"/>
      <c r="N812" s="17"/>
      <c r="W812" s="18"/>
    </row>
    <row r="813" spans="1:23">
      <c r="A813" s="17"/>
      <c r="J813" s="27"/>
      <c r="M813" s="25"/>
      <c r="N813" s="17"/>
      <c r="W813" s="18"/>
    </row>
    <row r="814" spans="1:23">
      <c r="A814" s="17"/>
      <c r="J814" s="27"/>
      <c r="M814" s="25"/>
      <c r="N814" s="17"/>
      <c r="W814" s="18"/>
    </row>
    <row r="815" spans="1:23">
      <c r="A815" s="17"/>
      <c r="J815" s="27"/>
      <c r="M815" s="25"/>
      <c r="N815" s="17"/>
      <c r="W815" s="18"/>
    </row>
    <row r="816" spans="1:23">
      <c r="A816" s="17"/>
      <c r="J816" s="27"/>
      <c r="M816" s="25"/>
      <c r="N816" s="17"/>
      <c r="W816" s="18"/>
    </row>
    <row r="817" spans="1:23">
      <c r="A817" s="17"/>
      <c r="J817" s="27"/>
      <c r="M817" s="25"/>
      <c r="N817" s="17"/>
      <c r="W817" s="18"/>
    </row>
    <row r="818" spans="1:23">
      <c r="A818" s="17"/>
      <c r="J818" s="27"/>
      <c r="M818" s="25"/>
      <c r="N818" s="17"/>
      <c r="W818" s="18"/>
    </row>
    <row r="819" spans="1:23">
      <c r="A819" s="17"/>
      <c r="J819" s="27"/>
      <c r="M819" s="25"/>
      <c r="N819" s="17"/>
      <c r="W819" s="18"/>
    </row>
    <row r="820" spans="1:23">
      <c r="A820" s="17"/>
      <c r="J820" s="27"/>
      <c r="M820" s="25"/>
      <c r="N820" s="17"/>
      <c r="W820" s="18"/>
    </row>
    <row r="821" spans="1:23">
      <c r="A821" s="17"/>
      <c r="J821" s="27"/>
      <c r="M821" s="25"/>
      <c r="N821" s="17"/>
      <c r="W821" s="18"/>
    </row>
    <row r="822" spans="1:23">
      <c r="A822" s="17"/>
      <c r="J822" s="27"/>
      <c r="M822" s="25"/>
      <c r="N822" s="17"/>
      <c r="W822" s="18"/>
    </row>
    <row r="823" spans="1:23">
      <c r="A823" s="17"/>
      <c r="J823" s="27"/>
      <c r="M823" s="25"/>
      <c r="N823" s="17"/>
      <c r="W823" s="18"/>
    </row>
    <row r="824" spans="1:23">
      <c r="A824" s="17"/>
      <c r="J824" s="27"/>
      <c r="M824" s="25"/>
      <c r="N824" s="17"/>
      <c r="W824" s="18"/>
    </row>
    <row r="825" spans="1:23">
      <c r="A825" s="17"/>
      <c r="J825" s="27"/>
      <c r="M825" s="25"/>
      <c r="N825" s="17"/>
      <c r="W825" s="18"/>
    </row>
    <row r="826" spans="1:23">
      <c r="A826" s="17"/>
      <c r="J826" s="27"/>
      <c r="M826" s="25"/>
      <c r="N826" s="17"/>
      <c r="W826" s="18"/>
    </row>
    <row r="827" spans="1:23">
      <c r="A827" s="17"/>
      <c r="J827" s="27"/>
      <c r="M827" s="25"/>
      <c r="N827" s="17"/>
      <c r="W827" s="18"/>
    </row>
    <row r="828" spans="1:23">
      <c r="A828" s="17"/>
      <c r="J828" s="27"/>
      <c r="M828" s="25"/>
      <c r="N828" s="17"/>
      <c r="W828" s="18"/>
    </row>
    <row r="829" spans="1:23">
      <c r="A829" s="17"/>
      <c r="J829" s="27"/>
      <c r="M829" s="25"/>
      <c r="N829" s="17"/>
      <c r="W829" s="18"/>
    </row>
    <row r="830" spans="1:23">
      <c r="A830" s="17"/>
      <c r="J830" s="27"/>
      <c r="M830" s="25"/>
      <c r="N830" s="17"/>
      <c r="W830" s="18"/>
    </row>
    <row r="831" spans="1:23">
      <c r="A831" s="17"/>
      <c r="J831" s="27"/>
      <c r="M831" s="25"/>
      <c r="N831" s="17"/>
      <c r="W831" s="18"/>
    </row>
    <row r="832" spans="1:23">
      <c r="A832" s="17"/>
      <c r="J832" s="27"/>
      <c r="M832" s="25"/>
      <c r="N832" s="17"/>
      <c r="W832" s="18"/>
    </row>
    <row r="833" spans="1:23">
      <c r="A833" s="17"/>
      <c r="J833" s="27"/>
      <c r="M833" s="25"/>
      <c r="N833" s="17"/>
      <c r="W833" s="18"/>
    </row>
    <row r="834" spans="1:23">
      <c r="A834" s="17"/>
      <c r="J834" s="27"/>
      <c r="M834" s="25"/>
      <c r="N834" s="17"/>
      <c r="W834" s="18"/>
    </row>
    <row r="835" spans="1:23">
      <c r="A835" s="17"/>
      <c r="J835" s="27"/>
      <c r="M835" s="25"/>
      <c r="N835" s="17"/>
      <c r="W835" s="18"/>
    </row>
    <row r="836" spans="1:23">
      <c r="A836" s="17"/>
      <c r="J836" s="27"/>
      <c r="M836" s="25"/>
      <c r="N836" s="17"/>
      <c r="W836" s="18"/>
    </row>
    <row r="837" spans="1:23">
      <c r="A837" s="17"/>
      <c r="J837" s="27"/>
      <c r="M837" s="25"/>
      <c r="N837" s="17"/>
      <c r="W837" s="18"/>
    </row>
    <row r="838" spans="1:23">
      <c r="A838" s="17"/>
      <c r="J838" s="27"/>
      <c r="M838" s="25"/>
      <c r="N838" s="17"/>
      <c r="W838" s="18"/>
    </row>
    <row r="839" spans="1:23">
      <c r="A839" s="17"/>
      <c r="J839" s="27"/>
      <c r="M839" s="25"/>
      <c r="N839" s="17"/>
      <c r="W839" s="18"/>
    </row>
    <row r="840" spans="1:23">
      <c r="A840" s="17"/>
      <c r="J840" s="27"/>
      <c r="M840" s="25"/>
      <c r="N840" s="17"/>
      <c r="W840" s="18"/>
    </row>
    <row r="841" spans="1:23">
      <c r="A841" s="17"/>
      <c r="J841" s="27"/>
      <c r="M841" s="25"/>
      <c r="N841" s="17"/>
      <c r="W841" s="18"/>
    </row>
    <row r="842" spans="1:23">
      <c r="A842" s="17"/>
      <c r="J842" s="27"/>
      <c r="M842" s="25"/>
      <c r="N842" s="17"/>
      <c r="W842" s="18"/>
    </row>
    <row r="843" spans="1:23">
      <c r="A843" s="17"/>
      <c r="J843" s="27"/>
      <c r="M843" s="25"/>
      <c r="N843" s="17"/>
      <c r="W843" s="18"/>
    </row>
    <row r="844" spans="1:23">
      <c r="A844" s="17"/>
      <c r="J844" s="27"/>
      <c r="M844" s="25"/>
      <c r="N844" s="17"/>
      <c r="W844" s="18"/>
    </row>
    <row r="845" spans="1:23">
      <c r="A845" s="17"/>
      <c r="J845" s="27"/>
      <c r="M845" s="25"/>
      <c r="N845" s="17"/>
      <c r="W845" s="18"/>
    </row>
    <row r="846" spans="1:23">
      <c r="A846" s="17"/>
      <c r="J846" s="27"/>
      <c r="M846" s="25"/>
      <c r="N846" s="17"/>
      <c r="W846" s="18"/>
    </row>
    <row r="847" spans="1:23">
      <c r="A847" s="17"/>
      <c r="J847" s="27"/>
      <c r="M847" s="25"/>
      <c r="N847" s="17"/>
      <c r="W847" s="18"/>
    </row>
    <row r="848" spans="1:23">
      <c r="A848" s="17"/>
      <c r="J848" s="27"/>
      <c r="M848" s="25"/>
      <c r="N848" s="17"/>
      <c r="W848" s="18"/>
    </row>
    <row r="849" spans="1:23">
      <c r="A849" s="17"/>
      <c r="J849" s="27"/>
      <c r="M849" s="25"/>
      <c r="N849" s="17"/>
      <c r="W849" s="18"/>
    </row>
    <row r="850" spans="1:23">
      <c r="A850" s="17"/>
      <c r="J850" s="27"/>
      <c r="M850" s="25"/>
      <c r="N850" s="17"/>
      <c r="W850" s="18"/>
    </row>
    <row r="851" spans="1:23">
      <c r="A851" s="17"/>
      <c r="J851" s="27"/>
      <c r="M851" s="25"/>
      <c r="N851" s="17"/>
      <c r="W851" s="18"/>
    </row>
    <row r="852" spans="1:23">
      <c r="A852" s="17"/>
      <c r="J852" s="27"/>
      <c r="M852" s="25"/>
      <c r="N852" s="17"/>
      <c r="W852" s="18"/>
    </row>
    <row r="853" spans="1:23">
      <c r="A853" s="17"/>
      <c r="J853" s="27"/>
      <c r="M853" s="25"/>
      <c r="N853" s="17"/>
      <c r="W853" s="18"/>
    </row>
    <row r="854" spans="1:23">
      <c r="A854" s="17"/>
      <c r="J854" s="27"/>
      <c r="M854" s="25"/>
      <c r="N854" s="17"/>
      <c r="W854" s="18"/>
    </row>
    <row r="855" spans="1:23">
      <c r="A855" s="17"/>
      <c r="J855" s="27"/>
      <c r="M855" s="25"/>
      <c r="N855" s="17"/>
      <c r="W855" s="18"/>
    </row>
    <row r="856" spans="1:23">
      <c r="A856" s="17"/>
      <c r="J856" s="27"/>
      <c r="M856" s="25"/>
      <c r="N856" s="17"/>
      <c r="W856" s="18"/>
    </row>
    <row r="857" spans="1:23">
      <c r="A857" s="17"/>
      <c r="J857" s="27"/>
      <c r="M857" s="25"/>
      <c r="N857" s="17"/>
      <c r="W857" s="18"/>
    </row>
    <row r="858" spans="1:23">
      <c r="A858" s="17"/>
      <c r="J858" s="27"/>
      <c r="M858" s="25"/>
      <c r="N858" s="17"/>
      <c r="W858" s="18"/>
    </row>
    <row r="859" spans="1:23">
      <c r="A859" s="17"/>
      <c r="J859" s="27"/>
      <c r="M859" s="25"/>
      <c r="N859" s="17"/>
      <c r="W859" s="18"/>
    </row>
    <row r="860" spans="1:23">
      <c r="A860" s="17"/>
      <c r="J860" s="27"/>
      <c r="M860" s="25"/>
      <c r="N860" s="17"/>
      <c r="W860" s="18"/>
    </row>
    <row r="861" spans="1:23">
      <c r="A861" s="17"/>
      <c r="J861" s="27"/>
      <c r="M861" s="25"/>
      <c r="N861" s="17"/>
      <c r="W861" s="18"/>
    </row>
    <row r="862" spans="1:23">
      <c r="A862" s="17"/>
      <c r="J862" s="27"/>
      <c r="M862" s="25"/>
      <c r="N862" s="17"/>
      <c r="W862" s="18"/>
    </row>
    <row r="863" spans="1:23">
      <c r="A863" s="17"/>
      <c r="J863" s="27"/>
      <c r="M863" s="25"/>
      <c r="N863" s="17"/>
      <c r="W863" s="18"/>
    </row>
    <row r="864" spans="1:23">
      <c r="A864" s="17"/>
      <c r="J864" s="27"/>
      <c r="M864" s="25"/>
      <c r="N864" s="17"/>
      <c r="W864" s="18"/>
    </row>
    <row r="865" spans="1:23">
      <c r="A865" s="17"/>
      <c r="J865" s="27"/>
      <c r="M865" s="25"/>
      <c r="N865" s="17"/>
      <c r="W865" s="18"/>
    </row>
    <row r="866" spans="1:23">
      <c r="A866" s="17"/>
      <c r="J866" s="27"/>
      <c r="M866" s="25"/>
      <c r="N866" s="17"/>
      <c r="W866" s="18"/>
    </row>
    <row r="867" spans="1:23">
      <c r="A867" s="17"/>
      <c r="J867" s="27"/>
      <c r="M867" s="25"/>
      <c r="N867" s="17"/>
      <c r="W867" s="18"/>
    </row>
    <row r="868" spans="1:23">
      <c r="A868" s="17"/>
      <c r="J868" s="27"/>
      <c r="M868" s="25"/>
      <c r="N868" s="17"/>
      <c r="W868" s="18"/>
    </row>
    <row r="869" spans="1:23">
      <c r="A869" s="17"/>
      <c r="J869" s="27"/>
      <c r="M869" s="25"/>
      <c r="N869" s="17"/>
      <c r="W869" s="18"/>
    </row>
    <row r="870" spans="1:23">
      <c r="A870" s="17"/>
      <c r="J870" s="27"/>
      <c r="M870" s="25"/>
      <c r="N870" s="17"/>
      <c r="W870" s="18"/>
    </row>
    <row r="871" spans="1:23">
      <c r="A871" s="17"/>
      <c r="J871" s="27"/>
      <c r="M871" s="25"/>
      <c r="N871" s="17"/>
      <c r="W871" s="18"/>
    </row>
    <row r="872" spans="1:23">
      <c r="A872" s="17"/>
      <c r="J872" s="27"/>
      <c r="M872" s="25"/>
      <c r="N872" s="17"/>
      <c r="W872" s="18"/>
    </row>
    <row r="873" spans="1:23">
      <c r="A873" s="17"/>
      <c r="J873" s="27"/>
      <c r="M873" s="25"/>
      <c r="N873" s="17"/>
      <c r="W873" s="18"/>
    </row>
    <row r="874" spans="1:23">
      <c r="A874" s="17"/>
      <c r="J874" s="27"/>
      <c r="M874" s="25"/>
      <c r="N874" s="17"/>
      <c r="W874" s="18"/>
    </row>
    <row r="875" spans="1:23">
      <c r="A875" s="17"/>
      <c r="J875" s="27"/>
      <c r="M875" s="25"/>
      <c r="N875" s="17"/>
      <c r="W875" s="18"/>
    </row>
    <row r="876" spans="1:23">
      <c r="A876" s="17"/>
      <c r="J876" s="27"/>
      <c r="M876" s="25"/>
      <c r="N876" s="17"/>
      <c r="W876" s="18"/>
    </row>
    <row r="877" spans="1:23">
      <c r="A877" s="17"/>
      <c r="J877" s="27"/>
      <c r="M877" s="25"/>
      <c r="N877" s="17"/>
      <c r="W877" s="18"/>
    </row>
    <row r="878" spans="1:23">
      <c r="A878" s="17"/>
      <c r="J878" s="27"/>
      <c r="M878" s="25"/>
      <c r="N878" s="17"/>
      <c r="W878" s="18"/>
    </row>
    <row r="879" spans="1:23">
      <c r="A879" s="17"/>
      <c r="J879" s="27"/>
      <c r="M879" s="25"/>
      <c r="N879" s="17"/>
      <c r="W879" s="18"/>
    </row>
    <row r="880" spans="1:23">
      <c r="A880" s="17"/>
      <c r="J880" s="27"/>
      <c r="M880" s="25"/>
      <c r="N880" s="17"/>
      <c r="W880" s="18"/>
    </row>
    <row r="881" spans="1:23">
      <c r="A881" s="17"/>
      <c r="J881" s="27"/>
      <c r="M881" s="25"/>
      <c r="N881" s="17"/>
      <c r="W881" s="18"/>
    </row>
    <row r="882" spans="1:23">
      <c r="A882" s="17"/>
      <c r="J882" s="27"/>
      <c r="M882" s="25"/>
      <c r="N882" s="17"/>
      <c r="W882" s="18"/>
    </row>
    <row r="883" spans="1:23">
      <c r="A883" s="17"/>
      <c r="J883" s="27"/>
      <c r="M883" s="25"/>
      <c r="N883" s="17"/>
      <c r="W883" s="18"/>
    </row>
    <row r="884" spans="1:23">
      <c r="A884" s="17"/>
      <c r="J884" s="27"/>
      <c r="M884" s="25"/>
      <c r="N884" s="17"/>
      <c r="W884" s="18"/>
    </row>
    <row r="885" spans="1:23">
      <c r="A885" s="17"/>
      <c r="J885" s="27"/>
      <c r="M885" s="25"/>
      <c r="N885" s="17"/>
      <c r="W885" s="18"/>
    </row>
    <row r="886" spans="1:23">
      <c r="A886" s="17"/>
      <c r="J886" s="27"/>
      <c r="M886" s="25"/>
      <c r="N886" s="17"/>
      <c r="W886" s="18"/>
    </row>
    <row r="887" spans="1:23">
      <c r="A887" s="17"/>
      <c r="J887" s="27"/>
      <c r="M887" s="25"/>
      <c r="N887" s="17"/>
      <c r="W887" s="18"/>
    </row>
    <row r="888" spans="1:23">
      <c r="A888" s="17"/>
      <c r="J888" s="27"/>
      <c r="M888" s="25"/>
      <c r="N888" s="17"/>
      <c r="W888" s="18"/>
    </row>
    <row r="889" spans="1:23">
      <c r="A889" s="17"/>
      <c r="J889" s="27"/>
      <c r="M889" s="25"/>
      <c r="N889" s="17"/>
      <c r="W889" s="18"/>
    </row>
    <row r="890" spans="1:23">
      <c r="A890" s="17"/>
      <c r="J890" s="27"/>
      <c r="M890" s="25"/>
      <c r="N890" s="17"/>
      <c r="W890" s="18"/>
    </row>
    <row r="891" spans="1:23">
      <c r="A891" s="17"/>
      <c r="J891" s="27"/>
      <c r="M891" s="25"/>
      <c r="N891" s="17"/>
      <c r="W891" s="18"/>
    </row>
    <row r="892" spans="1:23">
      <c r="A892" s="17"/>
      <c r="J892" s="27"/>
      <c r="M892" s="25"/>
      <c r="N892" s="17"/>
      <c r="W892" s="18"/>
    </row>
    <row r="893" spans="1:23">
      <c r="A893" s="17"/>
      <c r="J893" s="27"/>
      <c r="M893" s="25"/>
      <c r="N893" s="17"/>
      <c r="W893" s="18"/>
    </row>
    <row r="894" spans="1:23">
      <c r="A894" s="17"/>
      <c r="J894" s="27"/>
      <c r="M894" s="25"/>
      <c r="N894" s="17"/>
      <c r="W894" s="18"/>
    </row>
    <row r="895" spans="1:23">
      <c r="A895" s="17"/>
      <c r="J895" s="27"/>
      <c r="M895" s="25"/>
      <c r="N895" s="17"/>
      <c r="W895" s="18"/>
    </row>
    <row r="896" spans="1:23">
      <c r="A896" s="17"/>
      <c r="J896" s="27"/>
      <c r="M896" s="25"/>
      <c r="N896" s="17"/>
      <c r="W896" s="18"/>
    </row>
    <row r="897" spans="1:23">
      <c r="A897" s="17"/>
      <c r="J897" s="27"/>
      <c r="M897" s="25"/>
      <c r="N897" s="17"/>
      <c r="W897" s="18"/>
    </row>
    <row r="898" spans="1:23">
      <c r="A898" s="17"/>
      <c r="J898" s="27"/>
      <c r="M898" s="25"/>
      <c r="N898" s="17"/>
      <c r="W898" s="18"/>
    </row>
    <row r="899" spans="1:23">
      <c r="A899" s="17"/>
      <c r="J899" s="27"/>
      <c r="M899" s="25"/>
      <c r="N899" s="17"/>
      <c r="W899" s="18"/>
    </row>
    <row r="900" spans="1:23">
      <c r="A900" s="17"/>
      <c r="J900" s="27"/>
      <c r="M900" s="25"/>
      <c r="N900" s="17"/>
      <c r="W900" s="18"/>
    </row>
    <row r="901" spans="1:23">
      <c r="A901" s="17"/>
      <c r="J901" s="27"/>
      <c r="M901" s="25"/>
      <c r="N901" s="17"/>
      <c r="W901" s="18"/>
    </row>
    <row r="902" spans="1:23">
      <c r="A902" s="17"/>
      <c r="J902" s="27"/>
      <c r="M902" s="25"/>
      <c r="N902" s="17"/>
      <c r="W902" s="18"/>
    </row>
    <row r="903" spans="1:23">
      <c r="A903" s="17"/>
      <c r="J903" s="27"/>
      <c r="M903" s="25"/>
      <c r="N903" s="17"/>
      <c r="W903" s="18"/>
    </row>
    <row r="904" spans="1:23">
      <c r="A904" s="17"/>
      <c r="J904" s="27"/>
      <c r="M904" s="25"/>
      <c r="N904" s="17"/>
      <c r="W904" s="18"/>
    </row>
    <row r="905" spans="1:23">
      <c r="A905" s="17"/>
      <c r="J905" s="27"/>
      <c r="M905" s="25"/>
      <c r="N905" s="17"/>
      <c r="W905" s="18"/>
    </row>
    <row r="906" spans="1:23">
      <c r="A906" s="17"/>
      <c r="J906" s="27"/>
      <c r="M906" s="25"/>
      <c r="N906" s="17"/>
      <c r="W906" s="18"/>
    </row>
    <row r="907" spans="1:23">
      <c r="A907" s="17"/>
      <c r="J907" s="27"/>
      <c r="M907" s="25"/>
      <c r="N907" s="17"/>
      <c r="W907" s="18"/>
    </row>
    <row r="908" spans="1:23">
      <c r="A908" s="17"/>
      <c r="J908" s="27"/>
      <c r="M908" s="25"/>
      <c r="N908" s="17"/>
      <c r="W908" s="18"/>
    </row>
    <row r="909" spans="1:23">
      <c r="A909" s="17"/>
      <c r="J909" s="27"/>
      <c r="M909" s="25"/>
      <c r="N909" s="17"/>
      <c r="W909" s="18"/>
    </row>
    <row r="910" spans="1:23">
      <c r="A910" s="17"/>
      <c r="J910" s="27"/>
      <c r="M910" s="25"/>
      <c r="N910" s="17"/>
      <c r="W910" s="18"/>
    </row>
    <row r="911" spans="1:23">
      <c r="A911" s="17"/>
      <c r="J911" s="27"/>
      <c r="M911" s="25"/>
      <c r="N911" s="17"/>
      <c r="W911" s="18"/>
    </row>
    <row r="912" spans="1:23">
      <c r="A912" s="17"/>
      <c r="J912" s="27"/>
      <c r="M912" s="25"/>
      <c r="N912" s="17"/>
      <c r="W912" s="18"/>
    </row>
    <row r="913" spans="1:23">
      <c r="A913" s="17"/>
      <c r="J913" s="27"/>
      <c r="M913" s="25"/>
      <c r="N913" s="17"/>
      <c r="W913" s="18"/>
    </row>
    <row r="914" spans="1:23">
      <c r="A914" s="17"/>
      <c r="J914" s="27"/>
      <c r="M914" s="25"/>
      <c r="N914" s="17"/>
      <c r="W914" s="18"/>
    </row>
    <row r="915" spans="1:23">
      <c r="A915" s="17"/>
      <c r="J915" s="27"/>
      <c r="M915" s="25"/>
      <c r="N915" s="17"/>
      <c r="W915" s="18"/>
    </row>
    <row r="916" spans="1:23">
      <c r="A916" s="17"/>
      <c r="J916" s="27"/>
      <c r="M916" s="25"/>
      <c r="N916" s="17"/>
      <c r="W916" s="18"/>
    </row>
    <row r="917" spans="1:23">
      <c r="A917" s="17"/>
      <c r="J917" s="27"/>
      <c r="M917" s="25"/>
      <c r="N917" s="17"/>
      <c r="W917" s="18"/>
    </row>
    <row r="918" spans="1:23">
      <c r="A918" s="17"/>
      <c r="J918" s="27"/>
      <c r="M918" s="25"/>
      <c r="N918" s="17"/>
      <c r="W918" s="18"/>
    </row>
    <row r="919" spans="1:23">
      <c r="A919" s="17"/>
      <c r="J919" s="27"/>
      <c r="M919" s="25"/>
      <c r="N919" s="17"/>
      <c r="W919" s="18"/>
    </row>
    <row r="920" spans="1:23">
      <c r="A920" s="17"/>
      <c r="J920" s="27"/>
      <c r="M920" s="25"/>
      <c r="N920" s="17"/>
      <c r="W920" s="18"/>
    </row>
    <row r="921" spans="1:23">
      <c r="A921" s="17"/>
      <c r="J921" s="27"/>
      <c r="M921" s="25"/>
      <c r="N921" s="17"/>
      <c r="W921" s="18"/>
    </row>
    <row r="922" spans="1:23">
      <c r="A922" s="17"/>
      <c r="J922" s="27"/>
      <c r="M922" s="25"/>
      <c r="N922" s="17"/>
      <c r="W922" s="18"/>
    </row>
    <row r="923" spans="1:23">
      <c r="A923" s="17"/>
      <c r="J923" s="27"/>
      <c r="M923" s="25"/>
      <c r="N923" s="17"/>
      <c r="W923" s="18"/>
    </row>
    <row r="924" spans="1:23">
      <c r="A924" s="17"/>
      <c r="J924" s="27"/>
      <c r="M924" s="25"/>
      <c r="N924" s="17"/>
      <c r="W924" s="18"/>
    </row>
    <row r="925" spans="1:23">
      <c r="A925" s="17"/>
      <c r="J925" s="27"/>
      <c r="M925" s="25"/>
      <c r="N925" s="17"/>
      <c r="W925" s="18"/>
    </row>
    <row r="926" spans="1:23">
      <c r="A926" s="17"/>
      <c r="J926" s="27"/>
      <c r="M926" s="25"/>
      <c r="N926" s="17"/>
      <c r="W926" s="18"/>
    </row>
    <row r="927" spans="1:23">
      <c r="A927" s="17"/>
      <c r="J927" s="27"/>
      <c r="M927" s="25"/>
      <c r="N927" s="17"/>
      <c r="W927" s="18"/>
    </row>
    <row r="928" spans="1:23">
      <c r="A928" s="17"/>
      <c r="J928" s="27"/>
      <c r="M928" s="25"/>
      <c r="N928" s="17"/>
      <c r="W928" s="18"/>
    </row>
    <row r="929" spans="1:23">
      <c r="A929" s="17"/>
      <c r="J929" s="27"/>
      <c r="M929" s="25"/>
      <c r="N929" s="17"/>
      <c r="W929" s="18"/>
    </row>
    <row r="930" spans="1:23">
      <c r="A930" s="17"/>
      <c r="J930" s="27"/>
      <c r="M930" s="25"/>
      <c r="N930" s="17"/>
      <c r="W930" s="18"/>
    </row>
    <row r="931" spans="1:23">
      <c r="A931" s="17"/>
      <c r="J931" s="27"/>
      <c r="M931" s="25"/>
      <c r="N931" s="17"/>
      <c r="W931" s="18"/>
    </row>
    <row r="932" spans="1:23">
      <c r="A932" s="17"/>
      <c r="J932" s="27"/>
      <c r="M932" s="25"/>
      <c r="N932" s="17"/>
      <c r="W932" s="18"/>
    </row>
    <row r="933" spans="1:23">
      <c r="A933" s="17"/>
      <c r="J933" s="27"/>
      <c r="M933" s="25"/>
      <c r="N933" s="17"/>
      <c r="W933" s="18"/>
    </row>
    <row r="934" spans="1:23">
      <c r="A934" s="17"/>
      <c r="J934" s="27"/>
      <c r="M934" s="25"/>
      <c r="N934" s="17"/>
      <c r="W934" s="18"/>
    </row>
    <row r="935" spans="1:23">
      <c r="A935" s="17"/>
      <c r="J935" s="27"/>
      <c r="M935" s="25"/>
      <c r="N935" s="17"/>
      <c r="W935" s="18"/>
    </row>
    <row r="936" spans="1:23">
      <c r="A936" s="17"/>
      <c r="J936" s="27"/>
      <c r="M936" s="25"/>
      <c r="N936" s="17"/>
      <c r="W936" s="18"/>
    </row>
    <row r="937" spans="1:23">
      <c r="A937" s="17"/>
      <c r="J937" s="27"/>
      <c r="M937" s="25"/>
      <c r="N937" s="17"/>
      <c r="W937" s="18"/>
    </row>
    <row r="938" spans="1:23">
      <c r="A938" s="17"/>
      <c r="J938" s="27"/>
      <c r="M938" s="25"/>
      <c r="N938" s="17"/>
      <c r="W938" s="18"/>
    </row>
    <row r="939" spans="1:23">
      <c r="A939" s="17"/>
      <c r="J939" s="27"/>
      <c r="M939" s="25"/>
      <c r="N939" s="17"/>
      <c r="W939" s="18"/>
    </row>
    <row r="940" spans="1:23">
      <c r="A940" s="17"/>
      <c r="J940" s="27"/>
      <c r="M940" s="25"/>
      <c r="N940" s="17"/>
      <c r="W940" s="18"/>
    </row>
    <row r="941" spans="1:23">
      <c r="A941" s="17"/>
      <c r="J941" s="27"/>
      <c r="M941" s="25"/>
      <c r="N941" s="17"/>
      <c r="W941" s="18"/>
    </row>
    <row r="942" spans="1:23">
      <c r="A942" s="17"/>
      <c r="J942" s="27"/>
      <c r="M942" s="25"/>
      <c r="N942" s="17"/>
      <c r="W942" s="18"/>
    </row>
    <row r="943" spans="1:23">
      <c r="A943" s="17"/>
      <c r="J943" s="27"/>
      <c r="M943" s="25"/>
      <c r="N943" s="17"/>
      <c r="W943" s="18"/>
    </row>
    <row r="944" spans="1:23">
      <c r="A944" s="17"/>
      <c r="J944" s="27"/>
      <c r="M944" s="25"/>
      <c r="N944" s="17"/>
      <c r="W944" s="18"/>
    </row>
    <row r="945" spans="1:23">
      <c r="A945" s="17"/>
      <c r="J945" s="27"/>
      <c r="M945" s="25"/>
      <c r="N945" s="17"/>
      <c r="W945" s="18"/>
    </row>
    <row r="946" spans="1:23">
      <c r="A946" s="17"/>
      <c r="J946" s="27"/>
      <c r="M946" s="25"/>
      <c r="N946" s="17"/>
      <c r="W946" s="18"/>
    </row>
    <row r="947" spans="1:23">
      <c r="A947" s="17"/>
      <c r="J947" s="27"/>
      <c r="M947" s="25"/>
      <c r="N947" s="17"/>
      <c r="W947" s="18"/>
    </row>
    <row r="948" spans="1:23">
      <c r="A948" s="17"/>
      <c r="J948" s="27"/>
      <c r="M948" s="25"/>
      <c r="N948" s="17"/>
      <c r="W948" s="18"/>
    </row>
    <row r="949" spans="1:23">
      <c r="A949" s="17"/>
      <c r="J949" s="27"/>
      <c r="M949" s="25"/>
      <c r="N949" s="17"/>
      <c r="W949" s="18"/>
    </row>
    <row r="950" spans="1:23">
      <c r="A950" s="17"/>
      <c r="J950" s="27"/>
      <c r="M950" s="25"/>
      <c r="N950" s="17"/>
      <c r="W950" s="18"/>
    </row>
    <row r="951" spans="1:23">
      <c r="A951" s="17"/>
      <c r="J951" s="27"/>
      <c r="M951" s="25"/>
      <c r="N951" s="17"/>
      <c r="W951" s="18"/>
    </row>
    <row r="952" spans="1:23">
      <c r="A952" s="17"/>
      <c r="J952" s="27"/>
      <c r="M952" s="25"/>
      <c r="N952" s="17"/>
      <c r="W952" s="18"/>
    </row>
    <row r="953" spans="1:23">
      <c r="A953" s="17"/>
      <c r="J953" s="27"/>
      <c r="M953" s="25"/>
      <c r="N953" s="17"/>
      <c r="W953" s="18"/>
    </row>
    <row r="954" spans="1:23">
      <c r="A954" s="17"/>
      <c r="J954" s="27"/>
      <c r="M954" s="25"/>
      <c r="N954" s="17"/>
      <c r="W954" s="18"/>
    </row>
    <row r="955" spans="1:23">
      <c r="A955" s="17"/>
      <c r="J955" s="27"/>
      <c r="M955" s="25"/>
      <c r="N955" s="17"/>
      <c r="W955" s="18"/>
    </row>
    <row r="956" spans="1:23">
      <c r="A956" s="17"/>
      <c r="J956" s="27"/>
      <c r="M956" s="25"/>
      <c r="N956" s="17"/>
      <c r="W956" s="18"/>
    </row>
    <row r="957" spans="1:23">
      <c r="A957" s="17"/>
      <c r="J957" s="27"/>
      <c r="M957" s="25"/>
      <c r="N957" s="17"/>
      <c r="W957" s="18"/>
    </row>
    <row r="958" spans="1:23">
      <c r="A958" s="17"/>
      <c r="J958" s="27"/>
      <c r="M958" s="25"/>
      <c r="N958" s="17"/>
      <c r="W958" s="18"/>
    </row>
    <row r="959" spans="1:23">
      <c r="A959" s="17"/>
      <c r="J959" s="27"/>
      <c r="M959" s="25"/>
      <c r="N959" s="17"/>
      <c r="W959" s="18"/>
    </row>
    <row r="960" spans="1:23">
      <c r="A960" s="17"/>
      <c r="J960" s="27"/>
      <c r="M960" s="25"/>
      <c r="N960" s="17"/>
      <c r="W960" s="18"/>
    </row>
    <row r="961" spans="1:23">
      <c r="A961" s="17"/>
      <c r="J961" s="27"/>
      <c r="M961" s="25"/>
      <c r="N961" s="17"/>
      <c r="W961" s="18"/>
    </row>
    <row r="962" spans="1:23">
      <c r="A962" s="17"/>
      <c r="J962" s="27"/>
      <c r="M962" s="25"/>
      <c r="N962" s="17"/>
      <c r="W962" s="18"/>
    </row>
    <row r="963" spans="1:23">
      <c r="A963" s="17"/>
      <c r="J963" s="27"/>
      <c r="M963" s="25"/>
      <c r="N963" s="17"/>
      <c r="W963" s="18"/>
    </row>
    <row r="964" spans="1:23">
      <c r="A964" s="17"/>
      <c r="J964" s="27"/>
      <c r="M964" s="25"/>
      <c r="N964" s="17"/>
      <c r="W964" s="18"/>
    </row>
    <row r="965" spans="1:23">
      <c r="A965" s="17"/>
      <c r="J965" s="27"/>
      <c r="M965" s="25"/>
      <c r="N965" s="17"/>
      <c r="W965" s="18"/>
    </row>
    <row r="966" spans="1:23">
      <c r="A966" s="17"/>
      <c r="J966" s="27"/>
      <c r="M966" s="25"/>
      <c r="N966" s="17"/>
      <c r="W966" s="18"/>
    </row>
    <row r="967" spans="1:23">
      <c r="A967" s="17"/>
      <c r="J967" s="27"/>
      <c r="M967" s="25"/>
      <c r="N967" s="17"/>
      <c r="W967" s="18"/>
    </row>
    <row r="968" spans="1:23">
      <c r="A968" s="17"/>
      <c r="J968" s="27"/>
      <c r="M968" s="25"/>
      <c r="N968" s="17"/>
      <c r="W968" s="18"/>
    </row>
    <row r="969" spans="1:23">
      <c r="A969" s="17"/>
      <c r="J969" s="27"/>
      <c r="M969" s="25"/>
      <c r="N969" s="17"/>
      <c r="W969" s="18"/>
    </row>
    <row r="970" spans="1:23">
      <c r="A970" s="17"/>
      <c r="J970" s="27"/>
      <c r="M970" s="25"/>
      <c r="N970" s="17"/>
      <c r="W970" s="18"/>
    </row>
    <row r="971" spans="1:23">
      <c r="A971" s="17"/>
      <c r="J971" s="27"/>
      <c r="M971" s="25"/>
      <c r="N971" s="17"/>
      <c r="W971" s="18"/>
    </row>
    <row r="972" spans="1:23">
      <c r="A972" s="17"/>
      <c r="J972" s="27"/>
      <c r="M972" s="25"/>
      <c r="N972" s="17"/>
      <c r="W972" s="18"/>
    </row>
    <row r="973" spans="1:23">
      <c r="A973" s="17"/>
      <c r="J973" s="27"/>
      <c r="M973" s="25"/>
      <c r="N973" s="17"/>
      <c r="W973" s="18"/>
    </row>
    <row r="974" spans="1:23">
      <c r="A974" s="17"/>
      <c r="J974" s="27"/>
      <c r="M974" s="25"/>
      <c r="N974" s="17"/>
      <c r="W974" s="18"/>
    </row>
    <row r="975" spans="1:23">
      <c r="A975" s="17"/>
      <c r="J975" s="27"/>
      <c r="M975" s="25"/>
      <c r="N975" s="17"/>
      <c r="W975" s="18"/>
    </row>
    <row r="976" spans="1:23">
      <c r="A976" s="17"/>
      <c r="J976" s="27"/>
      <c r="M976" s="25"/>
      <c r="N976" s="17"/>
      <c r="W976" s="18"/>
    </row>
    <row r="977" spans="1:23">
      <c r="A977" s="17"/>
      <c r="J977" s="27"/>
      <c r="M977" s="25"/>
      <c r="N977" s="17"/>
      <c r="W977" s="18"/>
    </row>
    <row r="978" spans="1:23">
      <c r="A978" s="17"/>
      <c r="J978" s="27"/>
      <c r="M978" s="25"/>
      <c r="N978" s="17"/>
      <c r="W978" s="18"/>
    </row>
    <row r="979" spans="1:23">
      <c r="A979" s="17"/>
      <c r="J979" s="27"/>
      <c r="M979" s="25"/>
      <c r="N979" s="17"/>
      <c r="W979" s="18"/>
    </row>
    <row r="980" spans="1:23">
      <c r="A980" s="17"/>
      <c r="J980" s="27"/>
      <c r="M980" s="25"/>
      <c r="N980" s="17"/>
      <c r="W980" s="18"/>
    </row>
    <row r="981" spans="1:23">
      <c r="A981" s="17"/>
      <c r="J981" s="27"/>
      <c r="M981" s="25"/>
      <c r="N981" s="17"/>
      <c r="W981" s="18"/>
    </row>
    <row r="982" spans="1:23">
      <c r="A982" s="17"/>
      <c r="J982" s="27"/>
      <c r="M982" s="25"/>
      <c r="N982" s="17"/>
      <c r="W982" s="18"/>
    </row>
    <row r="983" spans="1:23">
      <c r="A983" s="17"/>
      <c r="J983" s="27"/>
      <c r="M983" s="25"/>
      <c r="N983" s="17"/>
      <c r="W983" s="18"/>
    </row>
    <row r="984" spans="1:23">
      <c r="A984" s="17"/>
      <c r="J984" s="27"/>
      <c r="M984" s="25"/>
      <c r="N984" s="17"/>
      <c r="W984" s="18"/>
    </row>
    <row r="985" spans="1:23">
      <c r="A985" s="17"/>
      <c r="J985" s="27"/>
      <c r="M985" s="25"/>
      <c r="N985" s="17"/>
      <c r="W985" s="18"/>
    </row>
    <row r="986" spans="1:23">
      <c r="A986" s="17"/>
      <c r="J986" s="27"/>
      <c r="M986" s="25"/>
      <c r="N986" s="17"/>
      <c r="W986" s="18"/>
    </row>
    <row r="987" spans="1:23">
      <c r="A987" s="17"/>
      <c r="J987" s="27"/>
      <c r="M987" s="25"/>
      <c r="N987" s="17"/>
      <c r="W987" s="18"/>
    </row>
    <row r="988" spans="1:23">
      <c r="A988" s="17"/>
      <c r="J988" s="27"/>
      <c r="M988" s="25"/>
      <c r="N988" s="17"/>
      <c r="W988" s="18"/>
    </row>
    <row r="989" spans="1:23">
      <c r="A989" s="17"/>
      <c r="J989" s="27"/>
      <c r="M989" s="25"/>
      <c r="N989" s="17"/>
      <c r="W989" s="18"/>
    </row>
    <row r="990" spans="1:23">
      <c r="A990" s="17"/>
      <c r="J990" s="27"/>
      <c r="M990" s="25"/>
      <c r="N990" s="17"/>
      <c r="W990" s="18"/>
    </row>
    <row r="991" spans="1:23">
      <c r="A991" s="17"/>
      <c r="J991" s="27"/>
      <c r="M991" s="25"/>
      <c r="N991" s="17"/>
      <c r="W991" s="18"/>
    </row>
    <row r="992" spans="1:23">
      <c r="A992" s="17"/>
      <c r="J992" s="27"/>
      <c r="M992" s="25"/>
      <c r="N992" s="17"/>
      <c r="W992" s="18"/>
    </row>
    <row r="993" spans="1:23">
      <c r="A993" s="17"/>
      <c r="J993" s="27"/>
      <c r="M993" s="25"/>
      <c r="N993" s="17"/>
      <c r="W993" s="18"/>
    </row>
    <row r="994" spans="1:23">
      <c r="A994" s="17"/>
      <c r="J994" s="27"/>
      <c r="M994" s="25"/>
      <c r="N994" s="17"/>
      <c r="W994" s="18"/>
    </row>
    <row r="995" spans="1:23">
      <c r="A995" s="17"/>
      <c r="J995" s="27"/>
      <c r="M995" s="25"/>
      <c r="N995" s="17"/>
      <c r="W995" s="18"/>
    </row>
    <row r="996" spans="1:23">
      <c r="A996" s="17"/>
      <c r="J996" s="27"/>
      <c r="M996" s="25"/>
      <c r="N996" s="17"/>
      <c r="W996" s="18"/>
    </row>
    <row r="997" spans="1:23">
      <c r="A997" s="17"/>
      <c r="J997" s="27"/>
      <c r="M997" s="25"/>
      <c r="N997" s="17"/>
      <c r="W997" s="18"/>
    </row>
    <row r="998" spans="1:23">
      <c r="A998" s="17"/>
      <c r="J998" s="27"/>
      <c r="M998" s="25"/>
      <c r="N998" s="17"/>
      <c r="W998" s="18"/>
    </row>
    <row r="999" spans="1:23">
      <c r="A999" s="17"/>
      <c r="J999" s="27"/>
      <c r="M999" s="25"/>
      <c r="N999" s="17"/>
      <c r="W999" s="18"/>
    </row>
    <row r="1000" spans="1:23">
      <c r="A1000" s="17"/>
      <c r="J1000" s="27"/>
      <c r="M1000" s="25"/>
      <c r="N1000" s="17"/>
      <c r="W1000" s="18"/>
    </row>
    <row r="1001" spans="1:23">
      <c r="A1001" s="17"/>
      <c r="J1001" s="27"/>
      <c r="M1001" s="25"/>
      <c r="N1001" s="17"/>
      <c r="W1001" s="18"/>
    </row>
    <row r="1002" spans="1:23">
      <c r="A1002" s="17"/>
      <c r="J1002" s="27"/>
      <c r="M1002" s="25"/>
      <c r="N1002" s="17"/>
      <c r="W1002" s="18"/>
    </row>
    <row r="1003" spans="1:23">
      <c r="A1003" s="17"/>
      <c r="J1003" s="27"/>
      <c r="M1003" s="25"/>
      <c r="N1003" s="17"/>
      <c r="W1003" s="18"/>
    </row>
    <row r="1004" spans="1:23">
      <c r="A1004" s="17"/>
      <c r="J1004" s="27"/>
      <c r="M1004" s="25"/>
      <c r="N1004" s="17"/>
      <c r="W1004" s="18"/>
    </row>
    <row r="1005" spans="1:23">
      <c r="A1005" s="17"/>
      <c r="J1005" s="27"/>
      <c r="M1005" s="25"/>
      <c r="N1005" s="17"/>
      <c r="W1005" s="18"/>
    </row>
    <row r="1006" spans="1:23">
      <c r="A1006" s="17"/>
      <c r="J1006" s="27"/>
      <c r="M1006" s="25"/>
      <c r="N1006" s="17"/>
      <c r="W1006" s="18"/>
    </row>
    <row r="1007" spans="1:23">
      <c r="A1007" s="17"/>
      <c r="J1007" s="27"/>
      <c r="M1007" s="25"/>
      <c r="N1007" s="17"/>
      <c r="W1007" s="18"/>
    </row>
    <row r="1008" spans="1:23">
      <c r="A1008" s="17"/>
      <c r="J1008" s="27"/>
      <c r="M1008" s="25"/>
      <c r="N1008" s="17"/>
      <c r="W1008" s="18"/>
    </row>
    <row r="1009" spans="1:23">
      <c r="A1009" s="17"/>
      <c r="J1009" s="27"/>
      <c r="M1009" s="25"/>
      <c r="N1009" s="17"/>
      <c r="W1009" s="18"/>
    </row>
    <row r="1010" spans="1:23">
      <c r="A1010" s="17"/>
      <c r="J1010" s="27"/>
      <c r="M1010" s="25"/>
      <c r="N1010" s="17"/>
      <c r="W1010" s="18"/>
    </row>
    <row r="1011" spans="1:23">
      <c r="A1011" s="17"/>
      <c r="J1011" s="27"/>
      <c r="M1011" s="25"/>
      <c r="N1011" s="17"/>
      <c r="W1011" s="18"/>
    </row>
    <row r="1012" spans="1:23">
      <c r="A1012" s="17"/>
      <c r="J1012" s="27"/>
      <c r="M1012" s="25"/>
      <c r="N1012" s="17"/>
      <c r="W1012" s="18"/>
    </row>
    <row r="1013" spans="1:23">
      <c r="A1013" s="17"/>
      <c r="J1013" s="27"/>
      <c r="M1013" s="25"/>
      <c r="N1013" s="17"/>
      <c r="W1013" s="18"/>
    </row>
    <row r="1014" spans="1:23">
      <c r="A1014" s="17"/>
      <c r="J1014" s="27"/>
      <c r="M1014" s="25"/>
      <c r="N1014" s="17"/>
      <c r="W1014" s="18"/>
    </row>
    <row r="1015" spans="1:23">
      <c r="A1015" s="17"/>
      <c r="J1015" s="27"/>
      <c r="M1015" s="25"/>
      <c r="N1015" s="17"/>
      <c r="W1015" s="18"/>
    </row>
    <row r="1016" spans="1:23">
      <c r="A1016" s="17"/>
      <c r="J1016" s="27"/>
      <c r="M1016" s="25"/>
      <c r="N1016" s="17"/>
      <c r="W1016" s="18"/>
    </row>
    <row r="1017" spans="1:23">
      <c r="A1017" s="17"/>
      <c r="J1017" s="27"/>
      <c r="M1017" s="25"/>
      <c r="N1017" s="17"/>
      <c r="W1017" s="18"/>
    </row>
    <row r="1018" spans="1:23">
      <c r="A1018" s="17"/>
      <c r="J1018" s="27"/>
      <c r="M1018" s="25"/>
      <c r="N1018" s="17"/>
      <c r="W1018" s="18"/>
    </row>
    <row r="1019" spans="1:23">
      <c r="A1019" s="17"/>
      <c r="J1019" s="27"/>
      <c r="M1019" s="25"/>
      <c r="N1019" s="17"/>
      <c r="W1019" s="18"/>
    </row>
    <row r="1020" spans="1:23">
      <c r="A1020" s="17"/>
      <c r="J1020" s="27"/>
      <c r="M1020" s="25"/>
      <c r="N1020" s="17"/>
      <c r="W1020" s="18"/>
    </row>
    <row r="1021" spans="1:23">
      <c r="A1021" s="17"/>
      <c r="J1021" s="27"/>
      <c r="M1021" s="25"/>
      <c r="N1021" s="17"/>
      <c r="W1021" s="18"/>
    </row>
    <row r="1022" spans="1:23">
      <c r="A1022" s="17"/>
      <c r="J1022" s="27"/>
      <c r="M1022" s="25"/>
      <c r="N1022" s="17"/>
      <c r="W1022" s="18"/>
    </row>
    <row r="1023" spans="1:23">
      <c r="A1023" s="17"/>
      <c r="J1023" s="27"/>
      <c r="M1023" s="25"/>
      <c r="N1023" s="17"/>
      <c r="W1023" s="18"/>
    </row>
    <row r="1024" spans="1:23">
      <c r="A1024" s="17"/>
      <c r="J1024" s="27"/>
      <c r="M1024" s="25"/>
      <c r="N1024" s="17"/>
      <c r="W1024" s="18"/>
    </row>
    <row r="1025" spans="1:23">
      <c r="A1025" s="17"/>
      <c r="J1025" s="27"/>
      <c r="M1025" s="25"/>
      <c r="N1025" s="17"/>
      <c r="W1025" s="18"/>
    </row>
    <row r="1026" spans="1:23">
      <c r="A1026" s="17"/>
      <c r="J1026" s="27"/>
      <c r="M1026" s="25"/>
      <c r="N1026" s="17"/>
      <c r="W1026" s="18"/>
    </row>
    <row r="1027" spans="1:23">
      <c r="A1027" s="17"/>
      <c r="J1027" s="27"/>
      <c r="M1027" s="25"/>
      <c r="N1027" s="17"/>
      <c r="W1027" s="18"/>
    </row>
    <row r="1028" spans="1:23">
      <c r="A1028" s="17"/>
      <c r="J1028" s="27"/>
      <c r="M1028" s="25"/>
      <c r="N1028" s="17"/>
      <c r="W1028" s="18"/>
    </row>
    <row r="1029" spans="1:23">
      <c r="A1029" s="17"/>
      <c r="J1029" s="27"/>
      <c r="M1029" s="25"/>
      <c r="N1029" s="17"/>
      <c r="W1029" s="18"/>
    </row>
    <row r="1030" spans="1:23">
      <c r="A1030" s="17"/>
      <c r="J1030" s="27"/>
      <c r="M1030" s="25"/>
      <c r="N1030" s="17"/>
      <c r="W1030" s="18"/>
    </row>
    <row r="1031" spans="1:23">
      <c r="A1031" s="17"/>
      <c r="J1031" s="27"/>
      <c r="M1031" s="25"/>
      <c r="N1031" s="17"/>
      <c r="W1031" s="18"/>
    </row>
    <row r="1032" spans="1:23">
      <c r="A1032" s="17"/>
      <c r="J1032" s="27"/>
      <c r="M1032" s="25"/>
      <c r="N1032" s="17"/>
      <c r="W1032" s="18"/>
    </row>
    <row r="1033" spans="1:23">
      <c r="A1033" s="17"/>
      <c r="J1033" s="27"/>
      <c r="M1033" s="25"/>
      <c r="N1033" s="17"/>
      <c r="W1033" s="18"/>
    </row>
    <row r="1034" spans="1:23">
      <c r="A1034" s="17"/>
      <c r="J1034" s="27"/>
      <c r="M1034" s="25"/>
      <c r="N1034" s="17"/>
      <c r="W1034" s="18"/>
    </row>
    <row r="1035" spans="1:23">
      <c r="A1035" s="17"/>
      <c r="J1035" s="27"/>
      <c r="M1035" s="25"/>
      <c r="N1035" s="17"/>
      <c r="W1035" s="18"/>
    </row>
    <row r="1036" spans="1:23">
      <c r="A1036" s="17"/>
      <c r="J1036" s="27"/>
      <c r="M1036" s="25"/>
      <c r="N1036" s="17"/>
      <c r="W1036" s="18"/>
    </row>
    <row r="1037" spans="1:23">
      <c r="A1037" s="17"/>
      <c r="J1037" s="27"/>
      <c r="M1037" s="25"/>
      <c r="N1037" s="17"/>
      <c r="W1037" s="18"/>
    </row>
    <row r="1038" spans="1:23">
      <c r="A1038" s="17"/>
      <c r="J1038" s="27"/>
      <c r="M1038" s="25"/>
      <c r="N1038" s="17"/>
      <c r="W1038" s="18"/>
    </row>
    <row r="1039" spans="1:23">
      <c r="A1039" s="17"/>
      <c r="J1039" s="27"/>
      <c r="M1039" s="25"/>
      <c r="N1039" s="17"/>
      <c r="W1039" s="18"/>
    </row>
    <row r="1040" spans="1:23">
      <c r="A1040" s="17"/>
      <c r="J1040" s="27"/>
      <c r="M1040" s="25"/>
      <c r="N1040" s="17"/>
      <c r="W1040" s="18"/>
    </row>
    <row r="1041" spans="1:23">
      <c r="A1041" s="17"/>
      <c r="J1041" s="27"/>
      <c r="M1041" s="25"/>
      <c r="N1041" s="17"/>
      <c r="W1041" s="18"/>
    </row>
    <row r="1042" spans="1:23">
      <c r="A1042" s="17"/>
      <c r="J1042" s="27"/>
      <c r="M1042" s="25"/>
      <c r="N1042" s="17"/>
      <c r="W1042" s="18"/>
    </row>
    <row r="1043" spans="1:23">
      <c r="A1043" s="17"/>
      <c r="J1043" s="27"/>
      <c r="M1043" s="25"/>
      <c r="N1043" s="17"/>
      <c r="W1043" s="18"/>
    </row>
    <row r="1044" spans="1:23">
      <c r="A1044" s="17"/>
      <c r="J1044" s="27"/>
      <c r="M1044" s="25"/>
      <c r="N1044" s="17"/>
      <c r="W1044" s="18"/>
    </row>
    <row r="1045" spans="1:23">
      <c r="A1045" s="17"/>
      <c r="J1045" s="27"/>
      <c r="M1045" s="25"/>
      <c r="N1045" s="17"/>
      <c r="W1045" s="18"/>
    </row>
    <row r="1046" spans="1:23">
      <c r="A1046" s="17"/>
      <c r="J1046" s="27"/>
      <c r="M1046" s="25"/>
      <c r="N1046" s="17"/>
      <c r="W1046" s="18"/>
    </row>
    <row r="1047" spans="1:23">
      <c r="A1047" s="17"/>
      <c r="J1047" s="27"/>
      <c r="M1047" s="25"/>
      <c r="N1047" s="17"/>
      <c r="W1047" s="18"/>
    </row>
    <row r="1048" spans="1:23">
      <c r="A1048" s="17"/>
      <c r="J1048" s="27"/>
      <c r="M1048" s="25"/>
      <c r="N1048" s="17"/>
      <c r="W1048" s="18"/>
    </row>
    <row r="1049" spans="1:23">
      <c r="A1049" s="17"/>
      <c r="J1049" s="27"/>
      <c r="M1049" s="25"/>
      <c r="N1049" s="17"/>
      <c r="W1049" s="18"/>
    </row>
    <row r="1050" spans="1:23">
      <c r="A1050" s="17"/>
      <c r="J1050" s="27"/>
      <c r="M1050" s="25"/>
      <c r="N1050" s="17"/>
      <c r="W1050" s="18"/>
    </row>
    <row r="1051" spans="1:23">
      <c r="A1051" s="17"/>
      <c r="J1051" s="27"/>
      <c r="M1051" s="25"/>
      <c r="N1051" s="17"/>
      <c r="W1051" s="18"/>
    </row>
    <row r="1052" spans="1:23">
      <c r="A1052" s="17"/>
      <c r="J1052" s="27"/>
      <c r="M1052" s="25"/>
      <c r="N1052" s="17"/>
      <c r="W1052" s="18"/>
    </row>
    <row r="1053" spans="1:23">
      <c r="A1053" s="17"/>
      <c r="J1053" s="27"/>
      <c r="M1053" s="25"/>
      <c r="N1053" s="17"/>
      <c r="W1053" s="18"/>
    </row>
    <row r="1054" spans="1:23">
      <c r="A1054" s="17"/>
      <c r="J1054" s="27"/>
      <c r="M1054" s="25"/>
      <c r="N1054" s="17"/>
      <c r="W1054" s="18"/>
    </row>
    <row r="1055" spans="1:23">
      <c r="A1055" s="17"/>
      <c r="J1055" s="27"/>
      <c r="M1055" s="25"/>
      <c r="N1055" s="17"/>
      <c r="W1055" s="18"/>
    </row>
    <row r="1056" spans="1:23">
      <c r="A1056" s="17"/>
      <c r="J1056" s="27"/>
      <c r="M1056" s="25"/>
      <c r="N1056" s="17"/>
      <c r="W1056" s="18"/>
    </row>
    <row r="1057" spans="1:23">
      <c r="A1057" s="17"/>
      <c r="J1057" s="27"/>
      <c r="M1057" s="25"/>
      <c r="N1057" s="17"/>
      <c r="W1057" s="18"/>
    </row>
    <row r="1058" spans="1:23">
      <c r="A1058" s="17"/>
      <c r="J1058" s="27"/>
      <c r="M1058" s="25"/>
      <c r="N1058" s="17"/>
      <c r="W1058" s="18"/>
    </row>
    <row r="1059" spans="1:23">
      <c r="A1059" s="17"/>
      <c r="J1059" s="27"/>
      <c r="M1059" s="25"/>
      <c r="N1059" s="17"/>
      <c r="W1059" s="18"/>
    </row>
    <row r="1060" spans="1:23">
      <c r="A1060" s="17"/>
      <c r="J1060" s="27"/>
      <c r="M1060" s="25"/>
      <c r="N1060" s="17"/>
      <c r="W1060" s="18"/>
    </row>
    <row r="1061" spans="1:23">
      <c r="A1061" s="17"/>
      <c r="J1061" s="27"/>
      <c r="M1061" s="25"/>
      <c r="N1061" s="17"/>
      <c r="W1061" s="18"/>
    </row>
    <row r="1062" spans="1:23">
      <c r="A1062" s="17"/>
      <c r="J1062" s="27"/>
      <c r="M1062" s="25"/>
      <c r="N1062" s="17"/>
      <c r="W1062" s="18"/>
    </row>
    <row r="1063" spans="1:23">
      <c r="A1063" s="17"/>
      <c r="J1063" s="27"/>
      <c r="M1063" s="25"/>
      <c r="N1063" s="17"/>
      <c r="W1063" s="18"/>
    </row>
    <row r="1064" spans="1:23">
      <c r="A1064" s="17"/>
      <c r="J1064" s="27"/>
      <c r="M1064" s="25"/>
      <c r="N1064" s="17"/>
      <c r="W1064" s="18"/>
    </row>
    <row r="1065" spans="1:23">
      <c r="A1065" s="17"/>
      <c r="J1065" s="27"/>
      <c r="M1065" s="25"/>
      <c r="N1065" s="17"/>
      <c r="W1065" s="18"/>
    </row>
    <row r="1066" spans="1:23">
      <c r="A1066" s="17"/>
      <c r="J1066" s="27"/>
      <c r="M1066" s="25"/>
      <c r="N1066" s="17"/>
      <c r="W1066" s="18"/>
    </row>
    <row r="1067" spans="1:23">
      <c r="A1067" s="17"/>
      <c r="J1067" s="27"/>
      <c r="M1067" s="25"/>
      <c r="N1067" s="17"/>
      <c r="W1067" s="18"/>
    </row>
    <row r="1068" spans="1:23">
      <c r="A1068" s="17"/>
      <c r="J1068" s="27"/>
      <c r="M1068" s="25"/>
      <c r="N1068" s="17"/>
      <c r="W1068" s="18"/>
    </row>
    <row r="1069" spans="1:23">
      <c r="A1069" s="17"/>
      <c r="J1069" s="27"/>
      <c r="M1069" s="25"/>
      <c r="N1069" s="17"/>
      <c r="W1069" s="18"/>
    </row>
    <row r="1070" spans="1:23">
      <c r="A1070" s="17"/>
      <c r="J1070" s="27"/>
      <c r="M1070" s="25"/>
      <c r="N1070" s="17"/>
      <c r="W1070" s="18"/>
    </row>
    <row r="1071" spans="1:23">
      <c r="A1071" s="17"/>
      <c r="J1071" s="27"/>
      <c r="M1071" s="25"/>
      <c r="N1071" s="17"/>
      <c r="W1071" s="18"/>
    </row>
    <row r="1072" spans="1:23">
      <c r="A1072" s="17"/>
      <c r="J1072" s="27"/>
      <c r="M1072" s="25"/>
      <c r="N1072" s="17"/>
      <c r="W1072" s="18"/>
    </row>
    <row r="1073" spans="1:23">
      <c r="A1073" s="17"/>
      <c r="J1073" s="27"/>
      <c r="M1073" s="25"/>
      <c r="N1073" s="17"/>
      <c r="W1073" s="18"/>
    </row>
    <row r="1074" spans="1:23">
      <c r="A1074" s="17"/>
      <c r="J1074" s="27"/>
      <c r="M1074" s="25"/>
      <c r="N1074" s="17"/>
      <c r="W1074" s="18"/>
    </row>
    <row r="1075" spans="1:23">
      <c r="A1075" s="17"/>
      <c r="J1075" s="27"/>
      <c r="M1075" s="25"/>
      <c r="N1075" s="17"/>
      <c r="W1075" s="18"/>
    </row>
    <row r="1076" spans="1:23">
      <c r="A1076" s="17"/>
      <c r="J1076" s="27"/>
      <c r="M1076" s="25"/>
      <c r="N1076" s="17"/>
      <c r="W1076" s="18"/>
    </row>
    <row r="1077" spans="1:23">
      <c r="A1077" s="17"/>
      <c r="J1077" s="27"/>
      <c r="M1077" s="25"/>
      <c r="N1077" s="17"/>
      <c r="W1077" s="18"/>
    </row>
    <row r="1078" spans="1:23">
      <c r="A1078" s="17"/>
      <c r="J1078" s="27"/>
      <c r="M1078" s="25"/>
      <c r="N1078" s="17"/>
      <c r="W1078" s="18"/>
    </row>
    <row r="1079" spans="1:23">
      <c r="A1079" s="17"/>
      <c r="J1079" s="27"/>
      <c r="M1079" s="25"/>
      <c r="N1079" s="17"/>
      <c r="W1079" s="18"/>
    </row>
    <row r="1080" spans="1:23">
      <c r="A1080" s="17"/>
      <c r="J1080" s="27"/>
      <c r="M1080" s="25"/>
      <c r="N1080" s="17"/>
      <c r="W1080" s="18"/>
    </row>
    <row r="1081" spans="1:23">
      <c r="A1081" s="17"/>
      <c r="J1081" s="27"/>
      <c r="M1081" s="25"/>
      <c r="N1081" s="17"/>
      <c r="W1081" s="18"/>
    </row>
    <row r="1082" spans="1:23">
      <c r="A1082" s="17"/>
      <c r="J1082" s="27"/>
      <c r="M1082" s="25"/>
      <c r="N1082" s="17"/>
      <c r="W1082" s="18"/>
    </row>
    <row r="1083" spans="1:23">
      <c r="A1083" s="17"/>
      <c r="J1083" s="27"/>
      <c r="M1083" s="25"/>
      <c r="N1083" s="17"/>
      <c r="W1083" s="18"/>
    </row>
    <row r="1084" spans="1:23">
      <c r="A1084" s="17"/>
      <c r="J1084" s="27"/>
      <c r="M1084" s="25"/>
      <c r="N1084" s="17"/>
      <c r="W1084" s="18"/>
    </row>
    <row r="1085" spans="1:23">
      <c r="A1085" s="17"/>
      <c r="J1085" s="27"/>
      <c r="M1085" s="25"/>
      <c r="N1085" s="17"/>
      <c r="W1085" s="18"/>
    </row>
    <row r="1086" spans="1:23">
      <c r="A1086" s="17"/>
      <c r="J1086" s="27"/>
      <c r="M1086" s="25"/>
      <c r="N1086" s="17"/>
      <c r="W1086" s="18"/>
    </row>
    <row r="1087" spans="1:23">
      <c r="A1087" s="17"/>
      <c r="J1087" s="27"/>
      <c r="M1087" s="25"/>
      <c r="N1087" s="17"/>
      <c r="W1087" s="18"/>
    </row>
    <row r="1088" spans="1:23">
      <c r="A1088" s="17"/>
      <c r="J1088" s="27"/>
      <c r="M1088" s="25"/>
      <c r="N1088" s="17"/>
      <c r="W1088" s="18"/>
    </row>
    <row r="1089" spans="1:23">
      <c r="A1089" s="17"/>
      <c r="J1089" s="27"/>
      <c r="M1089" s="25"/>
      <c r="N1089" s="17"/>
      <c r="W1089" s="18"/>
    </row>
    <row r="1090" spans="1:23">
      <c r="A1090" s="17"/>
      <c r="J1090" s="27"/>
      <c r="M1090" s="25"/>
      <c r="N1090" s="17"/>
      <c r="W1090" s="18"/>
    </row>
    <row r="1091" spans="1:23">
      <c r="A1091" s="17"/>
      <c r="J1091" s="27"/>
      <c r="M1091" s="25"/>
      <c r="N1091" s="17"/>
      <c r="W1091" s="18"/>
    </row>
    <row r="1092" spans="1:23">
      <c r="A1092" s="17"/>
      <c r="J1092" s="27"/>
      <c r="M1092" s="25"/>
      <c r="N1092" s="17"/>
      <c r="W1092" s="18"/>
    </row>
    <row r="1093" spans="1:23">
      <c r="A1093" s="17"/>
      <c r="J1093" s="27"/>
      <c r="M1093" s="25"/>
      <c r="N1093" s="17"/>
      <c r="W1093" s="18"/>
    </row>
    <row r="1094" spans="1:23">
      <c r="A1094" s="17"/>
      <c r="J1094" s="27"/>
      <c r="M1094" s="25"/>
      <c r="N1094" s="17"/>
      <c r="W1094" s="18"/>
    </row>
    <row r="1095" spans="1:23">
      <c r="A1095" s="17"/>
      <c r="J1095" s="27"/>
      <c r="M1095" s="25"/>
      <c r="N1095" s="17"/>
      <c r="W1095" s="18"/>
    </row>
    <row r="1096" spans="1:23">
      <c r="A1096" s="17"/>
      <c r="J1096" s="27"/>
      <c r="M1096" s="25"/>
      <c r="N1096" s="17"/>
      <c r="W1096" s="18"/>
    </row>
    <row r="1097" spans="1:23">
      <c r="A1097" s="17"/>
      <c r="J1097" s="27"/>
      <c r="M1097" s="25"/>
      <c r="N1097" s="17"/>
      <c r="W1097" s="18"/>
    </row>
    <row r="1098" spans="1:23">
      <c r="A1098" s="17"/>
      <c r="J1098" s="27"/>
      <c r="M1098" s="25"/>
      <c r="N1098" s="17"/>
      <c r="W1098" s="18"/>
    </row>
    <row r="1099" spans="1:23">
      <c r="A1099" s="17"/>
      <c r="J1099" s="27"/>
      <c r="M1099" s="25"/>
      <c r="N1099" s="17"/>
      <c r="W1099" s="18"/>
    </row>
    <row r="1100" spans="1:23">
      <c r="A1100" s="17"/>
      <c r="J1100" s="27"/>
      <c r="M1100" s="25"/>
      <c r="N1100" s="17"/>
      <c r="W1100" s="18"/>
    </row>
    <row r="1101" spans="1:23">
      <c r="A1101" s="17"/>
      <c r="J1101" s="27"/>
      <c r="M1101" s="25"/>
      <c r="N1101" s="17"/>
      <c r="W1101" s="18"/>
    </row>
    <row r="1102" spans="1:23" ht="15.75" thickBot="1">
      <c r="A1102" s="19"/>
      <c r="B1102" s="11"/>
      <c r="C1102" s="20"/>
      <c r="D1102" s="11"/>
      <c r="E1102" s="11"/>
      <c r="F1102" s="11"/>
      <c r="G1102" s="11"/>
      <c r="H1102" s="11"/>
      <c r="I1102" s="11"/>
      <c r="J1102" s="28"/>
      <c r="K1102" s="11"/>
      <c r="L1102" s="11"/>
      <c r="M1102" s="26"/>
      <c r="N1102" s="19"/>
      <c r="O1102" s="11"/>
      <c r="P1102" s="11"/>
      <c r="Q1102" s="11"/>
      <c r="R1102" s="11"/>
      <c r="S1102" s="11"/>
      <c r="T1102" s="11"/>
      <c r="U1102" s="21"/>
      <c r="V1102" s="11"/>
      <c r="W1102" s="12"/>
    </row>
  </sheetData>
  <autoFilter ref="A2:W350" xr:uid="{0E492236-855E-4A64-B24D-314C19660225}">
    <sortState xmlns:xlrd2="http://schemas.microsoft.com/office/spreadsheetml/2017/richdata2" ref="A3:W307">
      <sortCondition ref="C2:C307"/>
    </sortState>
  </autoFilter>
  <mergeCells count="4">
    <mergeCell ref="T1:W1"/>
    <mergeCell ref="A1:M1"/>
    <mergeCell ref="Q1:S1"/>
    <mergeCell ref="N1:P1"/>
  </mergeCells>
  <conditionalFormatting sqref="A3:L301 A302:H302 J302:L302 A303:L356 A357:H358 K357:L360 I359:J360 D359:H362 A359:C368 D361:L368 A369:L1101">
    <cfRule type="expression" dxfId="2" priority="1">
      <formula>$A3&lt;&gt;""</formula>
    </cfRule>
  </conditionalFormatting>
  <conditionalFormatting sqref="I357:J357">
    <cfRule type="expression" dxfId="1" priority="20">
      <formula>$A358&lt;&gt;""</formula>
    </cfRule>
  </conditionalFormatting>
  <conditionalFormatting sqref="I358:J358">
    <cfRule type="expression" dxfId="0" priority="18">
      <formula>$A357&lt;&gt;""</formula>
    </cfRule>
  </conditionalFormatting>
  <dataValidations count="4">
    <dataValidation type="list" allowBlank="1" showInputMessage="1" showErrorMessage="1" sqref="H1103:H1048576" xr:uid="{2E872915-EF82-4FCB-9A0D-B6F58EFC4FC9}">
      <formula1>"Cash Deposit, Buy, Sell, Transfer Send, Transfer Deposit, Interest, Dividend, DRIP, Cash Withdrawal"</formula1>
    </dataValidation>
    <dataValidation type="date" operator="greaterThan" showInputMessage="1" showErrorMessage="1" sqref="C1:C1048576" xr:uid="{FB39ADC8-B95B-4A3C-94C6-2888A778ECFA}">
      <formula1>43831</formula1>
    </dataValidation>
    <dataValidation type="list" allowBlank="1" showInputMessage="1" showErrorMessage="1" sqref="F3:F1048576" xr:uid="{C388D903-A149-4722-B60E-010A79C73DCC}">
      <formula1>"Cash,Stable Coin, Stocks, Crypto, Managed Fund, Commodity, Defi Protocal, ETF"</formula1>
    </dataValidation>
    <dataValidation type="list" allowBlank="1" showInputMessage="1" showErrorMessage="1" sqref="H3:H1102" xr:uid="{CB69C0A9-C553-4815-A323-27EC4E4A634F}">
      <formula1>"Cash Deposit, Crypto Deposit, Buy, Sell, Transfer Send, Transfer Deposit, Stake, Unstake, Interest, Dividend, DRIP, Airdrop/Rewards, Cash Withdrawal, Crypto Withdrawal"</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34C8-0D3C-479C-97DE-CEB2E9F5F487}">
  <sheetPr codeName="Sheet3"/>
  <dimension ref="A1:AW100"/>
  <sheetViews>
    <sheetView workbookViewId="0">
      <pane ySplit="2" topLeftCell="A5" activePane="bottomLeft" state="frozen"/>
      <selection pane="bottomLeft" activeCell="J14" sqref="J14"/>
    </sheetView>
  </sheetViews>
  <sheetFormatPr defaultRowHeight="15"/>
  <cols>
    <col min="1" max="1" width="12.7109375" style="1" customWidth="1"/>
    <col min="2" max="2" width="8.7109375" style="1" customWidth="1"/>
    <col min="3" max="3" width="12.5703125" style="1" bestFit="1" customWidth="1"/>
    <col min="4" max="4" width="13.7109375" style="1" customWidth="1"/>
    <col min="5" max="5" width="12.7109375" style="1" customWidth="1"/>
    <col min="6" max="6" width="15.140625" style="1" customWidth="1"/>
    <col min="7" max="7" width="9.5703125" style="1" customWidth="1"/>
    <col min="8" max="8" width="10.7109375" style="1" customWidth="1"/>
    <col min="9" max="10" width="13.7109375" style="1" customWidth="1"/>
    <col min="11" max="11" width="10.7109375" style="1" customWidth="1"/>
    <col min="12" max="12" width="12.7109375" style="1" customWidth="1"/>
    <col min="13" max="13" width="11.85546875" style="1" bestFit="1" customWidth="1"/>
    <col min="14" max="14" width="12.7109375" style="1" customWidth="1"/>
    <col min="15" max="15" width="4" style="1" bestFit="1" customWidth="1"/>
    <col min="16" max="16" width="6.7109375" style="1" customWidth="1"/>
    <col min="17" max="18" width="9.7109375" style="1" customWidth="1"/>
    <col min="19" max="19" width="7.7109375" style="1" customWidth="1"/>
    <col min="20" max="20" width="8.7109375" style="1" customWidth="1"/>
    <col min="21" max="22" width="10.7109375" style="1" customWidth="1"/>
    <col min="23" max="23" width="8.7109375" style="1" customWidth="1"/>
    <col min="24" max="24" width="12.7109375" style="1" customWidth="1"/>
    <col min="25" max="25" width="9.5703125" style="1" customWidth="1"/>
    <col min="26" max="26" width="20.5703125" style="1" customWidth="1"/>
    <col min="27" max="27" width="15.7109375" style="1" customWidth="1"/>
    <col min="28" max="28" width="12.5703125" style="1" bestFit="1" customWidth="1"/>
    <col min="29" max="29" width="13.5703125" style="1" bestFit="1" customWidth="1"/>
    <col min="30" max="30" width="13.140625" style="1" bestFit="1" customWidth="1"/>
    <col min="31" max="31" width="13.42578125" style="1" bestFit="1" customWidth="1"/>
    <col min="32" max="32" width="9.140625" style="1"/>
    <col min="33" max="33" width="12.7109375" style="1" bestFit="1" customWidth="1"/>
    <col min="34" max="35" width="11.5703125" style="1" bestFit="1" customWidth="1"/>
    <col min="36" max="37" width="11.7109375" style="1" customWidth="1"/>
    <col min="38" max="38" width="12.7109375" style="1" customWidth="1"/>
    <col min="39" max="39" width="14.7109375" style="33" customWidth="1"/>
    <col min="40" max="40" width="6.7109375" style="1" customWidth="1"/>
    <col min="41" max="41" width="9.7109375" style="1" customWidth="1"/>
    <col min="42" max="44" width="9.140625" style="1"/>
    <col min="45" max="45" width="8.7109375" style="1" customWidth="1"/>
    <col min="46" max="47" width="10.7109375" style="1" customWidth="1"/>
    <col min="48" max="48" width="9.140625" style="1"/>
    <col min="49" max="49" width="15.140625" style="1" bestFit="1" customWidth="1"/>
    <col min="50" max="16384" width="9.140625" style="1"/>
  </cols>
  <sheetData>
    <row r="1" spans="1:49" ht="31.5" customHeight="1">
      <c r="A1" s="146" t="str">
        <f>"Investment Portfolio in "&amp;Dashboard!L1</f>
        <v>Investment Portfolio in USD</v>
      </c>
      <c r="B1" s="147"/>
      <c r="C1" s="147"/>
      <c r="D1" s="147"/>
      <c r="E1" s="147"/>
      <c r="F1" s="147"/>
      <c r="G1" s="147"/>
      <c r="H1" s="147"/>
      <c r="I1" s="147"/>
      <c r="J1" s="147"/>
      <c r="K1" s="147"/>
      <c r="L1" s="147"/>
      <c r="M1" s="147"/>
      <c r="N1" s="147"/>
      <c r="O1" s="147"/>
      <c r="P1" s="147"/>
      <c r="Q1" s="147"/>
      <c r="R1" s="147"/>
      <c r="S1" s="147"/>
      <c r="T1" s="147"/>
      <c r="U1" s="147"/>
      <c r="V1" s="147"/>
      <c r="W1" s="147"/>
      <c r="X1" s="147"/>
      <c r="Y1" s="148" t="s">
        <v>392</v>
      </c>
      <c r="Z1" s="149"/>
      <c r="AA1" s="149"/>
      <c r="AB1" s="149"/>
      <c r="AC1" s="149"/>
      <c r="AD1" s="149"/>
      <c r="AE1" s="149"/>
      <c r="AF1" s="149"/>
      <c r="AG1" s="149"/>
      <c r="AH1" s="149"/>
      <c r="AI1" s="149"/>
      <c r="AJ1" s="149"/>
      <c r="AK1" s="149"/>
      <c r="AL1" s="149"/>
      <c r="AM1" s="149"/>
      <c r="AN1" s="149"/>
      <c r="AO1" s="149"/>
      <c r="AP1" s="149"/>
      <c r="AQ1" s="149"/>
      <c r="AR1" s="149"/>
      <c r="AS1" s="149"/>
      <c r="AT1" s="149"/>
      <c r="AU1" s="149"/>
      <c r="AV1" s="149"/>
      <c r="AW1" s="150"/>
    </row>
    <row r="2" spans="1:49" s="35" customFormat="1" ht="45" customHeight="1" thickBot="1">
      <c r="A2" s="44" t="s">
        <v>324</v>
      </c>
      <c r="B2" s="45" t="s">
        <v>377</v>
      </c>
      <c r="C2" s="45" t="s">
        <v>328</v>
      </c>
      <c r="D2" s="45" t="s">
        <v>378</v>
      </c>
      <c r="E2" s="45" t="s">
        <v>282</v>
      </c>
      <c r="F2" s="95">
        <v>12</v>
      </c>
      <c r="G2" s="45" t="s">
        <v>379</v>
      </c>
      <c r="H2" s="47" t="s">
        <v>380</v>
      </c>
      <c r="I2" s="45" t="s">
        <v>381</v>
      </c>
      <c r="J2" s="45" t="s">
        <v>285</v>
      </c>
      <c r="K2" s="45" t="s">
        <v>382</v>
      </c>
      <c r="L2" s="45" t="s">
        <v>383</v>
      </c>
      <c r="M2" s="45" t="s">
        <v>384</v>
      </c>
      <c r="N2" s="48" t="s">
        <v>385</v>
      </c>
      <c r="O2" s="45">
        <v>365</v>
      </c>
      <c r="P2" s="45" t="s">
        <v>386</v>
      </c>
      <c r="Q2" s="45" t="s">
        <v>388</v>
      </c>
      <c r="R2" s="45" t="s">
        <v>389</v>
      </c>
      <c r="S2" s="45" t="s">
        <v>387</v>
      </c>
      <c r="T2" s="45" t="s">
        <v>325</v>
      </c>
      <c r="U2" s="45" t="s">
        <v>390</v>
      </c>
      <c r="V2" s="45" t="s">
        <v>391</v>
      </c>
      <c r="W2" s="45" t="s">
        <v>387</v>
      </c>
      <c r="X2" s="45" t="s">
        <v>326</v>
      </c>
      <c r="Y2" s="44" t="s">
        <v>321</v>
      </c>
      <c r="Z2" s="45" t="s">
        <v>324</v>
      </c>
      <c r="AA2" s="45" t="s">
        <v>377</v>
      </c>
      <c r="AB2" s="45" t="s">
        <v>328</v>
      </c>
      <c r="AC2" s="45" t="s">
        <v>378</v>
      </c>
      <c r="AD2" s="45" t="s">
        <v>282</v>
      </c>
      <c r="AE2" s="46">
        <v>30</v>
      </c>
      <c r="AF2" s="45" t="s">
        <v>379</v>
      </c>
      <c r="AG2" s="47" t="s">
        <v>380</v>
      </c>
      <c r="AH2" s="45" t="s">
        <v>381</v>
      </c>
      <c r="AI2" s="45" t="s">
        <v>285</v>
      </c>
      <c r="AJ2" s="45" t="s">
        <v>382</v>
      </c>
      <c r="AK2" s="45" t="s">
        <v>383</v>
      </c>
      <c r="AL2" s="45" t="s">
        <v>384</v>
      </c>
      <c r="AM2" s="48" t="s">
        <v>385</v>
      </c>
      <c r="AN2" s="45">
        <v>365</v>
      </c>
      <c r="AO2" s="45" t="s">
        <v>386</v>
      </c>
      <c r="AP2" s="45" t="s">
        <v>388</v>
      </c>
      <c r="AQ2" s="45" t="s">
        <v>389</v>
      </c>
      <c r="AR2" s="45" t="s">
        <v>387</v>
      </c>
      <c r="AS2" s="45" t="s">
        <v>325</v>
      </c>
      <c r="AT2" s="45" t="s">
        <v>390</v>
      </c>
      <c r="AU2" s="45" t="s">
        <v>391</v>
      </c>
      <c r="AV2" s="45" t="s">
        <v>387</v>
      </c>
      <c r="AW2" s="49" t="s">
        <v>326</v>
      </c>
    </row>
    <row r="3" spans="1:49" ht="18" customHeight="1">
      <c r="A3" s="17" t="str">
        <f>Z3</f>
        <v>Cardano</v>
      </c>
      <c r="B3" s="117" t="str">
        <f>AA3</f>
        <v>ADA</v>
      </c>
      <c r="C3" s="118">
        <f>AB3</f>
        <v>4121.2099699999999</v>
      </c>
      <c r="D3" s="2" cm="1">
        <f t="array" ref="D3">IF($A3="", "",
    IFERROR(
        _xlfn.SWITCH(
            TRUE,
            AND(Y3="USD", Transactions!$Q$2="USD"), AC3,
            AND(Y3="USD", Transactions!$Q$2="GBP"), AC3*Transactions!$Z$3,
            AND(Y3="USD", Transactions!$Q$2="HKD"), AC3*Transactions!$Z$4,
            AND(Y3="USD", Transactions!$Q$2="EUR"), AC3*Transactions!$Z$5,
            AND(Y3="GBP", Transactions!$Q$2="GBP"), AC3,
            AND(Y3="GBP", Transactions!$Q$2="USD"), AC3*Transactions!$Z$6,
            AND(Y3="GBP", Transactions!$Q$2="HKD"), AC3*Transactions!$Z$7,
            AND(Y3="HKG", Transactions!$Q$2="HKG"), AC3,
            AND(Y3="HKD", Transactions!$Q$2="USD"), AC3*Transactions!$Z$9,
            AND(Y3="HKD", Transactions!$Q$2="GBP"), AC3*Transactions!$Z$10,
            AND(Y3="HKD", Transactions!$Q$2="EUR"), AC3*Transactions!$Z$11,
            AND(Y3="EUR", Transactions!$Q$2="EUR"), AC3,
            AND(Y3="EUR", Transactions!$Q$2="USD"), AC3*Transactions!$Z$12,
            AND(Y3="EUR", Transactions!$Q$2="GBP"), AC3*Transactions!$Z$13,
            AND(Y3="EUR", Transactions!$Q$2="HKD"), AC3*Transactions!$Z$14,
        ),
        0
    )
)</f>
        <v>0.39379549083741522</v>
      </c>
      <c r="E3" s="2" cm="1">
        <f t="array" ref="E3">IF($A3="", "",
    IFERROR(
        _xlfn.SWITCH(
            TRUE,
            AND(Y3="USD", Transactions!$Q$2="USD"), AD3,
            AND(Y3="USD", Transactions!$Q$2="GBP"), AD3*Transactions!$Z$3,
            AND(Y3="USD", Transactions!$Q$2="HKD"), AD3*Transactions!$Z$4,
            AND(Y3="USD", Transactions!$Q$2="EUR"), AD3*Transactions!$Z$5,
            AND(Y3="GBP", Transactions!$Q$2="GBP"), AD3,
            AND(Y3="GBP", Transactions!$Q$2="USD"), AD3*Transactions!$Z$6,
            AND(Y3="GBP", Transactions!$Q$2="HKD"), AD3*Transactions!$Z$7,
            AND(Y3="HKG", Transactions!$Q$2="HKG"), AD3,
            AND(Y3="HKD", Transactions!$Q$2="USD"), AD3*Transactions!$Z$9,
            AND(Y3="HKD", Transactions!$Q$2="GBP"), AD3*Transactions!$Z$10,
            AND(Y3="HKD", Transactions!$Q$2="EUR"), AD3*Transactions!$Z$11,
            AND(Y3="EUR", Transactions!$Q$2="EUR"), AD3,
            AND(Y3="EUR", Transactions!$Q$2="USD"), AD3*Transactions!$Z$12,
            AND(Y3="EUR", Transactions!$Q$2="GBP"), AD3*Transactions!$Z$13,
            AND(Y3="EUR", Transactions!$Q$2="HKD"), AD3*Transactions!$Z$14,
        ),
        0
    )
)</f>
        <v>0.66330599999999995</v>
      </c>
      <c r="G3" s="39">
        <f>AF3</f>
        <v>3.2957399999999998E-2</v>
      </c>
      <c r="H3" s="34" cm="1">
        <f t="array" ref="H3">IF($A3="", "",
    IFERROR(
        _xlfn.SWITCH(
            TRUE,
            AND(Y3="USD", Transactions!$Q$2="USD"), AG3,
            AND(Y3="USD", Transactions!$Q$2="GBP"), AG3*Transactions!$Z$3,
            AND(Y3="USD", Transactions!$Q$2="HKD"), AG3*Transactions!$Z$4,
            AND(Y3="USD", Transactions!$Q$2="EUR"), AG3*Transactions!$Z$5,
            AND(Y3="GBP", Transactions!$Q$2="GBP"), AG3,
            AND(Y3="GBP", Transactions!$Q$2="USD"), AG3*Transactions!$Z$6,
            AND(Y3="GBP", Transactions!$Q$2="HKD"), AG3*Transactions!$Z$7,
            AND(Y3="HKG", Transactions!$Q$2="HKG"), AG3,
            AND(Y3="HKD", Transactions!$Q$2="USD"), AG3*Transactions!$Z$9,
            AND(Y3="HKD", Transactions!$Q$2="GBP"), AG3*Transactions!$Z$10,
            AND(Y3="HKD", Transactions!$Q$2="EUR"), AG3*Transactions!$Z$11,
            AND(Y3="EUR", Transactions!$Q$2="EUR"), AG3,
            AND(Y3="EUR", Transactions!$Q$2="USD"), AG3*Transactions!$Z$12,
            AND(Y3="EUR", Transactions!$Q$2="GBP"), AG3*Transactions!$Z$13,
            AND(Y3="EUR", Transactions!$Q$2="HKD"), AG3*Transactions!$Z$14,
        ),
        0
    )
)</f>
        <v>2.1163330000000001E-2</v>
      </c>
      <c r="I3" s="2" cm="1">
        <f t="array" ref="I3">IF($A3="", "",
    IFERROR(
        _xlfn.SWITCH(
            TRUE,
            AND(Y3="USD", Transactions!$Q$2="USD"), AH3,
            AND(Y3="USD", Transactions!$Q$2="GBP"), AH3*Transactions!$Z$3,
            AND(Y3="USD", Transactions!$Q$2="HKD"), AH3*Transactions!$Z$4,
            AND(Y3="USD", Transactions!$Q$2="EUR"), AH3*Transactions!$Z$5,
            AND(Y3="GBP", Transactions!$Q$2="GBP"), AH3,
            AND(Y3="GBP", Transactions!$Q$2="USD"), AH3*Transactions!$Z$6,
            AND(Y3="GBP", Transactions!$Q$2="HKD"), AH3*Transactions!$Z$7,
            AND(Y3="HKG", Transactions!$Q$2="HKG"), AH3,
            AND(Y3="HKD", Transactions!$Q$2="USD"), AH3*Transactions!$Z$9,
            AND(Y3="HKD", Transactions!$Q$2="GBP"), AH3*Transactions!$Z$10,
            AND(Y3="HKD", Transactions!$Q$2="EUR"), AH3*Transactions!$Z$11,
            AND(Y3="EUR", Transactions!$Q$2="EUR"), AH3,
            AND(Y3="EUR", Transactions!$Q$2="USD"), AH3*Transactions!$Z$12,
            AND(Y3="EUR", Transactions!$Q$2="GBP"), AH3*Transactions!$Z$13,
            AND(Y3="EUR", Transactions!$Q$2="HKD"), AH3*Transactions!$Z$14,
        ),
        0
    )
)</f>
        <v>1622.9139029801993</v>
      </c>
      <c r="J3" s="2" cm="1">
        <f t="array" ref="J3">IF($A3="", "",
    IFERROR(
        _xlfn.SWITCH(
            TRUE,
            AND(Y3="USD", Transactions!$Q$2="USD"), AI3,
            AND(Y3="USD", Transactions!$Q$2="GBP"), AI3*Transactions!$Z$3,
            AND(Y3="USD", Transactions!$Q$2="HKD"), AI3*Transactions!$Z$4,
            AND(Y3="USD", Transactions!$Q$2="EUR"), AI3*Transactions!$Z$5,
            AND(Y3="GBP", Transactions!$Q$2="GBP"), AI3,
            AND(Y3="GBP", Transactions!$Q$2="USD"), AI3*Transactions!$Z$6,
            AND(Y3="GBP", Transactions!$Q$2="HKD"), AI3*Transactions!$Z$7,
            AND(Y3="HKG", Transactions!$Q$2="HKG"), AI3,
            AND(Y3="HKD", Transactions!$Q$2="USD"), AI3*Transactions!$Z$9,
            AND(Y3="HKD", Transactions!$Q$2="GBP"), AI3*Transactions!$Z$10,
            AND(Y3="HKD", Transactions!$Q$2="EUR"), AI3*Transactions!$Z$11,
            AND(Y3="EUR", Transactions!$Q$2="EUR"), AI3,
            AND(Y3="EUR", Transactions!$Q$2="USD"), AI3*Transactions!$Z$12,
            AND(Y3="EUR", Transactions!$Q$2="GBP"), AI3*Transactions!$Z$13,
            AND(Y3="EUR", Transactions!$Q$2="HKD"), AI3*Transactions!$Z$14,
        ),
        0
    )
)</f>
        <v>2733.6233003608199</v>
      </c>
      <c r="K3" s="41">
        <f>AJ3</f>
        <v>0.68439206500172067</v>
      </c>
      <c r="L3" s="2" cm="1">
        <f t="array" ref="L3">IF($A3="", "",
    IFERROR(
        _xlfn.SWITCH(
            TRUE,
            AND(Y3="USD", Transactions!$Q$2="USD"), AK3,
            AND(Y3="USD", Transactions!$Q$2="GBP"), AK3*Transactions!$Z$3,
            AND(Y3="USD", Transactions!$Q$2="HKD"), AK3*Transactions!$Z$4,
            AND(Y3="USD", Transactions!$Q$2="EUR"), AK3*Transactions!$Z$5,
            AND(Y3="GBP", Transactions!$Q$2="GBP"), AK3,
            AND(Y3="GBP", Transactions!$Q$2="USD"), AK3*Transactions!$Z$6,
            AND(Y3="GBP", Transactions!$Q$2="HKD"), AK3*Transactions!$Z$7,
            AND(Y3="HKG", Transactions!$Q$2="HKG"), AK3,
            AND(Y3="HKD", Transactions!$Q$2="USD"), AK3*Transactions!$Z$9,
            AND(Y3="HKD", Transactions!$Q$2="GBP"), AK3*Transactions!$Z$10,
            AND(Y3="HKD", Transactions!$Q$2="EUR"), AK3*Transactions!$Z$11,
            AND(Y3="EUR", Transactions!$Q$2="EUR"), AK3,
            AND(Y3="EUR", Transactions!$Q$2="USD"), AK3*Transactions!$Z$12,
            AND(Y3="EUR", Transactions!$Q$2="GBP"), AK3*Transactions!$Z$13,
            AND(Y3="EUR", Transactions!$Q$2="HKD"), AK3*Transactions!$Z$14,
        ),
        0
    )
)</f>
        <v>1110.7093973806207</v>
      </c>
      <c r="M3" s="119" cm="1">
        <f t="array" ref="M3">IF($A3="", "",
    IFERROR(
        _xlfn.SWITCH(
            TRUE,
            AND(Y3="USD", Transactions!$Q$2="USD"), AL3,
            AND(Y3="USD", Transactions!$Q$2="GBP"), AL3*Transactions!$Z$3,
            AND(Y3="USD", Transactions!$Q$2="HKD"), AL3*Transactions!$Z$4,
            AND(Y3="USD", Transactions!$Q$2="EUR"), AL3*Transactions!$Z$5,
            AND(Y3="GBP", Transactions!$Q$2="GBP"), AL3,
            AND(Y3="GBP", Transactions!$Q$2="USD"), AL3*Transactions!$Z$6,
            AND(Y3="GBP", Transactions!$Q$2="HKD"), AL3*Transactions!$Z$7,
            AND(Y3="HKG", Transactions!$Q$2="HKG"), AL3,
            AND(Y3="HKD", Transactions!$Q$2="USD"), AL3*Transactions!$Z$9,
            AND(Y3="HKD", Transactions!$Q$2="GBP"), AL3*Transactions!$Z$10,
            AND(Y3="HKD", Transactions!$Q$2="EUR"), AL3*Transactions!$Z$11,
            AND(Y3="EUR", Transactions!$Q$2="EUR"), AL3,
            AND(Y3="EUR", Transactions!$Q$2="USD"), AL3*Transactions!$Z$12,
            AND(Y3="EUR", Transactions!$Q$2="GBP"), AL3*Transactions!$Z$13,
            AND(Y3="EUR", Transactions!$Q$2="HKD"), AL3*Transactions!$Z$14,
        ),
        0
    )
)</f>
        <v>84.426903023000705</v>
      </c>
      <c r="N3" s="120" cm="1">
        <f t="array" ref="N3">IF($A3="", "",
    IFERROR(
        _xlfn.SWITCH(
            TRUE,
            AND(Y3="USD", Transactions!$Q$2="USD"), AM3,
            AND(Y3="USD", Transactions!$Q$2="GBP"), AM3*Transactions!$Z$3,
            AND(Y3="USD", Transactions!$Q$2="HKD"), AM3*Transactions!$Z$4,
            AND(Y3="USD", Transactions!$Q$2="EUR"), AM3*Transactions!$Z$5,
            AND(Y3="GBP", Transactions!$Q$2="GBP"), AM3,
            AND(Y3="GBP", Transactions!$Q$2="USD"), AM3*Transactions!$Z$6,
            AND(Y3="GBP", Transactions!$Q$2="HKD"), AM3*Transactions!$Z$7,
            AND(Y3="HKG", Transactions!$Q$2="HKG"), AM3,
            AND(Y3="HKD", Transactions!$Q$2="USD"), AM3*Transactions!$Z$9,
            AND(Y3="HKD", Transactions!$Q$2="GBP"), AM3*Transactions!$Z$10,
            AND(Y3="HKD", Transactions!$Q$2="EUR"), AM3*Transactions!$Z$11,
            AND(Y3="EUR", Transactions!$Q$2="EUR"), AM3,
            AND(Y3="EUR", Transactions!$Q$2="USD"), AM3*Transactions!$Z$12,
            AND(Y3="EUR", Transactions!$Q$2="GBP"), AM3*Transactions!$Z$13,
            AND(Y3="EUR", Transactions!$Q$2="HKD"), AM3*Transactions!$Z$14,
        ),
        0
    )
)</f>
        <v>1195.1363004036214</v>
      </c>
      <c r="O3" s="145"/>
      <c r="P3" s="145"/>
      <c r="Q3" s="41">
        <f>AP3</f>
        <v>1.704532974245232E-2</v>
      </c>
      <c r="S3" s="41">
        <f t="shared" ref="S3:X18" si="0">AR3</f>
        <v>1.704532974245232E-2</v>
      </c>
      <c r="T3" s="1" t="str">
        <f t="shared" si="0"/>
        <v>Crypto</v>
      </c>
      <c r="U3" s="41">
        <f t="shared" si="0"/>
        <v>0.81515627319794193</v>
      </c>
      <c r="V3" s="41">
        <f t="shared" si="0"/>
        <v>0</v>
      </c>
      <c r="W3" s="41">
        <f t="shared" si="0"/>
        <v>0.81515627319794193</v>
      </c>
      <c r="X3" s="1" t="str">
        <f t="shared" si="0"/>
        <v>Layer 1</v>
      </c>
      <c r="Y3" s="17" t="str">
        <f>IFERROR(IF(ISBLANK(AA3), "", IF(VLOOKUP(AA3, Transactions!D:F, 3, FALSE) = "Stablecoin", AA3, INDEX(Transactions!$B$3:$B1007, MATCH(AA3, Transactions!$D$3:$D1007, 0)))), "")</f>
        <v>USD</v>
      </c>
      <c r="Z3" s="1" t="str">
        <f>_xlfn.XLOOKUP(AA3,Transactions!$D$3:$D$1007,Transactions!$E$3:$E$1007)</f>
        <v>Cardano</v>
      </c>
      <c r="AA3" s="117" t="str" cm="1">
        <f t="array" ref="AA3:AA65">_xlfn._xlws.SORT(_xlfn.UNIQUE(_xlfn._xlws.FILTER(Transactions!D3:D1102, (Transactions!F3:F1102&lt;&gt;"Cash") * (Transactions!F3:F1102&lt;&gt;"Stable Coin") * (Transactions!D3:D1102&lt;&gt;""))))</f>
        <v>ADA</v>
      </c>
      <c r="AB3" s="118" cm="1">
        <f t="array" ref="AB3">IF(ISBLANK(AA3), "",
    SUMPRODUCT(
        (Transactions!$D$3:$D$1007=AA3) *
        (Transactions!$H$3:$H$1007={"Cash Deposit","Crypto Deposit","Buy","Transfer Deposit","DRIP","Airdrop/Rewards"}) *
        Transactions!$I$3:$I$1007
    )
    - SUMPRODUCT(
        (Transactions!$D$3:$D$1007=AA3) *
        (Transactions!$H$3:$H$1007={"Sell","Transfer Send","Cash Withdrawal","Crypto Withdrawal"}) *
        Transactions!$I$3:$I$1007
    )
)</f>
        <v>4121.2099699999999</v>
      </c>
      <c r="AC3" s="2" cm="1">
        <f t="array" ref="AC3">IF(ISBLANK(AA3), "", LOOKUP(2, 1/(Transactions!D:D=AA3), Transactions!P:P))</f>
        <v>0.39379549083741522</v>
      </c>
      <c r="AD3" s="2" cm="1">
        <f t="array" ref="AD3">IF(ISBLANK(AA3),"",IFERROR(_FV(AA3,"price"),INDEX('CoinGeko API'!E:E,MATCH(Portfolio_v2!AA3,'CoinGeko API'!C:C,0))))</f>
        <v>0.66330599999999995</v>
      </c>
      <c r="AF3" s="39" cm="1">
        <f t="array" ref="AF3">IF(ISBLANK(AA3),"",IFERROR(_FV(AA3,"Change (%)",TRUE),INDEX('CoinGeko API'!G:G,MATCH(Portfolio_v2!AA3,'CoinGeko API'!C:C,0))))</f>
        <v>3.2957399999999998E-2</v>
      </c>
      <c r="AG3" s="34" cm="1">
        <f t="array" ref="AG3">IF(ISBLANK(AA3),"",IFERROR(_FV(AA3,"change"),INDEX('CoinGeko API'!F:F,MATCH(Portfolio_v2!AA3,'CoinGeko API'!C:C,0))))</f>
        <v>2.1163330000000001E-2</v>
      </c>
      <c r="AH3" s="2">
        <f>IF(ISBLANK(AA3),"",IFERROR((AB3*AC3),""))</f>
        <v>1622.9139029801993</v>
      </c>
      <c r="AI3" s="2">
        <f>IF(ISBLANK(AA3),"",IFERROR((AB3*AD3),""))</f>
        <v>2733.6233003608199</v>
      </c>
      <c r="AJ3" s="40">
        <f>IF(ISBLANK(AA3),"",IFERROR(((AI3-AH3)/AH3), 0))</f>
        <v>0.68439206500172067</v>
      </c>
      <c r="AK3" s="2">
        <f>IF(ISBLANK(AA3),"",IFERROR((AI3-AH3),""))</f>
        <v>1110.7093973806207</v>
      </c>
      <c r="AL3" s="119">
        <f>IF(OR(ISBLANK(AA3), COUNTIFS(Transactions!$D$3:$D1007, AA3) = 0), "",
    SUMIFS(Transactions!$M$3:$M1007, Transactions!$H$3:$H1007, "Sell", Transactions!$D$3:$D1007, AA3) +
    SUMIFS(Transactions!$M$3:$M1007, Transactions!$H$3:$H1007, "Dividend", Transactions!$D$3:$D1007, AA3) -
    SUMIFS(Transactions!$M$3:$M1007, Transactions!$H$3:$H1007, "Buy", Transactions!$D$3:$D1007, AA3) -
    SUMIFS(Transactions!$M$3:$M1007, Transactions!$H$3:$H1007, "Crypto Deposit", Transactions!$D$3:$D1007, AA3) -
    SUMIFS(Transactions!$M$3:$M1007, Transactions!$H$3:$H1007, "DRIP", Transactions!$D$3:$D1007, AA3) +
    SUMIFS($AH$3:$AH999, $AA$3:$AA999, AA3) +
    SUMIFS(Transactions!$M$3:$M1007, Transactions!$L$3:$L1007, "Stablecoin", Transactions!$B$3:$B1007, AA3)
)</f>
        <v>84.426903023000705</v>
      </c>
      <c r="AM3" s="120">
        <f>IF(ISBLANK(AA3),"",AK3+AL3)</f>
        <v>1195.1363004036214</v>
      </c>
      <c r="AN3" s="145"/>
      <c r="AO3" s="145"/>
      <c r="AP3" s="41">
        <f t="shared" ref="AP3:AP63" si="1">IF(ISBLANK(AA3),"",AI3/SUM($AI$3:$AI$64))</f>
        <v>1.704532974245232E-2</v>
      </c>
      <c r="AR3" s="41">
        <f>IF(ISBLANK(AD3),"",AP3-AQ3)</f>
        <v>1.704532974245232E-2</v>
      </c>
      <c r="AS3" s="1" t="str">
        <f>_xlfn.XLOOKUP(AA3,Transactions!$D$3:$D$1007,Transactions!$F$3:$F$1007)</f>
        <v>Crypto</v>
      </c>
      <c r="AT3" s="41">
        <f>IF(ISBLANK(AD3),"",SUMIF($AS:$AS,AS3,$AP:$AP))</f>
        <v>0.81515627319794193</v>
      </c>
      <c r="AU3" s="41">
        <f>IF(ISBLANK(AD3),"",SUMIF($AS:$AS,AS3,$AQ:$AQ))</f>
        <v>0</v>
      </c>
      <c r="AV3" s="41">
        <f>IF(ISBLANK(AD3),"",AT3-AU3)</f>
        <v>0.81515627319794193</v>
      </c>
      <c r="AW3" s="18" t="s">
        <v>16</v>
      </c>
    </row>
    <row r="4" spans="1:49" ht="18" customHeight="1">
      <c r="A4" s="17" t="str">
        <f t="shared" ref="A4:A64" si="2">Z4</f>
        <v>Sleepless AI</v>
      </c>
      <c r="B4" s="1" t="str">
        <f t="shared" ref="B4:B58" si="3">AA4</f>
        <v>AI</v>
      </c>
      <c r="C4" s="118">
        <f t="shared" ref="C4:C61" si="4">AB4</f>
        <v>0</v>
      </c>
      <c r="D4" s="2" cm="1">
        <f t="array" ref="D4">IF($A4="", "",
    IFERROR(
        _xlfn.SWITCH(
            TRUE,
            AND(Y4="USD", Transactions!$Q$2="USD"), AC4,
            AND(Y4="USD", Transactions!$Q$2="GBP"), AC4*Transactions!$Z$3,
            AND(Y4="USD", Transactions!$Q$2="HKD"), AC4*Transactions!$Z$4,
            AND(Y4="USD", Transactions!$Q$2="EUR"), AC4*Transactions!$Z$5,
            AND(Y4="GBP", Transactions!$Q$2="GBP"), AC4,
            AND(Y4="GBP", Transactions!$Q$2="USD"), AC4*Transactions!$Z$6,
            AND(Y4="GBP", Transactions!$Q$2="HKD"), AC4*Transactions!$Z$7,
            AND(Y4="HKG", Transactions!$Q$2="HKG"), AC4,
            AND(Y4="HKD", Transactions!$Q$2="USD"), AC4*Transactions!$Z$9,
            AND(Y4="HKD", Transactions!$Q$2="GBP"), AC4*Transactions!$Z$10,
            AND(Y4="HKD", Transactions!$Q$2="EUR"), AC4*Transactions!$Z$11,
            AND(Y4="EUR", Transactions!$Q$2="EUR"), AC4,
            AND(Y4="EUR", Transactions!$Q$2="USD"), AC4*Transactions!$Z$12,
            AND(Y4="EUR", Transactions!$Q$2="GBP"), AC4*Transactions!$Z$13,
            AND(Y4="EUR", Transactions!$Q$2="HKD"), AC4*Transactions!$Z$14,
        ),
        0
    )
)</f>
        <v>1.38</v>
      </c>
      <c r="E4" s="2" cm="1">
        <f t="array" ref="E4">IF($A4="", "",
    IFERROR(
        _xlfn.SWITCH(
            TRUE,
            AND(Y4="USD", Transactions!$Q$2="USD"), AD4,
            AND(Y4="USD", Transactions!$Q$2="GBP"), AD4*Transactions!$Z$3,
            AND(Y4="USD", Transactions!$Q$2="HKD"), AD4*Transactions!$Z$4,
            AND(Y4="USD", Transactions!$Q$2="EUR"), AD4*Transactions!$Z$5,
            AND(Y4="GBP", Transactions!$Q$2="GBP"), AD4,
            AND(Y4="GBP", Transactions!$Q$2="USD"), AD4*Transactions!$Z$6,
            AND(Y4="GBP", Transactions!$Q$2="HKD"), AD4*Transactions!$Z$7,
            AND(Y4="HKG", Transactions!$Q$2="HKG"), AD4,
            AND(Y4="HKD", Transactions!$Q$2="USD"), AD4*Transactions!$Z$9,
            AND(Y4="HKD", Transactions!$Q$2="GBP"), AD4*Transactions!$Z$10,
            AND(Y4="HKD", Transactions!$Q$2="EUR"), AD4*Transactions!$Z$11,
            AND(Y4="EUR", Transactions!$Q$2="EUR"), AD4,
            AND(Y4="EUR", Transactions!$Q$2="USD"), AD4*Transactions!$Z$12,
            AND(Y4="EUR", Transactions!$Q$2="GBP"), AD4*Transactions!$Z$13,
            AND(Y4="EUR", Transactions!$Q$2="HKD"), AD4*Transactions!$Z$14,
        ),
        0
    )
)</f>
        <v>1.79</v>
      </c>
      <c r="G4" s="121">
        <f t="shared" ref="G4:G19" si="5">AF4</f>
        <v>4.0564200000000002E-2</v>
      </c>
      <c r="H4" s="34" cm="1">
        <f t="array" ref="H4">IF($A4="", "",
    IFERROR(
        _xlfn.SWITCH(
            TRUE,
            AND(Y4="USD", Transactions!$Q$2="USD"), AG4,
            AND(Y4="USD", Transactions!$Q$2="GBP"), AG4*Transactions!$Z$3,
            AND(Y4="USD", Transactions!$Q$2="HKD"), AG4*Transactions!$Z$4,
            AND(Y4="USD", Transactions!$Q$2="EUR"), AG4*Transactions!$Z$5,
            AND(Y4="GBP", Transactions!$Q$2="GBP"), AG4,
            AND(Y4="GBP", Transactions!$Q$2="USD"), AG4*Transactions!$Z$6,
            AND(Y4="GBP", Transactions!$Q$2="HKD"), AG4*Transactions!$Z$7,
            AND(Y4="HKG", Transactions!$Q$2="HKG"), AG4,
            AND(Y4="HKD", Transactions!$Q$2="USD"), AG4*Transactions!$Z$9,
            AND(Y4="HKD", Transactions!$Q$2="GBP"), AG4*Transactions!$Z$10,
            AND(Y4="HKD", Transactions!$Q$2="EUR"), AG4*Transactions!$Z$11,
            AND(Y4="EUR", Transactions!$Q$2="EUR"), AG4,
            AND(Y4="EUR", Transactions!$Q$2="USD"), AG4*Transactions!$Z$12,
            AND(Y4="EUR", Transactions!$Q$2="GBP"), AG4*Transactions!$Z$13,
            AND(Y4="EUR", Transactions!$Q$2="HKD"), AG4*Transactions!$Z$14,
        ),
        0
    )
)</f>
        <v>6.9855E-2</v>
      </c>
      <c r="I4" s="2" cm="1">
        <f t="array" ref="I4">IF($A4="", "",
    IFERROR(
        _xlfn.SWITCH(
            TRUE,
            AND(Y4="USD", Transactions!$Q$2="USD"), AH4,
            AND(Y4="USD", Transactions!$Q$2="GBP"), AH4*Transactions!$Z$3,
            AND(Y4="USD", Transactions!$Q$2="HKD"), AH4*Transactions!$Z$4,
            AND(Y4="USD", Transactions!$Q$2="EUR"), AH4*Transactions!$Z$5,
            AND(Y4="GBP", Transactions!$Q$2="GBP"), AH4,
            AND(Y4="GBP", Transactions!$Q$2="USD"), AH4*Transactions!$Z$6,
            AND(Y4="GBP", Transactions!$Q$2="HKD"), AH4*Transactions!$Z$7,
            AND(Y4="HKG", Transactions!$Q$2="HKG"), AH4,
            AND(Y4="HKD", Transactions!$Q$2="USD"), AH4*Transactions!$Z$9,
            AND(Y4="HKD", Transactions!$Q$2="GBP"), AH4*Transactions!$Z$10,
            AND(Y4="HKD", Transactions!$Q$2="EUR"), AH4*Transactions!$Z$11,
            AND(Y4="EUR", Transactions!$Q$2="EUR"), AH4,
            AND(Y4="EUR", Transactions!$Q$2="USD"), AH4*Transactions!$Z$12,
            AND(Y4="EUR", Transactions!$Q$2="GBP"), AH4*Transactions!$Z$13,
            AND(Y4="EUR", Transactions!$Q$2="HKD"), AH4*Transactions!$Z$14,
        ),
        0
    )
)</f>
        <v>0</v>
      </c>
      <c r="J4" s="2" cm="1">
        <f t="array" ref="J4">IF($A4="", "",
    IFERROR(
        _xlfn.SWITCH(
            TRUE,
            AND(Y4="USD", Transactions!$Q$2="USD"), AI4,
            AND(Y4="USD", Transactions!$Q$2="GBP"), AI4*Transactions!$Z$3,
            AND(Y4="USD", Transactions!$Q$2="HKD"), AI4*Transactions!$Z$4,
            AND(Y4="USD", Transactions!$Q$2="EUR"), AI4*Transactions!$Z$5,
            AND(Y4="GBP", Transactions!$Q$2="GBP"), AI4,
            AND(Y4="GBP", Transactions!$Q$2="USD"), AI4*Transactions!$Z$6,
            AND(Y4="GBP", Transactions!$Q$2="HKD"), AI4*Transactions!$Z$7,
            AND(Y4="HKG", Transactions!$Q$2="HKG"), AI4,
            AND(Y4="HKD", Transactions!$Q$2="USD"), AI4*Transactions!$Z$9,
            AND(Y4="HKD", Transactions!$Q$2="GBP"), AI4*Transactions!$Z$10,
            AND(Y4="HKD", Transactions!$Q$2="EUR"), AI4*Transactions!$Z$11,
            AND(Y4="EUR", Transactions!$Q$2="EUR"), AI4,
            AND(Y4="EUR", Transactions!$Q$2="USD"), AI4*Transactions!$Z$12,
            AND(Y4="EUR", Transactions!$Q$2="GBP"), AI4*Transactions!$Z$13,
            AND(Y4="EUR", Transactions!$Q$2="HKD"), AI4*Transactions!$Z$14,
        ),
        0
    )
)</f>
        <v>0</v>
      </c>
      <c r="K4" s="41">
        <f t="shared" ref="K4:K19" si="6">AJ4</f>
        <v>0</v>
      </c>
      <c r="L4" s="2" cm="1">
        <f t="array" ref="L4">IF($A4="", "",
    IFERROR(
        _xlfn.SWITCH(
            TRUE,
            AND(Y4="USD", Transactions!$Q$2="USD"), AK4,
            AND(Y4="USD", Transactions!$Q$2="GBP"), AK4*Transactions!$Z$3,
            AND(Y4="USD", Transactions!$Q$2="HKD"), AK4*Transactions!$Z$4,
            AND(Y4="USD", Transactions!$Q$2="EUR"), AK4*Transactions!$Z$5,
            AND(Y4="GBP", Transactions!$Q$2="GBP"), AK4,
            AND(Y4="GBP", Transactions!$Q$2="USD"), AK4*Transactions!$Z$6,
            AND(Y4="GBP", Transactions!$Q$2="HKD"), AK4*Transactions!$Z$7,
            AND(Y4="HKG", Transactions!$Q$2="HKG"), AK4,
            AND(Y4="HKD", Transactions!$Q$2="USD"), AK4*Transactions!$Z$9,
            AND(Y4="HKD", Transactions!$Q$2="GBP"), AK4*Transactions!$Z$10,
            AND(Y4="HKD", Transactions!$Q$2="EUR"), AK4*Transactions!$Z$11,
            AND(Y4="EUR", Transactions!$Q$2="EUR"), AK4,
            AND(Y4="EUR", Transactions!$Q$2="USD"), AK4*Transactions!$Z$12,
            AND(Y4="EUR", Transactions!$Q$2="GBP"), AK4*Transactions!$Z$13,
            AND(Y4="EUR", Transactions!$Q$2="HKD"), AK4*Transactions!$Z$14,
        ),
        0
    )
)</f>
        <v>0</v>
      </c>
      <c r="M4" s="119" cm="1">
        <f t="array" ref="M4">IF($A4="", "",
    IFERROR(
        _xlfn.SWITCH(
            TRUE,
            AND(Y4="USD", Transactions!$Q$2="USD"), AL4,
            AND(Y4="USD", Transactions!$Q$2="GBP"), AL4*Transactions!$Z$3,
            AND(Y4="USD", Transactions!$Q$2="HKD"), AL4*Transactions!$Z$4,
            AND(Y4="USD", Transactions!$Q$2="EUR"), AL4*Transactions!$Z$5,
            AND(Y4="GBP", Transactions!$Q$2="GBP"), AL4,
            AND(Y4="GBP", Transactions!$Q$2="USD"), AL4*Transactions!$Z$6,
            AND(Y4="GBP", Transactions!$Q$2="HKD"), AL4*Transactions!$Z$7,
            AND(Y4="HKG", Transactions!$Q$2="HKG"), AL4,
            AND(Y4="HKD", Transactions!$Q$2="USD"), AL4*Transactions!$Z$9,
            AND(Y4="HKD", Transactions!$Q$2="GBP"), AL4*Transactions!$Z$10,
            AND(Y4="HKD", Transactions!$Q$2="EUR"), AL4*Transactions!$Z$11,
            AND(Y4="EUR", Transactions!$Q$2="EUR"), AL4,
            AND(Y4="EUR", Transactions!$Q$2="USD"), AL4*Transactions!$Z$12,
            AND(Y4="EUR", Transactions!$Q$2="GBP"), AL4*Transactions!$Z$13,
            AND(Y4="EUR", Transactions!$Q$2="HKD"), AL4*Transactions!$Z$14,
        ),
        0
    )
)</f>
        <v>53.819999999999993</v>
      </c>
      <c r="N4" s="120" cm="1">
        <f t="array" ref="N4">IF($A4="", "",
    IFERROR(
        _xlfn.SWITCH(
            TRUE,
            AND(Y4="USD", Transactions!$Q$2="USD"), AM4,
            AND(Y4="USD", Transactions!$Q$2="GBP"), AM4*Transactions!$Z$3,
            AND(Y4="USD", Transactions!$Q$2="HKD"), AM4*Transactions!$Z$4,
            AND(Y4="USD", Transactions!$Q$2="EUR"), AM4*Transactions!$Z$5,
            AND(Y4="GBP", Transactions!$Q$2="GBP"), AM4,
            AND(Y4="GBP", Transactions!$Q$2="USD"), AM4*Transactions!$Z$6,
            AND(Y4="GBP", Transactions!$Q$2="HKD"), AM4*Transactions!$Z$7,
            AND(Y4="HKG", Transactions!$Q$2="HKG"), AM4,
            AND(Y4="HKD", Transactions!$Q$2="USD"), AM4*Transactions!$Z$9,
            AND(Y4="HKD", Transactions!$Q$2="GBP"), AM4*Transactions!$Z$10,
            AND(Y4="HKD", Transactions!$Q$2="EUR"), AM4*Transactions!$Z$11,
            AND(Y4="EUR", Transactions!$Q$2="EUR"), AM4,
            AND(Y4="EUR", Transactions!$Q$2="USD"), AM4*Transactions!$Z$12,
            AND(Y4="EUR", Transactions!$Q$2="GBP"), AM4*Transactions!$Z$13,
            AND(Y4="EUR", Transactions!$Q$2="HKD"), AM4*Transactions!$Z$14,
        ),
        0
    )
)</f>
        <v>53.819999999999993</v>
      </c>
      <c r="O4" s="145"/>
      <c r="P4" s="145"/>
      <c r="Q4" s="41">
        <f t="shared" ref="Q4:Q19" si="7">AP4</f>
        <v>0</v>
      </c>
      <c r="S4" s="41">
        <f t="shared" ref="S4:S19" si="8">AR4</f>
        <v>0</v>
      </c>
      <c r="T4" s="1" t="str">
        <f t="shared" ref="T4:T19" si="9">AS4</f>
        <v>Crypto</v>
      </c>
      <c r="U4" s="41">
        <f t="shared" ref="U4:U19" si="10">AT4</f>
        <v>0.81515627319794193</v>
      </c>
      <c r="V4" s="41">
        <f t="shared" ref="V4:V19" si="11">AU4</f>
        <v>0</v>
      </c>
      <c r="W4" s="41">
        <f t="shared" ref="W4:X19" si="12">AV4</f>
        <v>0.81515627319794193</v>
      </c>
      <c r="X4" s="1" t="str">
        <f t="shared" si="0"/>
        <v>Luanchpool</v>
      </c>
      <c r="Y4" s="17" t="str">
        <f>IFERROR(IF(ISBLANK(AA4), "", IF(VLOOKUP(AA4, Transactions!D:F, 3, FALSE) = "Stablecoin", AA4, INDEX(Transactions!$B$3:$B1008, MATCH(AA4, Transactions!$D$3:$D1008, 0)))), "")</f>
        <v>USD</v>
      </c>
      <c r="Z4" s="1" t="str">
        <f>_xlfn.XLOOKUP(AA4,Transactions!$D$3:$D$1007,Transactions!$E$3:$E$1007)</f>
        <v>Sleepless AI</v>
      </c>
      <c r="AA4" s="1" t="str">
        <v>AI</v>
      </c>
      <c r="AB4" s="118" cm="1">
        <f t="array" ref="AB4">IF(ISBLANK(AA4), "",
    SUMPRODUCT(
        (Transactions!$D$3:$D$1007=AA4) *
        (Transactions!$H$3:$H$1007={"Cash Deposit","Crypto Deposit","Buy","Transfer Deposit","DRIP","Airdrop/Rewards"}) *
        Transactions!$I$3:$I$1007
    )
    - SUMPRODUCT(
        (Transactions!$D$3:$D$1007=AA4) *
        (Transactions!$H$3:$H$1007={"Sell","Transfer Send","Cash Withdrawal","Crypto Withdrawal"}) *
        Transactions!$I$3:$I$1007
    )
)</f>
        <v>0</v>
      </c>
      <c r="AC4" s="2" cm="1">
        <f t="array" ref="AC4">IF(ISBLANK(AA4), "", LOOKUP(2, 1/(Transactions!D:D=AA4), Transactions!P:P))</f>
        <v>1.38</v>
      </c>
      <c r="AD4" s="2" cm="1">
        <f t="array" ref="AD4">IF(ISBLANK(AA4),"",IFERROR(_FV(AA4,"price"),INDEX('CoinGeko API'!E:E,MATCH(Portfolio_v2!AA4,'CoinGeko API'!C:C,0))))</f>
        <v>1.79</v>
      </c>
      <c r="AF4" s="39" cm="1">
        <f t="array" ref="AF4">IF(ISBLANK(AA4),"",IFERROR(_FV(AA4,"Change (%)",TRUE),INDEX('CoinGeko API'!G:G,MATCH(Portfolio_v2!AA4,'CoinGeko API'!C:C,0))))</f>
        <v>4.0564200000000002E-2</v>
      </c>
      <c r="AG4" s="34" cm="1">
        <f t="array" ref="AG4">IF(ISBLANK(AA4),"",IFERROR(_FV(AA4,"change"),INDEX('CoinGeko API'!F:F,MATCH(Portfolio_v2!AA4,'CoinGeko API'!C:C,0))))</f>
        <v>6.9855E-2</v>
      </c>
      <c r="AH4" s="2">
        <f t="shared" ref="AH4:AH63" si="13">IF(ISBLANK(AA4),"",IFERROR((AB4*AC4),""))</f>
        <v>0</v>
      </c>
      <c r="AI4" s="2">
        <f t="shared" ref="AI4:AI63" si="14">IF(ISBLANK(AA4),"",IFERROR((AB4*AD4),""))</f>
        <v>0</v>
      </c>
      <c r="AJ4" s="40">
        <f t="shared" ref="AJ4:AJ63" si="15">IF(ISBLANK(AA4),"",IFERROR(((AI4-AH4)/AH4), 0))</f>
        <v>0</v>
      </c>
      <c r="AK4" s="2">
        <f t="shared" ref="AK4:AK63" si="16">IF(ISBLANK(AA4),"",IFERROR((AI4-AH4),""))</f>
        <v>0</v>
      </c>
      <c r="AL4" s="119">
        <f>IF(OR(ISBLANK(AA4), COUNTIFS(Transactions!$D$3:$D1008, AA4) = 0), "",
    SUMIFS(Transactions!$M$3:$M1008, Transactions!$H$3:$H1008, "Sell", Transactions!$D$3:$D1008, AA4) +
    SUMIFS(Transactions!$M$3:$M1008, Transactions!$H$3:$H1008, "Dividend", Transactions!$D$3:$D1008, AA4) -
    SUMIFS(Transactions!$M$3:$M1008, Transactions!$H$3:$H1008, "Buy", Transactions!$D$3:$D1008, AA4) -
    SUMIFS(Transactions!$M$3:$M1008, Transactions!$H$3:$H1008, "Crypto Deposit", Transactions!$D$3:$D1008, AA4) -
    SUMIFS(Transactions!$M$3:$M1008, Transactions!$H$3:$H1008, "DRIP", Transactions!$D$3:$D1008, AA4) +
    SUMIFS($AH$3:$AH1000, $AA$3:$AA1000, AA4) +
    SUMIFS(Transactions!$M$3:$M1008, Transactions!$L$3:$L1008, "Stablecoin", Transactions!$B$3:$B1008, AA4)
)</f>
        <v>53.819999999999993</v>
      </c>
      <c r="AM4" s="120">
        <f t="shared" ref="AM4:AM62" si="17">IF(ISBLANK(AA4),"",AK4+AL4)</f>
        <v>53.819999999999993</v>
      </c>
      <c r="AN4" s="145"/>
      <c r="AO4" s="145"/>
      <c r="AP4" s="41">
        <f t="shared" si="1"/>
        <v>0</v>
      </c>
      <c r="AR4" s="41">
        <f t="shared" ref="AR4:AR62" si="18">IF(ISBLANK(AD4),"",AP4-AQ4)</f>
        <v>0</v>
      </c>
      <c r="AS4" s="1" t="str">
        <f>_xlfn.XLOOKUP(AA4,Transactions!$D$3:$D$1007,Transactions!$F$3:$F$1007)</f>
        <v>Crypto</v>
      </c>
      <c r="AT4" s="41">
        <f t="shared" ref="AT4:AT62" si="19">IF(ISBLANK(AD4),"",SUMIF($AS:$AS,AS4,$AP:$AP))</f>
        <v>0.81515627319794193</v>
      </c>
      <c r="AU4" s="41">
        <f t="shared" ref="AU4:AU62" si="20">IF(ISBLANK(AD4),"",SUMIF($AS:$AS,AS4,$AQ:$AQ))</f>
        <v>0</v>
      </c>
      <c r="AV4" s="41">
        <f t="shared" ref="AV4:AV62" si="21">IF(ISBLANK(AD4),"",AT4-AU4)</f>
        <v>0.81515627319794193</v>
      </c>
      <c r="AW4" s="18" t="s">
        <v>478</v>
      </c>
    </row>
    <row r="5" spans="1:49" ht="18" customHeight="1">
      <c r="A5" s="17" t="str">
        <f t="shared" si="2"/>
        <v>ALEX Lab</v>
      </c>
      <c r="B5" s="1" t="str">
        <f t="shared" si="3"/>
        <v>ALEX</v>
      </c>
      <c r="C5" s="118">
        <f t="shared" si="4"/>
        <v>846</v>
      </c>
      <c r="D5" s="2" cm="1">
        <f t="array" ref="D5">IF($A5="", "",
    IFERROR(
        _xlfn.SWITCH(
            TRUE,
            AND(Y5="USD", Transactions!$Q$2="USD"), AC5,
            AND(Y5="USD", Transactions!$Q$2="GBP"), AC5*Transactions!$Z$3,
            AND(Y5="USD", Transactions!$Q$2="HKD"), AC5*Transactions!$Z$4,
            AND(Y5="USD", Transactions!$Q$2="EUR"), AC5*Transactions!$Z$5,
            AND(Y5="GBP", Transactions!$Q$2="GBP"), AC5,
            AND(Y5="GBP", Transactions!$Q$2="USD"), AC5*Transactions!$Z$6,
            AND(Y5="GBP", Transactions!$Q$2="HKD"), AC5*Transactions!$Z$7,
            AND(Y5="HKG", Transactions!$Q$2="HKG"), AC5,
            AND(Y5="HKD", Transactions!$Q$2="USD"), AC5*Transactions!$Z$9,
            AND(Y5="HKD", Transactions!$Q$2="GBP"), AC5*Transactions!$Z$10,
            AND(Y5="HKD", Transactions!$Q$2="EUR"), AC5*Transactions!$Z$11,
            AND(Y5="EUR", Transactions!$Q$2="EUR"), AC5,
            AND(Y5="EUR", Transactions!$Q$2="USD"), AC5*Transactions!$Z$12,
            AND(Y5="EUR", Transactions!$Q$2="GBP"), AC5*Transactions!$Z$13,
            AND(Y5="EUR", Transactions!$Q$2="HKD"), AC5*Transactions!$Z$14,
        ),
        0
    )
)</f>
        <v>0.34988179669030733</v>
      </c>
      <c r="E5" s="2" cm="1">
        <f t="array" ref="E5">IF($A5="", "",
    IFERROR(
        _xlfn.SWITCH(
            TRUE,
            AND(Y5="USD", Transactions!$Q$2="USD"), AD5,
            AND(Y5="USD", Transactions!$Q$2="GBP"), AD5*Transactions!$Z$3,
            AND(Y5="USD", Transactions!$Q$2="HKD"), AD5*Transactions!$Z$4,
            AND(Y5="USD", Transactions!$Q$2="EUR"), AD5*Transactions!$Z$5,
            AND(Y5="GBP", Transactions!$Q$2="GBP"), AD5,
            AND(Y5="GBP", Transactions!$Q$2="USD"), AD5*Transactions!$Z$6,
            AND(Y5="GBP", Transactions!$Q$2="HKD"), AD5*Transactions!$Z$7,
            AND(Y5="HKG", Transactions!$Q$2="HKG"), AD5,
            AND(Y5="HKD", Transactions!$Q$2="USD"), AD5*Transactions!$Z$9,
            AND(Y5="HKD", Transactions!$Q$2="GBP"), AD5*Transactions!$Z$10,
            AND(Y5="HKD", Transactions!$Q$2="EUR"), AD5*Transactions!$Z$11,
            AND(Y5="EUR", Transactions!$Q$2="EUR"), AD5,
            AND(Y5="EUR", Transactions!$Q$2="USD"), AD5*Transactions!$Z$12,
            AND(Y5="EUR", Transactions!$Q$2="GBP"), AD5*Transactions!$Z$13,
            AND(Y5="EUR", Transactions!$Q$2="HKD"), AD5*Transactions!$Z$14,
        ),
        0
    )
)</f>
        <v>0.417099</v>
      </c>
      <c r="G5" s="121">
        <f t="shared" si="5"/>
        <v>-1.7954100000000001E-2</v>
      </c>
      <c r="H5" s="34" cm="1">
        <f t="array" ref="H5">IF($A5="", "",
    IFERROR(
        _xlfn.SWITCH(
            TRUE,
            AND(Y5="USD", Transactions!$Q$2="USD"), AG5,
            AND(Y5="USD", Transactions!$Q$2="GBP"), AG5*Transactions!$Z$3,
            AND(Y5="USD", Transactions!$Q$2="HKD"), AG5*Transactions!$Z$4,
            AND(Y5="USD", Transactions!$Q$2="EUR"), AG5*Transactions!$Z$5,
            AND(Y5="GBP", Transactions!$Q$2="GBP"), AG5,
            AND(Y5="GBP", Transactions!$Q$2="USD"), AG5*Transactions!$Z$6,
            AND(Y5="GBP", Transactions!$Q$2="HKD"), AG5*Transactions!$Z$7,
            AND(Y5="HKG", Transactions!$Q$2="HKG"), AG5,
            AND(Y5="HKD", Transactions!$Q$2="USD"), AG5*Transactions!$Z$9,
            AND(Y5="HKD", Transactions!$Q$2="GBP"), AG5*Transactions!$Z$10,
            AND(Y5="HKD", Transactions!$Q$2="EUR"), AG5*Transactions!$Z$11,
            AND(Y5="EUR", Transactions!$Q$2="EUR"), AG5,
            AND(Y5="EUR", Transactions!$Q$2="USD"), AG5*Transactions!$Z$12,
            AND(Y5="EUR", Transactions!$Q$2="GBP"), AG5*Transactions!$Z$13,
            AND(Y5="EUR", Transactions!$Q$2="HKD"), AG5*Transactions!$Z$14,
        ),
        0
    )
)</f>
        <v>-7.625531461014079E-3</v>
      </c>
      <c r="I5" s="2" cm="1">
        <f t="array" ref="I5">IF($A5="", "",
    IFERROR(
        _xlfn.SWITCH(
            TRUE,
            AND(Y5="USD", Transactions!$Q$2="USD"), AH5,
            AND(Y5="USD", Transactions!$Q$2="GBP"), AH5*Transactions!$Z$3,
            AND(Y5="USD", Transactions!$Q$2="HKD"), AH5*Transactions!$Z$4,
            AND(Y5="USD", Transactions!$Q$2="EUR"), AH5*Transactions!$Z$5,
            AND(Y5="GBP", Transactions!$Q$2="GBP"), AH5,
            AND(Y5="GBP", Transactions!$Q$2="USD"), AH5*Transactions!$Z$6,
            AND(Y5="GBP", Transactions!$Q$2="HKD"), AH5*Transactions!$Z$7,
            AND(Y5="HKG", Transactions!$Q$2="HKG"), AH5,
            AND(Y5="HKD", Transactions!$Q$2="USD"), AH5*Transactions!$Z$9,
            AND(Y5="HKD", Transactions!$Q$2="GBP"), AH5*Transactions!$Z$10,
            AND(Y5="HKD", Transactions!$Q$2="EUR"), AH5*Transactions!$Z$11,
            AND(Y5="EUR", Transactions!$Q$2="EUR"), AH5,
            AND(Y5="EUR", Transactions!$Q$2="USD"), AH5*Transactions!$Z$12,
            AND(Y5="EUR", Transactions!$Q$2="GBP"), AH5*Transactions!$Z$13,
            AND(Y5="EUR", Transactions!$Q$2="HKD"), AH5*Transactions!$Z$14,
        ),
        0
    )
)</f>
        <v>296</v>
      </c>
      <c r="J5" s="2" cm="1">
        <f t="array" ref="J5">IF($A5="", "",
    IFERROR(
        _xlfn.SWITCH(
            TRUE,
            AND(Y5="USD", Transactions!$Q$2="USD"), AI5,
            AND(Y5="USD", Transactions!$Q$2="GBP"), AI5*Transactions!$Z$3,
            AND(Y5="USD", Transactions!$Q$2="HKD"), AI5*Transactions!$Z$4,
            AND(Y5="USD", Transactions!$Q$2="EUR"), AI5*Transactions!$Z$5,
            AND(Y5="GBP", Transactions!$Q$2="GBP"), AI5,
            AND(Y5="GBP", Transactions!$Q$2="USD"), AI5*Transactions!$Z$6,
            AND(Y5="GBP", Transactions!$Q$2="HKD"), AI5*Transactions!$Z$7,
            AND(Y5="HKG", Transactions!$Q$2="HKG"), AI5,
            AND(Y5="HKD", Transactions!$Q$2="USD"), AI5*Transactions!$Z$9,
            AND(Y5="HKD", Transactions!$Q$2="GBP"), AI5*Transactions!$Z$10,
            AND(Y5="HKD", Transactions!$Q$2="EUR"), AI5*Transactions!$Z$11,
            AND(Y5="EUR", Transactions!$Q$2="EUR"), AI5,
            AND(Y5="EUR", Transactions!$Q$2="USD"), AI5*Transactions!$Z$12,
            AND(Y5="EUR", Transactions!$Q$2="GBP"), AI5*Transactions!$Z$13,
            AND(Y5="EUR", Transactions!$Q$2="HKD"), AI5*Transactions!$Z$14,
        ),
        0
    )
)</f>
        <v>352.86575399999998</v>
      </c>
      <c r="K5" s="41">
        <f t="shared" si="6"/>
        <v>0.19211403378378372</v>
      </c>
      <c r="L5" s="2" cm="1">
        <f t="array" ref="L5">IF($A5="", "",
    IFERROR(
        _xlfn.SWITCH(
            TRUE,
            AND(Y5="USD", Transactions!$Q$2="USD"), AK5,
            AND(Y5="USD", Transactions!$Q$2="GBP"), AK5*Transactions!$Z$3,
            AND(Y5="USD", Transactions!$Q$2="HKD"), AK5*Transactions!$Z$4,
            AND(Y5="USD", Transactions!$Q$2="EUR"), AK5*Transactions!$Z$5,
            AND(Y5="GBP", Transactions!$Q$2="GBP"), AK5,
            AND(Y5="GBP", Transactions!$Q$2="USD"), AK5*Transactions!$Z$6,
            AND(Y5="GBP", Transactions!$Q$2="HKD"), AK5*Transactions!$Z$7,
            AND(Y5="HKG", Transactions!$Q$2="HKG"), AK5,
            AND(Y5="HKD", Transactions!$Q$2="USD"), AK5*Transactions!$Z$9,
            AND(Y5="HKD", Transactions!$Q$2="GBP"), AK5*Transactions!$Z$10,
            AND(Y5="HKD", Transactions!$Q$2="EUR"), AK5*Transactions!$Z$11,
            AND(Y5="EUR", Transactions!$Q$2="EUR"), AK5,
            AND(Y5="EUR", Transactions!$Q$2="USD"), AK5*Transactions!$Z$12,
            AND(Y5="EUR", Transactions!$Q$2="GBP"), AK5*Transactions!$Z$13,
            AND(Y5="EUR", Transactions!$Q$2="HKD"), AK5*Transactions!$Z$14,
        ),
        0
    )
)</f>
        <v>56.865753999999981</v>
      </c>
      <c r="M5" s="119" cm="1">
        <f t="array" ref="M5">IF($A5="", "",
    IFERROR(
        _xlfn.SWITCH(
            TRUE,
            AND(Y5="USD", Transactions!$Q$2="USD"), AL5,
            AND(Y5="USD", Transactions!$Q$2="GBP"), AL5*Transactions!$Z$3,
            AND(Y5="USD", Transactions!$Q$2="HKD"), AL5*Transactions!$Z$4,
            AND(Y5="USD", Transactions!$Q$2="EUR"), AL5*Transactions!$Z$5,
            AND(Y5="GBP", Transactions!$Q$2="GBP"), AL5,
            AND(Y5="GBP", Transactions!$Q$2="USD"), AL5*Transactions!$Z$6,
            AND(Y5="GBP", Transactions!$Q$2="HKD"), AL5*Transactions!$Z$7,
            AND(Y5="HKG", Transactions!$Q$2="HKG"), AL5,
            AND(Y5="HKD", Transactions!$Q$2="USD"), AL5*Transactions!$Z$9,
            AND(Y5="HKD", Transactions!$Q$2="GBP"), AL5*Transactions!$Z$10,
            AND(Y5="HKD", Transactions!$Q$2="EUR"), AL5*Transactions!$Z$11,
            AND(Y5="EUR", Transactions!$Q$2="EUR"), AL5,
            AND(Y5="EUR", Transactions!$Q$2="USD"), AL5*Transactions!$Z$12,
            AND(Y5="EUR", Transactions!$Q$2="GBP"), AL5*Transactions!$Z$13,
            AND(Y5="EUR", Transactions!$Q$2="HKD"), AL5*Transactions!$Z$14,
        ),
        0
    )
)</f>
        <v>0</v>
      </c>
      <c r="N5" s="120" cm="1">
        <f t="array" ref="N5">IF($A5="", "",
    IFERROR(
        _xlfn.SWITCH(
            TRUE,
            AND(Y5="USD", Transactions!$Q$2="USD"), AM5,
            AND(Y5="USD", Transactions!$Q$2="GBP"), AM5*Transactions!$Z$3,
            AND(Y5="USD", Transactions!$Q$2="HKD"), AM5*Transactions!$Z$4,
            AND(Y5="USD", Transactions!$Q$2="EUR"), AM5*Transactions!$Z$5,
            AND(Y5="GBP", Transactions!$Q$2="GBP"), AM5,
            AND(Y5="GBP", Transactions!$Q$2="USD"), AM5*Transactions!$Z$6,
            AND(Y5="GBP", Transactions!$Q$2="HKD"), AM5*Transactions!$Z$7,
            AND(Y5="HKG", Transactions!$Q$2="HKG"), AM5,
            AND(Y5="HKD", Transactions!$Q$2="USD"), AM5*Transactions!$Z$9,
            AND(Y5="HKD", Transactions!$Q$2="GBP"), AM5*Transactions!$Z$10,
            AND(Y5="HKD", Transactions!$Q$2="EUR"), AM5*Transactions!$Z$11,
            AND(Y5="EUR", Transactions!$Q$2="EUR"), AM5,
            AND(Y5="EUR", Transactions!$Q$2="USD"), AM5*Transactions!$Z$12,
            AND(Y5="EUR", Transactions!$Q$2="GBP"), AM5*Transactions!$Z$13,
            AND(Y5="EUR", Transactions!$Q$2="HKD"), AM5*Transactions!$Z$14,
        ),
        0
    )
)</f>
        <v>56.865753999999981</v>
      </c>
      <c r="O5" s="145"/>
      <c r="P5" s="145"/>
      <c r="Q5" s="41">
        <f t="shared" si="7"/>
        <v>2.200271387412875E-3</v>
      </c>
      <c r="S5" s="41">
        <f t="shared" si="8"/>
        <v>2.200271387412875E-3</v>
      </c>
      <c r="T5" s="1" t="str">
        <f t="shared" si="9"/>
        <v>Crypto</v>
      </c>
      <c r="U5" s="41">
        <f t="shared" si="10"/>
        <v>0.81515627319794193</v>
      </c>
      <c r="V5" s="41">
        <f t="shared" si="11"/>
        <v>0</v>
      </c>
      <c r="W5" s="41">
        <f t="shared" si="12"/>
        <v>0.81515627319794193</v>
      </c>
      <c r="X5" s="1" t="str">
        <f t="shared" si="0"/>
        <v>Defi/Crosschain</v>
      </c>
      <c r="Y5" s="17" t="str">
        <f>IFERROR(IF(ISBLANK(AA5), "", IF(VLOOKUP(AA5, Transactions!D:F, 3, FALSE) = "Stablecoin", AA5, INDEX(Transactions!$B$3:$B1009, MATCH(AA5, Transactions!$D$3:$D1009, 0)))), "")</f>
        <v>USD</v>
      </c>
      <c r="Z5" s="1" t="str">
        <f>_xlfn.XLOOKUP(AA5,Transactions!$D$3:$D$1007,Transactions!$E$3:$E$1007)</f>
        <v>ALEX Lab</v>
      </c>
      <c r="AA5" s="1" t="str">
        <v>ALEX</v>
      </c>
      <c r="AB5" s="118" cm="1">
        <f t="array" ref="AB5">IF(ISBLANK(AA5), "",
    SUMPRODUCT(
        (Transactions!$D$3:$D$1007=AA5) *
        (Transactions!$H$3:$H$1007={"Cash Deposit","Crypto Deposit","Buy","Transfer Deposit","DRIP","Airdrop/Rewards"}) *
        Transactions!$I$3:$I$1007
    )
    - SUMPRODUCT(
        (Transactions!$D$3:$D$1007=AA5) *
        (Transactions!$H$3:$H$1007={"Sell","Transfer Send","Cash Withdrawal","Crypto Withdrawal"}) *
        Transactions!$I$3:$I$1007
    )
)</f>
        <v>846</v>
      </c>
      <c r="AC5" s="2" cm="1">
        <f t="array" ref="AC5">IF(ISBLANK(AA5), "", LOOKUP(2, 1/(Transactions!D:D=AA5), Transactions!P:P))</f>
        <v>0.34988179669030733</v>
      </c>
      <c r="AD5" s="2" cm="1">
        <f t="array" ref="AD5">IF(ISBLANK(AA5),"",IFERROR(_FV(AA5,"price"),INDEX('CoinGeko API'!E:E,MATCH(Portfolio_v2!AA5,'CoinGeko API'!C:C,0))))</f>
        <v>0.417099</v>
      </c>
      <c r="AF5" s="39" cm="1">
        <f t="array" ref="AF5">IF(ISBLANK(AA5),"",IFERROR(_FV(AA5,"Change (%)",TRUE),INDEX('CoinGeko API'!G:G,MATCH(Portfolio_v2!AA5,'CoinGeko API'!C:C,0))))</f>
        <v>-1.7954100000000001E-2</v>
      </c>
      <c r="AG5" s="34" cm="1">
        <f t="array" ref="AG5">IF(ISBLANK(AA5),"",IFERROR(_FV(AA5,"change"),INDEX('CoinGeko API'!F:F,MATCH(Portfolio_v2!AA5,'CoinGeko API'!C:C,0))))</f>
        <v>-7.625531461014079E-3</v>
      </c>
      <c r="AH5" s="2">
        <f t="shared" si="13"/>
        <v>296</v>
      </c>
      <c r="AI5" s="2">
        <f t="shared" si="14"/>
        <v>352.86575399999998</v>
      </c>
      <c r="AJ5" s="40">
        <f t="shared" si="15"/>
        <v>0.19211403378378372</v>
      </c>
      <c r="AK5" s="2">
        <f t="shared" si="16"/>
        <v>56.865753999999981</v>
      </c>
      <c r="AL5" s="119">
        <f>IF(OR(ISBLANK(AA5), COUNTIFS(Transactions!$D$3:$D1009, AA5) = 0), "",
    SUMIFS(Transactions!$M$3:$M1009, Transactions!$H$3:$H1009, "Sell", Transactions!$D$3:$D1009, AA5) +
    SUMIFS(Transactions!$M$3:$M1009, Transactions!$H$3:$H1009, "Dividend", Transactions!$D$3:$D1009, AA5) -
    SUMIFS(Transactions!$M$3:$M1009, Transactions!$H$3:$H1009, "Buy", Transactions!$D$3:$D1009, AA5) -
    SUMIFS(Transactions!$M$3:$M1009, Transactions!$H$3:$H1009, "Crypto Deposit", Transactions!$D$3:$D1009, AA5) -
    SUMIFS(Transactions!$M$3:$M1009, Transactions!$H$3:$H1009, "DRIP", Transactions!$D$3:$D1009, AA5) +
    SUMIFS($AH$3:$AH1001, $AA$3:$AA1001, AA5) +
    SUMIFS(Transactions!$M$3:$M1009, Transactions!$L$3:$L1009, "Stablecoin", Transactions!$B$3:$B1009, AA5)
)</f>
        <v>0</v>
      </c>
      <c r="AM5" s="120">
        <f t="shared" si="17"/>
        <v>56.865753999999981</v>
      </c>
      <c r="AN5" s="145"/>
      <c r="AO5" s="145"/>
      <c r="AP5" s="41">
        <f t="shared" si="1"/>
        <v>2.200271387412875E-3</v>
      </c>
      <c r="AR5" s="41">
        <f t="shared" si="18"/>
        <v>2.200271387412875E-3</v>
      </c>
      <c r="AS5" s="1" t="str">
        <f>_xlfn.XLOOKUP(AA5,Transactions!$D$3:$D$1007,Transactions!$F$3:$F$1007)</f>
        <v>Crypto</v>
      </c>
      <c r="AT5" s="41">
        <f t="shared" si="19"/>
        <v>0.81515627319794193</v>
      </c>
      <c r="AU5" s="41">
        <f t="shared" si="20"/>
        <v>0</v>
      </c>
      <c r="AV5" s="41">
        <f t="shared" si="21"/>
        <v>0.81515627319794193</v>
      </c>
      <c r="AW5" s="18" t="s">
        <v>18</v>
      </c>
    </row>
    <row r="6" spans="1:49" ht="18" customHeight="1">
      <c r="A6" s="17" t="str">
        <f t="shared" si="2"/>
        <v>AltLayer</v>
      </c>
      <c r="B6" s="1" t="str">
        <f t="shared" si="3"/>
        <v>ALT</v>
      </c>
      <c r="C6" s="118">
        <f t="shared" si="4"/>
        <v>0</v>
      </c>
      <c r="D6" s="2" cm="1">
        <f t="array" ref="D6">IF($A6="", "",
    IFERROR(
        _xlfn.SWITCH(
            TRUE,
            AND(Y6="USD", Transactions!$Q$2="USD"), AC6,
            AND(Y6="USD", Transactions!$Q$2="GBP"), AC6*Transactions!$Z$3,
            AND(Y6="USD", Transactions!$Q$2="HKD"), AC6*Transactions!$Z$4,
            AND(Y6="USD", Transactions!$Q$2="EUR"), AC6*Transactions!$Z$5,
            AND(Y6="GBP", Transactions!$Q$2="GBP"), AC6,
            AND(Y6="GBP", Transactions!$Q$2="USD"), AC6*Transactions!$Z$6,
            AND(Y6="GBP", Transactions!$Q$2="HKD"), AC6*Transactions!$Z$7,
            AND(Y6="HKG", Transactions!$Q$2="HKG"), AC6,
            AND(Y6="HKD", Transactions!$Q$2="USD"), AC6*Transactions!$Z$9,
            AND(Y6="HKD", Transactions!$Q$2="GBP"), AC6*Transactions!$Z$10,
            AND(Y6="HKD", Transactions!$Q$2="EUR"), AC6*Transactions!$Z$11,
            AND(Y6="EUR", Transactions!$Q$2="EUR"), AC6,
            AND(Y6="EUR", Transactions!$Q$2="USD"), AC6*Transactions!$Z$12,
            AND(Y6="EUR", Transactions!$Q$2="GBP"), AC6*Transactions!$Z$13,
            AND(Y6="EUR", Transactions!$Q$2="HKD"), AC6*Transactions!$Z$14,
        ),
        0
    )
)</f>
        <v>0.27</v>
      </c>
      <c r="E6" s="2" cm="1">
        <f t="array" ref="E6">IF($A6="", "",
    IFERROR(
        _xlfn.SWITCH(
            TRUE,
            AND(Y6="USD", Transactions!$Q$2="USD"), AD6,
            AND(Y6="USD", Transactions!$Q$2="GBP"), AD6*Transactions!$Z$3,
            AND(Y6="USD", Transactions!$Q$2="HKD"), AD6*Transactions!$Z$4,
            AND(Y6="USD", Transactions!$Q$2="EUR"), AD6*Transactions!$Z$5,
            AND(Y6="GBP", Transactions!$Q$2="GBP"), AD6,
            AND(Y6="GBP", Transactions!$Q$2="USD"), AD6*Transactions!$Z$6,
            AND(Y6="GBP", Transactions!$Q$2="HKD"), AD6*Transactions!$Z$7,
            AND(Y6="HKG", Transactions!$Q$2="HKG"), AD6,
            AND(Y6="HKD", Transactions!$Q$2="USD"), AD6*Transactions!$Z$9,
            AND(Y6="HKD", Transactions!$Q$2="GBP"), AD6*Transactions!$Z$10,
            AND(Y6="HKD", Transactions!$Q$2="EUR"), AD6*Transactions!$Z$11,
            AND(Y6="EUR", Transactions!$Q$2="EUR"), AD6,
            AND(Y6="EUR", Transactions!$Q$2="USD"), AD6*Transactions!$Z$12,
            AND(Y6="EUR", Transactions!$Q$2="GBP"), AD6*Transactions!$Z$13,
            AND(Y6="EUR", Transactions!$Q$2="HKD"), AD6*Transactions!$Z$14,
        ),
        0
    )
)</f>
        <v>0.614263</v>
      </c>
      <c r="G6" s="121">
        <f t="shared" si="5"/>
        <v>0.21077110000000002</v>
      </c>
      <c r="H6" s="34" cm="1">
        <f t="array" ref="H6">IF($A6="", "",
    IFERROR(
        _xlfn.SWITCH(
            TRUE,
            AND(Y6="USD", Transactions!$Q$2="USD"), AG6,
            AND(Y6="USD", Transactions!$Q$2="GBP"), AG6*Transactions!$Z$3,
            AND(Y6="USD", Transactions!$Q$2="HKD"), AG6*Transactions!$Z$4,
            AND(Y6="USD", Transactions!$Q$2="EUR"), AG6*Transactions!$Z$5,
            AND(Y6="GBP", Transactions!$Q$2="GBP"), AG6,
            AND(Y6="GBP", Transactions!$Q$2="USD"), AG6*Transactions!$Z$6,
            AND(Y6="GBP", Transactions!$Q$2="HKD"), AG6*Transactions!$Z$7,
            AND(Y6="HKG", Transactions!$Q$2="HKG"), AG6,
            AND(Y6="HKD", Transactions!$Q$2="USD"), AG6*Transactions!$Z$9,
            AND(Y6="HKD", Transactions!$Q$2="GBP"), AG6*Transactions!$Z$10,
            AND(Y6="HKD", Transactions!$Q$2="EUR"), AG6*Transactions!$Z$11,
            AND(Y6="EUR", Transactions!$Q$2="EUR"), AG6,
            AND(Y6="EUR", Transactions!$Q$2="USD"), AG6*Transactions!$Z$12,
            AND(Y6="EUR", Transactions!$Q$2="GBP"), AG6*Transactions!$Z$13,
            AND(Y6="EUR", Transactions!$Q$2="HKD"), AG6*Transactions!$Z$14,
        ),
        0
    )
)</f>
        <v>0.106931</v>
      </c>
      <c r="I6" s="2" cm="1">
        <f t="array" ref="I6">IF($A6="", "",
    IFERROR(
        _xlfn.SWITCH(
            TRUE,
            AND(Y6="USD", Transactions!$Q$2="USD"), AH6,
            AND(Y6="USD", Transactions!$Q$2="GBP"), AH6*Transactions!$Z$3,
            AND(Y6="USD", Transactions!$Q$2="HKD"), AH6*Transactions!$Z$4,
            AND(Y6="USD", Transactions!$Q$2="EUR"), AH6*Transactions!$Z$5,
            AND(Y6="GBP", Transactions!$Q$2="GBP"), AH6,
            AND(Y6="GBP", Transactions!$Q$2="USD"), AH6*Transactions!$Z$6,
            AND(Y6="GBP", Transactions!$Q$2="HKD"), AH6*Transactions!$Z$7,
            AND(Y6="HKG", Transactions!$Q$2="HKG"), AH6,
            AND(Y6="HKD", Transactions!$Q$2="USD"), AH6*Transactions!$Z$9,
            AND(Y6="HKD", Transactions!$Q$2="GBP"), AH6*Transactions!$Z$10,
            AND(Y6="HKD", Transactions!$Q$2="EUR"), AH6*Transactions!$Z$11,
            AND(Y6="EUR", Transactions!$Q$2="EUR"), AH6,
            AND(Y6="EUR", Transactions!$Q$2="USD"), AH6*Transactions!$Z$12,
            AND(Y6="EUR", Transactions!$Q$2="GBP"), AH6*Transactions!$Z$13,
            AND(Y6="EUR", Transactions!$Q$2="HKD"), AH6*Transactions!$Z$14,
        ),
        0
    )
)</f>
        <v>0</v>
      </c>
      <c r="J6" s="2" cm="1">
        <f t="array" ref="J6">IF($A6="", "",
    IFERROR(
        _xlfn.SWITCH(
            TRUE,
            AND(Y6="USD", Transactions!$Q$2="USD"), AI6,
            AND(Y6="USD", Transactions!$Q$2="GBP"), AI6*Transactions!$Z$3,
            AND(Y6="USD", Transactions!$Q$2="HKD"), AI6*Transactions!$Z$4,
            AND(Y6="USD", Transactions!$Q$2="EUR"), AI6*Transactions!$Z$5,
            AND(Y6="GBP", Transactions!$Q$2="GBP"), AI6,
            AND(Y6="GBP", Transactions!$Q$2="USD"), AI6*Transactions!$Z$6,
            AND(Y6="GBP", Transactions!$Q$2="HKD"), AI6*Transactions!$Z$7,
            AND(Y6="HKG", Transactions!$Q$2="HKG"), AI6,
            AND(Y6="HKD", Transactions!$Q$2="USD"), AI6*Transactions!$Z$9,
            AND(Y6="HKD", Transactions!$Q$2="GBP"), AI6*Transactions!$Z$10,
            AND(Y6="HKD", Transactions!$Q$2="EUR"), AI6*Transactions!$Z$11,
            AND(Y6="EUR", Transactions!$Q$2="EUR"), AI6,
            AND(Y6="EUR", Transactions!$Q$2="USD"), AI6*Transactions!$Z$12,
            AND(Y6="EUR", Transactions!$Q$2="GBP"), AI6*Transactions!$Z$13,
            AND(Y6="EUR", Transactions!$Q$2="HKD"), AI6*Transactions!$Z$14,
        ),
        0
    )
)</f>
        <v>0</v>
      </c>
      <c r="K6" s="41">
        <f t="shared" si="6"/>
        <v>0</v>
      </c>
      <c r="L6" s="2" cm="1">
        <f t="array" ref="L6">IF($A6="", "",
    IFERROR(
        _xlfn.SWITCH(
            TRUE,
            AND(Y6="USD", Transactions!$Q$2="USD"), AK6,
            AND(Y6="USD", Transactions!$Q$2="GBP"), AK6*Transactions!$Z$3,
            AND(Y6="USD", Transactions!$Q$2="HKD"), AK6*Transactions!$Z$4,
            AND(Y6="USD", Transactions!$Q$2="EUR"), AK6*Transactions!$Z$5,
            AND(Y6="GBP", Transactions!$Q$2="GBP"), AK6,
            AND(Y6="GBP", Transactions!$Q$2="USD"), AK6*Transactions!$Z$6,
            AND(Y6="GBP", Transactions!$Q$2="HKD"), AK6*Transactions!$Z$7,
            AND(Y6="HKG", Transactions!$Q$2="HKG"), AK6,
            AND(Y6="HKD", Transactions!$Q$2="USD"), AK6*Transactions!$Z$9,
            AND(Y6="HKD", Transactions!$Q$2="GBP"), AK6*Transactions!$Z$10,
            AND(Y6="HKD", Transactions!$Q$2="EUR"), AK6*Transactions!$Z$11,
            AND(Y6="EUR", Transactions!$Q$2="EUR"), AK6,
            AND(Y6="EUR", Transactions!$Q$2="USD"), AK6*Transactions!$Z$12,
            AND(Y6="EUR", Transactions!$Q$2="GBP"), AK6*Transactions!$Z$13,
            AND(Y6="EUR", Transactions!$Q$2="HKD"), AK6*Transactions!$Z$14,
        ),
        0
    )
)</f>
        <v>0</v>
      </c>
      <c r="M6" s="119" cm="1">
        <f t="array" ref="M6">IF($A6="", "",
    IFERROR(
        _xlfn.SWITCH(
            TRUE,
            AND(Y6="USD", Transactions!$Q$2="USD"), AL6,
            AND(Y6="USD", Transactions!$Q$2="GBP"), AL6*Transactions!$Z$3,
            AND(Y6="USD", Transactions!$Q$2="HKD"), AL6*Transactions!$Z$4,
            AND(Y6="USD", Transactions!$Q$2="EUR"), AL6*Transactions!$Z$5,
            AND(Y6="GBP", Transactions!$Q$2="GBP"), AL6,
            AND(Y6="GBP", Transactions!$Q$2="USD"), AL6*Transactions!$Z$6,
            AND(Y6="GBP", Transactions!$Q$2="HKD"), AL6*Transactions!$Z$7,
            AND(Y6="HKG", Transactions!$Q$2="HKG"), AL6,
            AND(Y6="HKD", Transactions!$Q$2="USD"), AL6*Transactions!$Z$9,
            AND(Y6="HKD", Transactions!$Q$2="GBP"), AL6*Transactions!$Z$10,
            AND(Y6="HKD", Transactions!$Q$2="EUR"), AL6*Transactions!$Z$11,
            AND(Y6="EUR", Transactions!$Q$2="EUR"), AL6,
            AND(Y6="EUR", Transactions!$Q$2="USD"), AL6*Transactions!$Z$12,
            AND(Y6="EUR", Transactions!$Q$2="GBP"), AL6*Transactions!$Z$13,
            AND(Y6="EUR", Transactions!$Q$2="HKD"), AL6*Transactions!$Z$14,
        ),
        0
    )
)</f>
        <v>72.302000000000007</v>
      </c>
      <c r="N6" s="120" cm="1">
        <f t="array" ref="N6">IF($A6="", "",
    IFERROR(
        _xlfn.SWITCH(
            TRUE,
            AND(Y6="USD", Transactions!$Q$2="USD"), AM6,
            AND(Y6="USD", Transactions!$Q$2="GBP"), AM6*Transactions!$Z$3,
            AND(Y6="USD", Transactions!$Q$2="HKD"), AM6*Transactions!$Z$4,
            AND(Y6="USD", Transactions!$Q$2="EUR"), AM6*Transactions!$Z$5,
            AND(Y6="GBP", Transactions!$Q$2="GBP"), AM6,
            AND(Y6="GBP", Transactions!$Q$2="USD"), AM6*Transactions!$Z$6,
            AND(Y6="GBP", Transactions!$Q$2="HKD"), AM6*Transactions!$Z$7,
            AND(Y6="HKG", Transactions!$Q$2="HKG"), AM6,
            AND(Y6="HKD", Transactions!$Q$2="USD"), AM6*Transactions!$Z$9,
            AND(Y6="HKD", Transactions!$Q$2="GBP"), AM6*Transactions!$Z$10,
            AND(Y6="HKD", Transactions!$Q$2="EUR"), AM6*Transactions!$Z$11,
            AND(Y6="EUR", Transactions!$Q$2="EUR"), AM6,
            AND(Y6="EUR", Transactions!$Q$2="USD"), AM6*Transactions!$Z$12,
            AND(Y6="EUR", Transactions!$Q$2="GBP"), AM6*Transactions!$Z$13,
            AND(Y6="EUR", Transactions!$Q$2="HKD"), AM6*Transactions!$Z$14,
        ),
        0
    )
)</f>
        <v>72.302000000000007</v>
      </c>
      <c r="O6" s="145"/>
      <c r="P6" s="145"/>
      <c r="Q6" s="41">
        <f t="shared" si="7"/>
        <v>0</v>
      </c>
      <c r="S6" s="41">
        <f t="shared" si="8"/>
        <v>0</v>
      </c>
      <c r="T6" s="1" t="str">
        <f t="shared" si="9"/>
        <v>Crypto</v>
      </c>
      <c r="U6" s="41">
        <f t="shared" si="10"/>
        <v>0.81515627319794193</v>
      </c>
      <c r="V6" s="41">
        <f t="shared" si="11"/>
        <v>0</v>
      </c>
      <c r="W6" s="41">
        <f t="shared" si="12"/>
        <v>0.81515627319794193</v>
      </c>
      <c r="X6" s="1" t="str">
        <f t="shared" si="0"/>
        <v>Luanchpool</v>
      </c>
      <c r="Y6" s="17" t="str">
        <f>IFERROR(IF(ISBLANK(AA6), "", IF(VLOOKUP(AA6, Transactions!D:F, 3, FALSE) = "Stablecoin", AA6, INDEX(Transactions!$B$3:$B1010, MATCH(AA6, Transactions!$D$3:$D1010, 0)))), "")</f>
        <v>USD</v>
      </c>
      <c r="Z6" s="1" t="str">
        <f>_xlfn.XLOOKUP(AA6,Transactions!$D$3:$D$1007,Transactions!$E$3:$E$1007)</f>
        <v>AltLayer</v>
      </c>
      <c r="AA6" s="1" t="str">
        <v>ALT</v>
      </c>
      <c r="AB6" s="118" cm="1">
        <f t="array" ref="AB6">IF(ISBLANK(AA6), "",
    SUMPRODUCT(
        (Transactions!$D$3:$D$1007=AA6) *
        (Transactions!$H$3:$H$1007={"Cash Deposit","Crypto Deposit","Buy","Transfer Deposit","DRIP","Airdrop/Rewards"}) *
        Transactions!$I$3:$I$1007
    )
    - SUMPRODUCT(
        (Transactions!$D$3:$D$1007=AA6) *
        (Transactions!$H$3:$H$1007={"Sell","Transfer Send","Cash Withdrawal","Crypto Withdrawal"}) *
        Transactions!$I$3:$I$1007
    )
)</f>
        <v>0</v>
      </c>
      <c r="AC6" s="2" cm="1">
        <f t="array" ref="AC6">IF(ISBLANK(AA6), "", LOOKUP(2, 1/(Transactions!D:D=AA6), Transactions!P:P))</f>
        <v>0.27</v>
      </c>
      <c r="AD6" s="2" cm="1">
        <f t="array" ref="AD6">IF(ISBLANK(AA6),"",IFERROR(_FV(AA6,"price"),INDEX('CoinGeko API'!E:E,MATCH(Portfolio_v2!AA6,'CoinGeko API'!C:C,0))))</f>
        <v>0.614263</v>
      </c>
      <c r="AF6" s="39" cm="1">
        <f t="array" ref="AF6">IF(ISBLANK(AA6),"",IFERROR(_FV(AA6,"Change (%)",TRUE),INDEX('CoinGeko API'!G:G,MATCH(Portfolio_v2!AA6,'CoinGeko API'!C:C,0))))</f>
        <v>0.21077110000000002</v>
      </c>
      <c r="AG6" s="34" cm="1">
        <f t="array" ref="AG6">IF(ISBLANK(AA6),"",IFERROR(_FV(AA6,"change"),INDEX('CoinGeko API'!F:F,MATCH(Portfolio_v2!AA6,'CoinGeko API'!C:C,0))))</f>
        <v>0.106931</v>
      </c>
      <c r="AH6" s="2">
        <f t="shared" si="13"/>
        <v>0</v>
      </c>
      <c r="AI6" s="2">
        <f t="shared" si="14"/>
        <v>0</v>
      </c>
      <c r="AJ6" s="40">
        <f t="shared" si="15"/>
        <v>0</v>
      </c>
      <c r="AK6" s="2">
        <f t="shared" si="16"/>
        <v>0</v>
      </c>
      <c r="AL6" s="119">
        <f>IF(OR(ISBLANK(AA6), COUNTIFS(Transactions!$D$3:$D1010, AA6) = 0), "",
    SUMIFS(Transactions!$M$3:$M1010, Transactions!$H$3:$H1010, "Sell", Transactions!$D$3:$D1010, AA6) +
    SUMIFS(Transactions!$M$3:$M1010, Transactions!$H$3:$H1010, "Dividend", Transactions!$D$3:$D1010, AA6) -
    SUMIFS(Transactions!$M$3:$M1010, Transactions!$H$3:$H1010, "Buy", Transactions!$D$3:$D1010, AA6) -
    SUMIFS(Transactions!$M$3:$M1010, Transactions!$H$3:$H1010, "Crypto Deposit", Transactions!$D$3:$D1010, AA6) -
    SUMIFS(Transactions!$M$3:$M1010, Transactions!$H$3:$H1010, "DRIP", Transactions!$D$3:$D1010, AA6) +
    SUMIFS($AH$3:$AH1002, $AA$3:$AA1002, AA6) +
    SUMIFS(Transactions!$M$3:$M1010, Transactions!$L$3:$L1010, "Stablecoin", Transactions!$B$3:$B1010, AA6)
)</f>
        <v>72.302000000000007</v>
      </c>
      <c r="AM6" s="120">
        <f t="shared" si="17"/>
        <v>72.302000000000007</v>
      </c>
      <c r="AN6" s="145"/>
      <c r="AO6" s="145"/>
      <c r="AP6" s="41">
        <f t="shared" si="1"/>
        <v>0</v>
      </c>
      <c r="AR6" s="41">
        <f t="shared" si="18"/>
        <v>0</v>
      </c>
      <c r="AS6" s="1" t="str">
        <f>_xlfn.XLOOKUP(AA6,Transactions!$D$3:$D$1007,Transactions!$F$3:$F$1007)</f>
        <v>Crypto</v>
      </c>
      <c r="AT6" s="41">
        <f t="shared" si="19"/>
        <v>0.81515627319794193</v>
      </c>
      <c r="AU6" s="41">
        <f t="shared" si="20"/>
        <v>0</v>
      </c>
      <c r="AV6" s="41">
        <f t="shared" si="21"/>
        <v>0.81515627319794193</v>
      </c>
      <c r="AW6" s="18" t="s">
        <v>478</v>
      </c>
    </row>
    <row r="7" spans="1:49" ht="18" customHeight="1">
      <c r="A7" s="17" t="str">
        <f t="shared" si="2"/>
        <v>Arbitrum</v>
      </c>
      <c r="B7" s="1" t="str">
        <f t="shared" si="3"/>
        <v>ARB</v>
      </c>
      <c r="C7" s="118">
        <f t="shared" si="4"/>
        <v>40.487659999999998</v>
      </c>
      <c r="D7" s="2" cm="1">
        <f t="array" ref="D7">IF($A7="", "",
    IFERROR(
        _xlfn.SWITCH(
            TRUE,
            AND(Y7="USD", Transactions!$Q$2="USD"), AC7,
            AND(Y7="USD", Transactions!$Q$2="GBP"), AC7*Transactions!$Z$3,
            AND(Y7="USD", Transactions!$Q$2="HKD"), AC7*Transactions!$Z$4,
            AND(Y7="USD", Transactions!$Q$2="EUR"), AC7*Transactions!$Z$5,
            AND(Y7="GBP", Transactions!$Q$2="GBP"), AC7,
            AND(Y7="GBP", Transactions!$Q$2="USD"), AC7*Transactions!$Z$6,
            AND(Y7="GBP", Transactions!$Q$2="HKD"), AC7*Transactions!$Z$7,
            AND(Y7="HKG", Transactions!$Q$2="HKG"), AC7,
            AND(Y7="HKD", Transactions!$Q$2="USD"), AC7*Transactions!$Z$9,
            AND(Y7="HKD", Transactions!$Q$2="GBP"), AC7*Transactions!$Z$10,
            AND(Y7="HKD", Transactions!$Q$2="EUR"), AC7*Transactions!$Z$11,
            AND(Y7="EUR", Transactions!$Q$2="EUR"), AC7,
            AND(Y7="EUR", Transactions!$Q$2="USD"), AC7*Transactions!$Z$12,
            AND(Y7="EUR", Transactions!$Q$2="GBP"), AC7*Transactions!$Z$13,
            AND(Y7="EUR", Transactions!$Q$2="HKD"), AC7*Transactions!$Z$14,
        ),
        0
    )
)</f>
        <v>1.3749078114171083</v>
      </c>
      <c r="E7" s="2" cm="1">
        <f t="array" ref="E7">IF($A7="", "",
    IFERROR(
        _xlfn.SWITCH(
            TRUE,
            AND(Y7="USD", Transactions!$Q$2="USD"), AD7,
            AND(Y7="USD", Transactions!$Q$2="GBP"), AD7*Transactions!$Z$3,
            AND(Y7="USD", Transactions!$Q$2="HKD"), AD7*Transactions!$Z$4,
            AND(Y7="USD", Transactions!$Q$2="EUR"), AD7*Transactions!$Z$5,
            AND(Y7="GBP", Transactions!$Q$2="GBP"), AD7,
            AND(Y7="GBP", Transactions!$Q$2="USD"), AD7*Transactions!$Z$6,
            AND(Y7="GBP", Transactions!$Q$2="HKD"), AD7*Transactions!$Z$7,
            AND(Y7="HKG", Transactions!$Q$2="HKG"), AD7,
            AND(Y7="HKD", Transactions!$Q$2="USD"), AD7*Transactions!$Z$9,
            AND(Y7="HKD", Transactions!$Q$2="GBP"), AD7*Transactions!$Z$10,
            AND(Y7="HKD", Transactions!$Q$2="EUR"), AD7*Transactions!$Z$11,
            AND(Y7="EUR", Transactions!$Q$2="EUR"), AD7,
            AND(Y7="EUR", Transactions!$Q$2="USD"), AD7*Transactions!$Z$12,
            AND(Y7="EUR", Transactions!$Q$2="GBP"), AD7*Transactions!$Z$13,
            AND(Y7="EUR", Transactions!$Q$2="HKD"), AD7*Transactions!$Z$14,
        ),
        0
    )
)</f>
        <v>1.73</v>
      </c>
      <c r="G7" s="121">
        <f t="shared" si="5"/>
        <v>4.2282599999999997E-2</v>
      </c>
      <c r="H7" s="34" cm="1">
        <f t="array" ref="H7">IF($A7="", "",
    IFERROR(
        _xlfn.SWITCH(
            TRUE,
            AND(Y7="USD", Transactions!$Q$2="USD"), AG7,
            AND(Y7="USD", Transactions!$Q$2="GBP"), AG7*Transactions!$Z$3,
            AND(Y7="USD", Transactions!$Q$2="HKD"), AG7*Transactions!$Z$4,
            AND(Y7="USD", Transactions!$Q$2="EUR"), AG7*Transactions!$Z$5,
            AND(Y7="GBP", Transactions!$Q$2="GBP"), AG7,
            AND(Y7="GBP", Transactions!$Q$2="USD"), AG7*Transactions!$Z$6,
            AND(Y7="GBP", Transactions!$Q$2="HKD"), AG7*Transactions!$Z$7,
            AND(Y7="HKG", Transactions!$Q$2="HKG"), AG7,
            AND(Y7="HKD", Transactions!$Q$2="USD"), AG7*Transactions!$Z$9,
            AND(Y7="HKD", Transactions!$Q$2="GBP"), AG7*Transactions!$Z$10,
            AND(Y7="HKD", Transactions!$Q$2="EUR"), AG7*Transactions!$Z$11,
            AND(Y7="EUR", Transactions!$Q$2="EUR"), AG7,
            AND(Y7="EUR", Transactions!$Q$2="USD"), AG7*Transactions!$Z$12,
            AND(Y7="EUR", Transactions!$Q$2="GBP"), AG7*Transactions!$Z$13,
            AND(Y7="EUR", Transactions!$Q$2="HKD"), AG7*Transactions!$Z$14,
        ),
        0
    )
)</f>
        <v>7.0119000000000001E-2</v>
      </c>
      <c r="I7" s="2" cm="1">
        <f t="array" ref="I7">IF($A7="", "",
    IFERROR(
        _xlfn.SWITCH(
            TRUE,
            AND(Y7="USD", Transactions!$Q$2="USD"), AH7,
            AND(Y7="USD", Transactions!$Q$2="GBP"), AH7*Transactions!$Z$3,
            AND(Y7="USD", Transactions!$Q$2="HKD"), AH7*Transactions!$Z$4,
            AND(Y7="USD", Transactions!$Q$2="EUR"), AH7*Transactions!$Z$5,
            AND(Y7="GBP", Transactions!$Q$2="GBP"), AH7,
            AND(Y7="GBP", Transactions!$Q$2="USD"), AH7*Transactions!$Z$6,
            AND(Y7="GBP", Transactions!$Q$2="HKD"), AH7*Transactions!$Z$7,
            AND(Y7="HKG", Transactions!$Q$2="HKG"), AH7,
            AND(Y7="HKD", Transactions!$Q$2="USD"), AH7*Transactions!$Z$9,
            AND(Y7="HKD", Transactions!$Q$2="GBP"), AH7*Transactions!$Z$10,
            AND(Y7="HKD", Transactions!$Q$2="EUR"), AH7*Transactions!$Z$11,
            AND(Y7="EUR", Transactions!$Q$2="EUR"), AH7,
            AND(Y7="EUR", Transactions!$Q$2="USD"), AH7*Transactions!$Z$12,
            AND(Y7="EUR", Transactions!$Q$2="GBP"), AH7*Transactions!$Z$13,
            AND(Y7="EUR", Transactions!$Q$2="HKD"), AH7*Transactions!$Z$14,
        ),
        0
    )
)</f>
        <v>55.666799999999995</v>
      </c>
      <c r="J7" s="2" cm="1">
        <f t="array" ref="J7">IF($A7="", "",
    IFERROR(
        _xlfn.SWITCH(
            TRUE,
            AND(Y7="USD", Transactions!$Q$2="USD"), AI7,
            AND(Y7="USD", Transactions!$Q$2="GBP"), AI7*Transactions!$Z$3,
            AND(Y7="USD", Transactions!$Q$2="HKD"), AI7*Transactions!$Z$4,
            AND(Y7="USD", Transactions!$Q$2="EUR"), AI7*Transactions!$Z$5,
            AND(Y7="GBP", Transactions!$Q$2="GBP"), AI7,
            AND(Y7="GBP", Transactions!$Q$2="USD"), AI7*Transactions!$Z$6,
            AND(Y7="GBP", Transactions!$Q$2="HKD"), AI7*Transactions!$Z$7,
            AND(Y7="HKG", Transactions!$Q$2="HKG"), AI7,
            AND(Y7="HKD", Transactions!$Q$2="USD"), AI7*Transactions!$Z$9,
            AND(Y7="HKD", Transactions!$Q$2="GBP"), AI7*Transactions!$Z$10,
            AND(Y7="HKD", Transactions!$Q$2="EUR"), AI7*Transactions!$Z$11,
            AND(Y7="EUR", Transactions!$Q$2="EUR"), AI7,
            AND(Y7="EUR", Transactions!$Q$2="USD"), AI7*Transactions!$Z$12,
            AND(Y7="EUR", Transactions!$Q$2="GBP"), AI7*Transactions!$Z$13,
            AND(Y7="EUR", Transactions!$Q$2="HKD"), AI7*Transactions!$Z$14,
        ),
        0
    )
)</f>
        <v>70.043651799999992</v>
      </c>
      <c r="K7" s="41">
        <f t="shared" si="6"/>
        <v>0.25826618020076597</v>
      </c>
      <c r="L7" s="2" cm="1">
        <f t="array" ref="L7">IF($A7="", "",
    IFERROR(
        _xlfn.SWITCH(
            TRUE,
            AND(Y7="USD", Transactions!$Q$2="USD"), AK7,
            AND(Y7="USD", Transactions!$Q$2="GBP"), AK7*Transactions!$Z$3,
            AND(Y7="USD", Transactions!$Q$2="HKD"), AK7*Transactions!$Z$4,
            AND(Y7="USD", Transactions!$Q$2="EUR"), AK7*Transactions!$Z$5,
            AND(Y7="GBP", Transactions!$Q$2="GBP"), AK7,
            AND(Y7="GBP", Transactions!$Q$2="USD"), AK7*Transactions!$Z$6,
            AND(Y7="GBP", Transactions!$Q$2="HKD"), AK7*Transactions!$Z$7,
            AND(Y7="HKG", Transactions!$Q$2="HKG"), AK7,
            AND(Y7="HKD", Transactions!$Q$2="USD"), AK7*Transactions!$Z$9,
            AND(Y7="HKD", Transactions!$Q$2="GBP"), AK7*Transactions!$Z$10,
            AND(Y7="HKD", Transactions!$Q$2="EUR"), AK7*Transactions!$Z$11,
            AND(Y7="EUR", Transactions!$Q$2="EUR"), AK7,
            AND(Y7="EUR", Transactions!$Q$2="USD"), AK7*Transactions!$Z$12,
            AND(Y7="EUR", Transactions!$Q$2="GBP"), AK7*Transactions!$Z$13,
            AND(Y7="EUR", Transactions!$Q$2="HKD"), AK7*Transactions!$Z$14,
        ),
        0
    )
)</f>
        <v>14.376851799999997</v>
      </c>
      <c r="M7" s="119" cm="1">
        <f t="array" ref="M7">IF($A7="", "",
    IFERROR(
        _xlfn.SWITCH(
            TRUE,
            AND(Y7="USD", Transactions!$Q$2="USD"), AL7,
            AND(Y7="USD", Transactions!$Q$2="GBP"), AL7*Transactions!$Z$3,
            AND(Y7="USD", Transactions!$Q$2="HKD"), AL7*Transactions!$Z$4,
            AND(Y7="USD", Transactions!$Q$2="EUR"), AL7*Transactions!$Z$5,
            AND(Y7="GBP", Transactions!$Q$2="GBP"), AL7,
            AND(Y7="GBP", Transactions!$Q$2="USD"), AL7*Transactions!$Z$6,
            AND(Y7="GBP", Transactions!$Q$2="HKD"), AL7*Transactions!$Z$7,
            AND(Y7="HKG", Transactions!$Q$2="HKG"), AL7,
            AND(Y7="HKD", Transactions!$Q$2="USD"), AL7*Transactions!$Z$9,
            AND(Y7="HKD", Transactions!$Q$2="GBP"), AL7*Transactions!$Z$10,
            AND(Y7="HKD", Transactions!$Q$2="EUR"), AL7*Transactions!$Z$11,
            AND(Y7="EUR", Transactions!$Q$2="EUR"), AL7,
            AND(Y7="EUR", Transactions!$Q$2="USD"), AL7*Transactions!$Z$12,
            AND(Y7="EUR", Transactions!$Q$2="GBP"), AL7*Transactions!$Z$13,
            AND(Y7="EUR", Transactions!$Q$2="HKD"), AL7*Transactions!$Z$14,
        ),
        0
    )
)</f>
        <v>55.666799999999995</v>
      </c>
      <c r="N7" s="120" cm="1">
        <f t="array" ref="N7">IF($A7="", "",
    IFERROR(
        _xlfn.SWITCH(
            TRUE,
            AND(Y7="USD", Transactions!$Q$2="USD"), AM7,
            AND(Y7="USD", Transactions!$Q$2="GBP"), AM7*Transactions!$Z$3,
            AND(Y7="USD", Transactions!$Q$2="HKD"), AM7*Transactions!$Z$4,
            AND(Y7="USD", Transactions!$Q$2="EUR"), AM7*Transactions!$Z$5,
            AND(Y7="GBP", Transactions!$Q$2="GBP"), AM7,
            AND(Y7="GBP", Transactions!$Q$2="USD"), AM7*Transactions!$Z$6,
            AND(Y7="GBP", Transactions!$Q$2="HKD"), AM7*Transactions!$Z$7,
            AND(Y7="HKG", Transactions!$Q$2="HKG"), AM7,
            AND(Y7="HKD", Transactions!$Q$2="USD"), AM7*Transactions!$Z$9,
            AND(Y7="HKD", Transactions!$Q$2="GBP"), AM7*Transactions!$Z$10,
            AND(Y7="HKD", Transactions!$Q$2="EUR"), AM7*Transactions!$Z$11,
            AND(Y7="EUR", Transactions!$Q$2="EUR"), AM7,
            AND(Y7="EUR", Transactions!$Q$2="USD"), AM7*Transactions!$Z$12,
            AND(Y7="EUR", Transactions!$Q$2="GBP"), AM7*Transactions!$Z$13,
            AND(Y7="EUR", Transactions!$Q$2="HKD"), AM7*Transactions!$Z$14,
        ),
        0
    )
)</f>
        <v>70.043651799999992</v>
      </c>
      <c r="O7" s="145"/>
      <c r="P7" s="145"/>
      <c r="Q7" s="41">
        <f t="shared" si="7"/>
        <v>4.3675262101362859E-4</v>
      </c>
      <c r="S7" s="41">
        <f t="shared" si="8"/>
        <v>4.3675262101362859E-4</v>
      </c>
      <c r="T7" s="1" t="str">
        <f t="shared" si="9"/>
        <v>Crypto</v>
      </c>
      <c r="U7" s="41">
        <f t="shared" si="10"/>
        <v>0.81515627319794193</v>
      </c>
      <c r="V7" s="41">
        <f t="shared" si="11"/>
        <v>0</v>
      </c>
      <c r="W7" s="41">
        <f t="shared" si="12"/>
        <v>0.81515627319794193</v>
      </c>
      <c r="X7" s="1" t="str">
        <f t="shared" si="0"/>
        <v>Layer 2</v>
      </c>
      <c r="Y7" s="17" t="str">
        <f>IFERROR(IF(ISBLANK(AA7), "", IF(VLOOKUP(AA7, Transactions!D:F, 3, FALSE) = "Stablecoin", AA7, INDEX(Transactions!$B$3:$B1011, MATCH(AA7, Transactions!$D$3:$D1011, 0)))), "")</f>
        <v>USD</v>
      </c>
      <c r="Z7" s="1" t="str">
        <f>_xlfn.XLOOKUP(AA7,Transactions!$D$3:$D$1007,Transactions!$E$3:$E$1007)</f>
        <v>Arbitrum</v>
      </c>
      <c r="AA7" s="1" t="str">
        <v>ARB</v>
      </c>
      <c r="AB7" s="118" cm="1">
        <f t="array" ref="AB7">IF(ISBLANK(AA7), "",
    SUMPRODUCT(
        (Transactions!$D$3:$D$1007=AA7) *
        (Transactions!$H$3:$H$1007={"Cash Deposit","Crypto Deposit","Buy","Transfer Deposit","DRIP","Airdrop/Rewards"}) *
        Transactions!$I$3:$I$1007
    )
    - SUMPRODUCT(
        (Transactions!$D$3:$D$1007=AA7) *
        (Transactions!$H$3:$H$1007={"Sell","Transfer Send","Cash Withdrawal","Crypto Withdrawal"}) *
        Transactions!$I$3:$I$1007
    )
)</f>
        <v>40.487659999999998</v>
      </c>
      <c r="AC7" s="2" cm="1">
        <f t="array" ref="AC7">IF(ISBLANK(AA7), "", LOOKUP(2, 1/(Transactions!D:D=AA7), Transactions!P:P))</f>
        <v>1.3749078114171083</v>
      </c>
      <c r="AD7" s="2" cm="1">
        <f t="array" ref="AD7">IF(ISBLANK(AA7),"",IFERROR(_FV(AA7,"price"),INDEX('CoinGeko API'!E:E,MATCH(Portfolio_v2!AA7,'CoinGeko API'!C:C,0))))</f>
        <v>1.73</v>
      </c>
      <c r="AF7" s="39" cm="1">
        <f t="array" ref="AF7">IF(ISBLANK(AA7),"",IFERROR(_FV(AA7,"Change (%)",TRUE),INDEX('CoinGeko API'!G:G,MATCH(Portfolio_v2!AA7,'CoinGeko API'!C:C,0))))</f>
        <v>4.2282599999999997E-2</v>
      </c>
      <c r="AG7" s="34" cm="1">
        <f t="array" ref="AG7">IF(ISBLANK(AA7),"",IFERROR(_FV(AA7,"change"),INDEX('CoinGeko API'!F:F,MATCH(Portfolio_v2!AA7,'CoinGeko API'!C:C,0))))</f>
        <v>7.0119000000000001E-2</v>
      </c>
      <c r="AH7" s="2">
        <f t="shared" si="13"/>
        <v>55.666799999999995</v>
      </c>
      <c r="AI7" s="2">
        <f t="shared" si="14"/>
        <v>70.043651799999992</v>
      </c>
      <c r="AJ7" s="40">
        <f t="shared" si="15"/>
        <v>0.25826618020076597</v>
      </c>
      <c r="AK7" s="2">
        <f t="shared" si="16"/>
        <v>14.376851799999997</v>
      </c>
      <c r="AL7" s="119">
        <f>IF(OR(ISBLANK(AA7), COUNTIFS(Transactions!$D$3:$D1011, AA7) = 0), "",
    SUMIFS(Transactions!$M$3:$M1011, Transactions!$H$3:$H1011, "Sell", Transactions!$D$3:$D1011, AA7) +
    SUMIFS(Transactions!$M$3:$M1011, Transactions!$H$3:$H1011, "Dividend", Transactions!$D$3:$D1011, AA7) -
    SUMIFS(Transactions!$M$3:$M1011, Transactions!$H$3:$H1011, "Buy", Transactions!$D$3:$D1011, AA7) -
    SUMIFS(Transactions!$M$3:$M1011, Transactions!$H$3:$H1011, "Crypto Deposit", Transactions!$D$3:$D1011, AA7) -
    SUMIFS(Transactions!$M$3:$M1011, Transactions!$H$3:$H1011, "DRIP", Transactions!$D$3:$D1011, AA7) +
    SUMIFS($AH$3:$AH1003, $AA$3:$AA1003, AA7) +
    SUMIFS(Transactions!$M$3:$M1011, Transactions!$L$3:$L1011, "Stablecoin", Transactions!$B$3:$B1011, AA7)
)</f>
        <v>55.666799999999995</v>
      </c>
      <c r="AM7" s="120">
        <f t="shared" si="17"/>
        <v>70.043651799999992</v>
      </c>
      <c r="AN7" s="145"/>
      <c r="AO7" s="145"/>
      <c r="AP7" s="41">
        <f t="shared" si="1"/>
        <v>4.3675262101362859E-4</v>
      </c>
      <c r="AR7" s="41">
        <f t="shared" si="18"/>
        <v>4.3675262101362859E-4</v>
      </c>
      <c r="AS7" s="1" t="str">
        <f>_xlfn.XLOOKUP(AA7,Transactions!$D$3:$D$1007,Transactions!$F$3:$F$1007)</f>
        <v>Crypto</v>
      </c>
      <c r="AT7" s="41">
        <f t="shared" si="19"/>
        <v>0.81515627319794193</v>
      </c>
      <c r="AU7" s="41">
        <f t="shared" si="20"/>
        <v>0</v>
      </c>
      <c r="AV7" s="41">
        <f t="shared" si="21"/>
        <v>0.81515627319794193</v>
      </c>
      <c r="AW7" s="18" t="s">
        <v>17</v>
      </c>
    </row>
    <row r="8" spans="1:49" ht="18" customHeight="1">
      <c r="A8" s="17" t="str">
        <f t="shared" si="2"/>
        <v>Cosmos Hub</v>
      </c>
      <c r="B8" s="1" t="str">
        <f t="shared" si="3"/>
        <v>ATOM</v>
      </c>
      <c r="C8" s="118">
        <f t="shared" si="4"/>
        <v>91.408000199999989</v>
      </c>
      <c r="D8" s="2" cm="1">
        <f t="array" ref="D8">IF($A8="", "",
    IFERROR(
        _xlfn.SWITCH(
            TRUE,
            AND(Y8="USD", Transactions!$Q$2="USD"), AC8,
            AND(Y8="USD", Transactions!$Q$2="GBP"), AC8*Transactions!$Z$3,
            AND(Y8="USD", Transactions!$Q$2="HKD"), AC8*Transactions!$Z$4,
            AND(Y8="USD", Transactions!$Q$2="EUR"), AC8*Transactions!$Z$5,
            AND(Y8="GBP", Transactions!$Q$2="GBP"), AC8,
            AND(Y8="GBP", Transactions!$Q$2="USD"), AC8*Transactions!$Z$6,
            AND(Y8="GBP", Transactions!$Q$2="HKD"), AC8*Transactions!$Z$7,
            AND(Y8="HKG", Transactions!$Q$2="HKG"), AC8,
            AND(Y8="HKD", Transactions!$Q$2="USD"), AC8*Transactions!$Z$9,
            AND(Y8="HKD", Transactions!$Q$2="GBP"), AC8*Transactions!$Z$10,
            AND(Y8="HKD", Transactions!$Q$2="EUR"), AC8*Transactions!$Z$11,
            AND(Y8="EUR", Transactions!$Q$2="EUR"), AC8,
            AND(Y8="EUR", Transactions!$Q$2="USD"), AC8*Transactions!$Z$12,
            AND(Y8="EUR", Transactions!$Q$2="GBP"), AC8*Transactions!$Z$13,
            AND(Y8="EUR", Transactions!$Q$2="HKD"), AC8*Transactions!$Z$14,
        ),
        0
    )
)</f>
        <v>12.513515334229281</v>
      </c>
      <c r="E8" s="2" cm="1">
        <f t="array" ref="E8">IF($A8="", "",
    IFERROR(
        _xlfn.SWITCH(
            TRUE,
            AND(Y8="USD", Transactions!$Q$2="USD"), AD8,
            AND(Y8="USD", Transactions!$Q$2="GBP"), AD8*Transactions!$Z$3,
            AND(Y8="USD", Transactions!$Q$2="HKD"), AD8*Transactions!$Z$4,
            AND(Y8="USD", Transactions!$Q$2="EUR"), AD8*Transactions!$Z$5,
            AND(Y8="GBP", Transactions!$Q$2="GBP"), AD8,
            AND(Y8="GBP", Transactions!$Q$2="USD"), AD8*Transactions!$Z$6,
            AND(Y8="GBP", Transactions!$Q$2="HKD"), AD8*Transactions!$Z$7,
            AND(Y8="HKG", Transactions!$Q$2="HKG"), AD8,
            AND(Y8="HKD", Transactions!$Q$2="USD"), AD8*Transactions!$Z$9,
            AND(Y8="HKD", Transactions!$Q$2="GBP"), AD8*Transactions!$Z$10,
            AND(Y8="HKD", Transactions!$Q$2="EUR"), AD8*Transactions!$Z$11,
            AND(Y8="EUR", Transactions!$Q$2="EUR"), AD8,
            AND(Y8="EUR", Transactions!$Q$2="USD"), AD8*Transactions!$Z$12,
            AND(Y8="EUR", Transactions!$Q$2="GBP"), AD8*Transactions!$Z$13,
            AND(Y8="EUR", Transactions!$Q$2="HKD"), AD8*Transactions!$Z$14,
        ),
        0
    )
)</f>
        <v>12.33</v>
      </c>
      <c r="G8" s="121">
        <f t="shared" si="5"/>
        <v>5.9471100000000006E-2</v>
      </c>
      <c r="H8" s="34" cm="1">
        <f t="array" ref="H8">IF($A8="", "",
    IFERROR(
        _xlfn.SWITCH(
            TRUE,
            AND(Y8="USD", Transactions!$Q$2="USD"), AG8,
            AND(Y8="USD", Transactions!$Q$2="GBP"), AG8*Transactions!$Z$3,
            AND(Y8="USD", Transactions!$Q$2="HKD"), AG8*Transactions!$Z$4,
            AND(Y8="USD", Transactions!$Q$2="EUR"), AG8*Transactions!$Z$5,
            AND(Y8="GBP", Transactions!$Q$2="GBP"), AG8,
            AND(Y8="GBP", Transactions!$Q$2="USD"), AG8*Transactions!$Z$6,
            AND(Y8="GBP", Transactions!$Q$2="HKD"), AG8*Transactions!$Z$7,
            AND(Y8="HKG", Transactions!$Q$2="HKG"), AG8,
            AND(Y8="HKD", Transactions!$Q$2="USD"), AG8*Transactions!$Z$9,
            AND(Y8="HKD", Transactions!$Q$2="GBP"), AG8*Transactions!$Z$10,
            AND(Y8="HKD", Transactions!$Q$2="EUR"), AG8*Transactions!$Z$11,
            AND(Y8="EUR", Transactions!$Q$2="EUR"), AG8,
            AND(Y8="EUR", Transactions!$Q$2="USD"), AG8*Transactions!$Z$12,
            AND(Y8="EUR", Transactions!$Q$2="GBP"), AG8*Transactions!$Z$13,
            AND(Y8="EUR", Transactions!$Q$2="HKD"), AG8*Transactions!$Z$14,
        ),
        0
    )
)</f>
        <v>0.692021</v>
      </c>
      <c r="I8" s="2" cm="1">
        <f t="array" ref="I8">IF($A8="", "",
    IFERROR(
        _xlfn.SWITCH(
            TRUE,
            AND(Y8="USD", Transactions!$Q$2="USD"), AH8,
            AND(Y8="USD", Transactions!$Q$2="GBP"), AH8*Transactions!$Z$3,
            AND(Y8="USD", Transactions!$Q$2="HKD"), AH8*Transactions!$Z$4,
            AND(Y8="USD", Transactions!$Q$2="EUR"), AH8*Transactions!$Z$5,
            AND(Y8="GBP", Transactions!$Q$2="GBP"), AH8,
            AND(Y8="GBP", Transactions!$Q$2="USD"), AH8*Transactions!$Z$6,
            AND(Y8="GBP", Transactions!$Q$2="HKD"), AH8*Transactions!$Z$7,
            AND(Y8="HKG", Transactions!$Q$2="HKG"), AH8,
            AND(Y8="HKD", Transactions!$Q$2="USD"), AH8*Transactions!$Z$9,
            AND(Y8="HKD", Transactions!$Q$2="GBP"), AH8*Transactions!$Z$10,
            AND(Y8="HKD", Transactions!$Q$2="EUR"), AH8*Transactions!$Z$11,
            AND(Y8="EUR", Transactions!$Q$2="EUR"), AH8,
            AND(Y8="EUR", Transactions!$Q$2="USD"), AH8*Transactions!$Z$12,
            AND(Y8="EUR", Transactions!$Q$2="GBP"), AH8*Transactions!$Z$13,
            AND(Y8="EUR", Transactions!$Q$2="HKD"), AH8*Transactions!$Z$14,
        ),
        0
    )
)</f>
        <v>1143.835412173933</v>
      </c>
      <c r="J8" s="2" cm="1">
        <f t="array" ref="J8">IF($A8="", "",
    IFERROR(
        _xlfn.SWITCH(
            TRUE,
            AND(Y8="USD", Transactions!$Q$2="USD"), AI8,
            AND(Y8="USD", Transactions!$Q$2="GBP"), AI8*Transactions!$Z$3,
            AND(Y8="USD", Transactions!$Q$2="HKD"), AI8*Transactions!$Z$4,
            AND(Y8="USD", Transactions!$Q$2="EUR"), AI8*Transactions!$Z$5,
            AND(Y8="GBP", Transactions!$Q$2="GBP"), AI8,
            AND(Y8="GBP", Transactions!$Q$2="USD"), AI8*Transactions!$Z$6,
            AND(Y8="GBP", Transactions!$Q$2="HKD"), AI8*Transactions!$Z$7,
            AND(Y8="HKG", Transactions!$Q$2="HKG"), AI8,
            AND(Y8="HKD", Transactions!$Q$2="USD"), AI8*Transactions!$Z$9,
            AND(Y8="HKD", Transactions!$Q$2="GBP"), AI8*Transactions!$Z$10,
            AND(Y8="HKD", Transactions!$Q$2="EUR"), AI8*Transactions!$Z$11,
            AND(Y8="EUR", Transactions!$Q$2="EUR"), AI8,
            AND(Y8="EUR", Transactions!$Q$2="USD"), AI8*Transactions!$Z$12,
            AND(Y8="EUR", Transactions!$Q$2="GBP"), AI8*Transactions!$Z$13,
            AND(Y8="EUR", Transactions!$Q$2="HKD"), AI8*Transactions!$Z$14,
        ),
        0
    )
)</f>
        <v>1127.0606424659998</v>
      </c>
      <c r="K8" s="41">
        <f t="shared" si="6"/>
        <v>-1.4665370148010842E-2</v>
      </c>
      <c r="L8" s="2" cm="1">
        <f t="array" ref="L8">IF($A8="", "",
    IFERROR(
        _xlfn.SWITCH(
            TRUE,
            AND(Y8="USD", Transactions!$Q$2="USD"), AK8,
            AND(Y8="USD", Transactions!$Q$2="GBP"), AK8*Transactions!$Z$3,
            AND(Y8="USD", Transactions!$Q$2="HKD"), AK8*Transactions!$Z$4,
            AND(Y8="USD", Transactions!$Q$2="EUR"), AK8*Transactions!$Z$5,
            AND(Y8="GBP", Transactions!$Q$2="GBP"), AK8,
            AND(Y8="GBP", Transactions!$Q$2="USD"), AK8*Transactions!$Z$6,
            AND(Y8="GBP", Transactions!$Q$2="HKD"), AK8*Transactions!$Z$7,
            AND(Y8="HKG", Transactions!$Q$2="HKG"), AK8,
            AND(Y8="HKD", Transactions!$Q$2="USD"), AK8*Transactions!$Z$9,
            AND(Y8="HKD", Transactions!$Q$2="GBP"), AK8*Transactions!$Z$10,
            AND(Y8="HKD", Transactions!$Q$2="EUR"), AK8*Transactions!$Z$11,
            AND(Y8="EUR", Transactions!$Q$2="EUR"), AK8,
            AND(Y8="EUR", Transactions!$Q$2="USD"), AK8*Transactions!$Z$12,
            AND(Y8="EUR", Transactions!$Q$2="GBP"), AK8*Transactions!$Z$13,
            AND(Y8="EUR", Transactions!$Q$2="HKD"), AK8*Transactions!$Z$14,
        ),
        0
    )
)</f>
        <v>-16.774769707933274</v>
      </c>
      <c r="M8" s="119" cm="1">
        <f t="array" ref="M8">IF($A8="", "",
    IFERROR(
        _xlfn.SWITCH(
            TRUE,
            AND(Y8="USD", Transactions!$Q$2="USD"), AL8,
            AND(Y8="USD", Transactions!$Q$2="GBP"), AL8*Transactions!$Z$3,
            AND(Y8="USD", Transactions!$Q$2="HKD"), AL8*Transactions!$Z$4,
            AND(Y8="USD", Transactions!$Q$2="EUR"), AL8*Transactions!$Z$5,
            AND(Y8="GBP", Transactions!$Q$2="GBP"), AL8,
            AND(Y8="GBP", Transactions!$Q$2="USD"), AL8*Transactions!$Z$6,
            AND(Y8="GBP", Transactions!$Q$2="HKD"), AL8*Transactions!$Z$7,
            AND(Y8="HKG", Transactions!$Q$2="HKG"), AL8,
            AND(Y8="HKD", Transactions!$Q$2="USD"), AL8*Transactions!$Z$9,
            AND(Y8="HKD", Transactions!$Q$2="GBP"), AL8*Transactions!$Z$10,
            AND(Y8="HKD", Transactions!$Q$2="EUR"), AL8*Transactions!$Z$11,
            AND(Y8="EUR", Transactions!$Q$2="EUR"), AL8,
            AND(Y8="EUR", Transactions!$Q$2="USD"), AL8*Transactions!$Z$12,
            AND(Y8="EUR", Transactions!$Q$2="GBP"), AL8*Transactions!$Z$13,
            AND(Y8="EUR", Transactions!$Q$2="HKD"), AL8*Transactions!$Z$14,
        ),
        0
    )
)</f>
        <v>-24.393613704067093</v>
      </c>
      <c r="N8" s="120" cm="1">
        <f t="array" ref="N8">IF($A8="", "",
    IFERROR(
        _xlfn.SWITCH(
            TRUE,
            AND(Y8="USD", Transactions!$Q$2="USD"), AM8,
            AND(Y8="USD", Transactions!$Q$2="GBP"), AM8*Transactions!$Z$3,
            AND(Y8="USD", Transactions!$Q$2="HKD"), AM8*Transactions!$Z$4,
            AND(Y8="USD", Transactions!$Q$2="EUR"), AM8*Transactions!$Z$5,
            AND(Y8="GBP", Transactions!$Q$2="GBP"), AM8,
            AND(Y8="GBP", Transactions!$Q$2="USD"), AM8*Transactions!$Z$6,
            AND(Y8="GBP", Transactions!$Q$2="HKD"), AM8*Transactions!$Z$7,
            AND(Y8="HKG", Transactions!$Q$2="HKG"), AM8,
            AND(Y8="HKD", Transactions!$Q$2="USD"), AM8*Transactions!$Z$9,
            AND(Y8="HKD", Transactions!$Q$2="GBP"), AM8*Transactions!$Z$10,
            AND(Y8="HKD", Transactions!$Q$2="EUR"), AM8*Transactions!$Z$11,
            AND(Y8="EUR", Transactions!$Q$2="EUR"), AM8,
            AND(Y8="EUR", Transactions!$Q$2="USD"), AM8*Transactions!$Z$12,
            AND(Y8="EUR", Transactions!$Q$2="GBP"), AM8*Transactions!$Z$13,
            AND(Y8="EUR", Transactions!$Q$2="HKD"), AM8*Transactions!$Z$14,
        ),
        0
    )
)</f>
        <v>-41.168383412000367</v>
      </c>
      <c r="O8" s="145"/>
      <c r="P8" s="145"/>
      <c r="Q8" s="41">
        <f t="shared" si="7"/>
        <v>7.0277131044490975E-3</v>
      </c>
      <c r="S8" s="41">
        <f t="shared" si="8"/>
        <v>7.0277131044490975E-3</v>
      </c>
      <c r="T8" s="1" t="str">
        <f t="shared" si="9"/>
        <v>Crypto</v>
      </c>
      <c r="U8" s="41">
        <f t="shared" si="10"/>
        <v>0.81515627319794193</v>
      </c>
      <c r="V8" s="41">
        <f t="shared" si="11"/>
        <v>0</v>
      </c>
      <c r="W8" s="41">
        <f t="shared" si="12"/>
        <v>0.81515627319794193</v>
      </c>
      <c r="X8" s="1" t="str">
        <f t="shared" si="0"/>
        <v>Layer 1</v>
      </c>
      <c r="Y8" s="17" t="str">
        <f>IFERROR(IF(ISBLANK(AA8), "", IF(VLOOKUP(AA8, Transactions!D:F, 3, FALSE) = "Stablecoin", AA8, INDEX(Transactions!$B$3:$B1012, MATCH(AA8, Transactions!$D$3:$D1012, 0)))), "")</f>
        <v>USD</v>
      </c>
      <c r="Z8" s="1" t="str">
        <f>_xlfn.XLOOKUP(AA8,Transactions!$D$3:$D$1007,Transactions!$E$3:$E$1007)</f>
        <v>Cosmos Hub</v>
      </c>
      <c r="AA8" s="1" t="str">
        <v>ATOM</v>
      </c>
      <c r="AB8" s="118" cm="1">
        <f t="array" ref="AB8">IF(ISBLANK(AA8), "",
    SUMPRODUCT(
        (Transactions!$D$3:$D$1007=AA8) *
        (Transactions!$H$3:$H$1007={"Cash Deposit","Crypto Deposit","Buy","Transfer Deposit","DRIP","Airdrop/Rewards"}) *
        Transactions!$I$3:$I$1007
    )
    - SUMPRODUCT(
        (Transactions!$D$3:$D$1007=AA8) *
        (Transactions!$H$3:$H$1007={"Sell","Transfer Send","Cash Withdrawal","Crypto Withdrawal"}) *
        Transactions!$I$3:$I$1007
    )
)</f>
        <v>91.408000199999989</v>
      </c>
      <c r="AC8" s="2" cm="1">
        <f t="array" ref="AC8">IF(ISBLANK(AA8), "", LOOKUP(2, 1/(Transactions!D:D=AA8), Transactions!P:P))</f>
        <v>12.513515334229281</v>
      </c>
      <c r="AD8" s="2" cm="1">
        <f t="array" ref="AD8">IF(ISBLANK(AA8),"",IFERROR(_FV(AA8,"price"),INDEX('CoinGeko API'!E:E,MATCH(Portfolio_v2!AA8,'CoinGeko API'!C:C,0))))</f>
        <v>12.33</v>
      </c>
      <c r="AF8" s="39" cm="1">
        <f t="array" ref="AF8">IF(ISBLANK(AA8),"",IFERROR(_FV(AA8,"Change (%)",TRUE),INDEX('CoinGeko API'!G:G,MATCH(Portfolio_v2!AA8,'CoinGeko API'!C:C,0))))</f>
        <v>5.9471100000000006E-2</v>
      </c>
      <c r="AG8" s="34" cm="1">
        <f t="array" ref="AG8">IF(ISBLANK(AA8),"",IFERROR(_FV(AA8,"change"),INDEX('CoinGeko API'!F:F,MATCH(Portfolio_v2!AA8,'CoinGeko API'!C:C,0))))</f>
        <v>0.692021</v>
      </c>
      <c r="AH8" s="2">
        <f t="shared" si="13"/>
        <v>1143.835412173933</v>
      </c>
      <c r="AI8" s="2">
        <f t="shared" si="14"/>
        <v>1127.0606424659998</v>
      </c>
      <c r="AJ8" s="40">
        <f t="shared" si="15"/>
        <v>-1.4665370148010842E-2</v>
      </c>
      <c r="AK8" s="2">
        <f t="shared" si="16"/>
        <v>-16.774769707933274</v>
      </c>
      <c r="AL8" s="119">
        <f>IF(OR(ISBLANK(AA8), COUNTIFS(Transactions!$D$3:$D1012, AA8) = 0), "",
    SUMIFS(Transactions!$M$3:$M1012, Transactions!$H$3:$H1012, "Sell", Transactions!$D$3:$D1012, AA8) +
    SUMIFS(Transactions!$M$3:$M1012, Transactions!$H$3:$H1012, "Dividend", Transactions!$D$3:$D1012, AA8) -
    SUMIFS(Transactions!$M$3:$M1012, Transactions!$H$3:$H1012, "Buy", Transactions!$D$3:$D1012, AA8) -
    SUMIFS(Transactions!$M$3:$M1012, Transactions!$H$3:$H1012, "Crypto Deposit", Transactions!$D$3:$D1012, AA8) -
    SUMIFS(Transactions!$M$3:$M1012, Transactions!$H$3:$H1012, "DRIP", Transactions!$D$3:$D1012, AA8) +
    SUMIFS($AH$3:$AH1004, $AA$3:$AA1004, AA8) +
    SUMIFS(Transactions!$M$3:$M1012, Transactions!$L$3:$L1012, "Stablecoin", Transactions!$B$3:$B1012, AA8)
)</f>
        <v>-24.393613704067093</v>
      </c>
      <c r="AM8" s="120">
        <f t="shared" si="17"/>
        <v>-41.168383412000367</v>
      </c>
      <c r="AN8" s="145"/>
      <c r="AO8" s="145"/>
      <c r="AP8" s="41">
        <f t="shared" si="1"/>
        <v>7.0277131044490975E-3</v>
      </c>
      <c r="AR8" s="41">
        <f t="shared" si="18"/>
        <v>7.0277131044490975E-3</v>
      </c>
      <c r="AS8" s="1" t="str">
        <f>_xlfn.XLOOKUP(AA8,Transactions!$D$3:$D$1007,Transactions!$F$3:$F$1007)</f>
        <v>Crypto</v>
      </c>
      <c r="AT8" s="41">
        <f t="shared" si="19"/>
        <v>0.81515627319794193</v>
      </c>
      <c r="AU8" s="41">
        <f t="shared" si="20"/>
        <v>0</v>
      </c>
      <c r="AV8" s="41">
        <f t="shared" si="21"/>
        <v>0.81515627319794193</v>
      </c>
      <c r="AW8" s="18" t="s">
        <v>16</v>
      </c>
    </row>
    <row r="9" spans="1:49" ht="18" customHeight="1">
      <c r="A9" s="17" t="str">
        <f t="shared" si="2"/>
        <v>Avalanche</v>
      </c>
      <c r="B9" s="1" t="str">
        <f t="shared" si="3"/>
        <v>AVAX</v>
      </c>
      <c r="C9" s="118">
        <f t="shared" si="4"/>
        <v>98.938028914703949</v>
      </c>
      <c r="D9" s="2" cm="1">
        <f t="array" ref="D9">IF($A9="", "",
    IFERROR(
        _xlfn.SWITCH(
            TRUE,
            AND(Y9="USD", Transactions!$Q$2="USD"), AC9,
            AND(Y9="USD", Transactions!$Q$2="GBP"), AC9*Transactions!$Z$3,
            AND(Y9="USD", Transactions!$Q$2="HKD"), AC9*Transactions!$Z$4,
            AND(Y9="USD", Transactions!$Q$2="EUR"), AC9*Transactions!$Z$5,
            AND(Y9="GBP", Transactions!$Q$2="GBP"), AC9,
            AND(Y9="GBP", Transactions!$Q$2="USD"), AC9*Transactions!$Z$6,
            AND(Y9="GBP", Transactions!$Q$2="HKD"), AC9*Transactions!$Z$7,
            AND(Y9="HKG", Transactions!$Q$2="HKG"), AC9,
            AND(Y9="HKD", Transactions!$Q$2="USD"), AC9*Transactions!$Z$9,
            AND(Y9="HKD", Transactions!$Q$2="GBP"), AC9*Transactions!$Z$10,
            AND(Y9="HKD", Transactions!$Q$2="EUR"), AC9*Transactions!$Z$11,
            AND(Y9="EUR", Transactions!$Q$2="EUR"), AC9,
            AND(Y9="EUR", Transactions!$Q$2="USD"), AC9*Transactions!$Z$12,
            AND(Y9="EUR", Transactions!$Q$2="GBP"), AC9*Transactions!$Z$13,
            AND(Y9="EUR", Transactions!$Q$2="HKD"), AC9*Transactions!$Z$14,
        ),
        0
    )
)</f>
        <v>25.333068071607066</v>
      </c>
      <c r="E9" s="2" cm="1">
        <f t="array" ref="E9">IF($A9="", "",
    IFERROR(
        _xlfn.SWITCH(
            TRUE,
            AND(Y9="USD", Transactions!$Q$2="USD"), AD9,
            AND(Y9="USD", Transactions!$Q$2="GBP"), AD9*Transactions!$Z$3,
            AND(Y9="USD", Transactions!$Q$2="HKD"), AD9*Transactions!$Z$4,
            AND(Y9="USD", Transactions!$Q$2="EUR"), AD9*Transactions!$Z$5,
            AND(Y9="GBP", Transactions!$Q$2="GBP"), AD9,
            AND(Y9="GBP", Transactions!$Q$2="USD"), AD9*Transactions!$Z$6,
            AND(Y9="GBP", Transactions!$Q$2="HKD"), AD9*Transactions!$Z$7,
            AND(Y9="HKG", Transactions!$Q$2="HKG"), AD9,
            AND(Y9="HKD", Transactions!$Q$2="USD"), AD9*Transactions!$Z$9,
            AND(Y9="HKD", Transactions!$Q$2="GBP"), AD9*Transactions!$Z$10,
            AND(Y9="HKD", Transactions!$Q$2="EUR"), AD9*Transactions!$Z$11,
            AND(Y9="EUR", Transactions!$Q$2="EUR"), AD9,
            AND(Y9="EUR", Transactions!$Q$2="USD"), AD9*Transactions!$Z$12,
            AND(Y9="EUR", Transactions!$Q$2="GBP"), AD9*Transactions!$Z$13,
            AND(Y9="EUR", Transactions!$Q$2="HKD"), AD9*Transactions!$Z$14,
        ),
        0
    )
)</f>
        <v>58.29</v>
      </c>
      <c r="G9" s="121">
        <f t="shared" si="5"/>
        <v>4.37004E-2</v>
      </c>
      <c r="H9" s="34" cm="1">
        <f t="array" ref="H9">IF($A9="", "",
    IFERROR(
        _xlfn.SWITCH(
            TRUE,
            AND(Y9="USD", Transactions!$Q$2="USD"), AG9,
            AND(Y9="USD", Transactions!$Q$2="GBP"), AG9*Transactions!$Z$3,
            AND(Y9="USD", Transactions!$Q$2="HKD"), AG9*Transactions!$Z$4,
            AND(Y9="USD", Transactions!$Q$2="EUR"), AG9*Transactions!$Z$5,
            AND(Y9="GBP", Transactions!$Q$2="GBP"), AG9,
            AND(Y9="GBP", Transactions!$Q$2="USD"), AG9*Transactions!$Z$6,
            AND(Y9="GBP", Transactions!$Q$2="HKD"), AG9*Transactions!$Z$7,
            AND(Y9="HKG", Transactions!$Q$2="HKG"), AG9,
            AND(Y9="HKD", Transactions!$Q$2="USD"), AG9*Transactions!$Z$9,
            AND(Y9="HKD", Transactions!$Q$2="GBP"), AG9*Transactions!$Z$10,
            AND(Y9="HKD", Transactions!$Q$2="EUR"), AG9*Transactions!$Z$11,
            AND(Y9="EUR", Transactions!$Q$2="EUR"), AG9,
            AND(Y9="EUR", Transactions!$Q$2="USD"), AG9*Transactions!$Z$12,
            AND(Y9="EUR", Transactions!$Q$2="GBP"), AG9*Transactions!$Z$13,
            AND(Y9="EUR", Transactions!$Q$2="HKD"), AG9*Transactions!$Z$14,
        ),
        0
    )
)</f>
        <v>2.44</v>
      </c>
      <c r="I9" s="2" cm="1">
        <f t="array" ref="I9">IF($A9="", "",
    IFERROR(
        _xlfn.SWITCH(
            TRUE,
            AND(Y9="USD", Transactions!$Q$2="USD"), AH9,
            AND(Y9="USD", Transactions!$Q$2="GBP"), AH9*Transactions!$Z$3,
            AND(Y9="USD", Transactions!$Q$2="HKD"), AH9*Transactions!$Z$4,
            AND(Y9="USD", Transactions!$Q$2="EUR"), AH9*Transactions!$Z$5,
            AND(Y9="GBP", Transactions!$Q$2="GBP"), AH9,
            AND(Y9="GBP", Transactions!$Q$2="USD"), AH9*Transactions!$Z$6,
            AND(Y9="GBP", Transactions!$Q$2="HKD"), AH9*Transactions!$Z$7,
            AND(Y9="HKG", Transactions!$Q$2="HKG"), AH9,
            AND(Y9="HKD", Transactions!$Q$2="USD"), AH9*Transactions!$Z$9,
            AND(Y9="HKD", Transactions!$Q$2="GBP"), AH9*Transactions!$Z$10,
            AND(Y9="HKD", Transactions!$Q$2="EUR"), AH9*Transactions!$Z$11,
            AND(Y9="EUR", Transactions!$Q$2="EUR"), AH9,
            AND(Y9="EUR", Transactions!$Q$2="USD"), AH9*Transactions!$Z$12,
            AND(Y9="EUR", Transactions!$Q$2="GBP"), AH9*Transactions!$Z$13,
            AND(Y9="EUR", Transactions!$Q$2="HKD"), AH9*Transactions!$Z$14,
        ),
        0
    )
)</f>
        <v>2506.4038213668232</v>
      </c>
      <c r="J9" s="2" cm="1">
        <f t="array" ref="J9">IF($A9="", "",
    IFERROR(
        _xlfn.SWITCH(
            TRUE,
            AND(Y9="USD", Transactions!$Q$2="USD"), AI9,
            AND(Y9="USD", Transactions!$Q$2="GBP"), AI9*Transactions!$Z$3,
            AND(Y9="USD", Transactions!$Q$2="HKD"), AI9*Transactions!$Z$4,
            AND(Y9="USD", Transactions!$Q$2="EUR"), AI9*Transactions!$Z$5,
            AND(Y9="GBP", Transactions!$Q$2="GBP"), AI9,
            AND(Y9="GBP", Transactions!$Q$2="USD"), AI9*Transactions!$Z$6,
            AND(Y9="GBP", Transactions!$Q$2="HKD"), AI9*Transactions!$Z$7,
            AND(Y9="HKG", Transactions!$Q$2="HKG"), AI9,
            AND(Y9="HKD", Transactions!$Q$2="USD"), AI9*Transactions!$Z$9,
            AND(Y9="HKD", Transactions!$Q$2="GBP"), AI9*Transactions!$Z$10,
            AND(Y9="HKD", Transactions!$Q$2="EUR"), AI9*Transactions!$Z$11,
            AND(Y9="EUR", Transactions!$Q$2="EUR"), AI9,
            AND(Y9="EUR", Transactions!$Q$2="USD"), AI9*Transactions!$Z$12,
            AND(Y9="EUR", Transactions!$Q$2="GBP"), AI9*Transactions!$Z$13,
            AND(Y9="EUR", Transactions!$Q$2="HKD"), AI9*Transactions!$Z$14,
        ),
        0
    )
)</f>
        <v>5767.0977054380928</v>
      </c>
      <c r="K9" s="41">
        <f t="shared" si="6"/>
        <v>1.3009451455005792</v>
      </c>
      <c r="L9" s="2" cm="1">
        <f t="array" ref="L9">IF($A9="", "",
    IFERROR(
        _xlfn.SWITCH(
            TRUE,
            AND(Y9="USD", Transactions!$Q$2="USD"), AK9,
            AND(Y9="USD", Transactions!$Q$2="GBP"), AK9*Transactions!$Z$3,
            AND(Y9="USD", Transactions!$Q$2="HKD"), AK9*Transactions!$Z$4,
            AND(Y9="USD", Transactions!$Q$2="EUR"), AK9*Transactions!$Z$5,
            AND(Y9="GBP", Transactions!$Q$2="GBP"), AK9,
            AND(Y9="GBP", Transactions!$Q$2="USD"), AK9*Transactions!$Z$6,
            AND(Y9="GBP", Transactions!$Q$2="HKD"), AK9*Transactions!$Z$7,
            AND(Y9="HKG", Transactions!$Q$2="HKG"), AK9,
            AND(Y9="HKD", Transactions!$Q$2="USD"), AK9*Transactions!$Z$9,
            AND(Y9="HKD", Transactions!$Q$2="GBP"), AK9*Transactions!$Z$10,
            AND(Y9="HKD", Transactions!$Q$2="EUR"), AK9*Transactions!$Z$11,
            AND(Y9="EUR", Transactions!$Q$2="EUR"), AK9,
            AND(Y9="EUR", Transactions!$Q$2="USD"), AK9*Transactions!$Z$12,
            AND(Y9="EUR", Transactions!$Q$2="GBP"), AK9*Transactions!$Z$13,
            AND(Y9="EUR", Transactions!$Q$2="HKD"), AK9*Transactions!$Z$14,
        ),
        0
    )
)</f>
        <v>3260.6938840712696</v>
      </c>
      <c r="M9" s="119" cm="1">
        <f t="array" ref="M9">IF($A9="", "",
    IFERROR(
        _xlfn.SWITCH(
            TRUE,
            AND(Y9="USD", Transactions!$Q$2="USD"), AL9,
            AND(Y9="USD", Transactions!$Q$2="GBP"), AL9*Transactions!$Z$3,
            AND(Y9="USD", Transactions!$Q$2="HKD"), AL9*Transactions!$Z$4,
            AND(Y9="USD", Transactions!$Q$2="EUR"), AL9*Transactions!$Z$5,
            AND(Y9="GBP", Transactions!$Q$2="GBP"), AL9,
            AND(Y9="GBP", Transactions!$Q$2="USD"), AL9*Transactions!$Z$6,
            AND(Y9="GBP", Transactions!$Q$2="HKD"), AL9*Transactions!$Z$7,
            AND(Y9="HKG", Transactions!$Q$2="HKG"), AL9,
            AND(Y9="HKD", Transactions!$Q$2="USD"), AL9*Transactions!$Z$9,
            AND(Y9="HKD", Transactions!$Q$2="GBP"), AL9*Transactions!$Z$10,
            AND(Y9="HKD", Transactions!$Q$2="EUR"), AL9*Transactions!$Z$11,
            AND(Y9="EUR", Transactions!$Q$2="EUR"), AL9,
            AND(Y9="EUR", Transactions!$Q$2="USD"), AL9*Transactions!$Z$12,
            AND(Y9="EUR", Transactions!$Q$2="GBP"), AL9*Transactions!$Z$13,
            AND(Y9="EUR", Transactions!$Q$2="HKD"), AL9*Transactions!$Z$14,
        ),
        0
    )
)</f>
        <v>122.1206797554928</v>
      </c>
      <c r="N9" s="120" cm="1">
        <f t="array" ref="N9">IF($A9="", "",
    IFERROR(
        _xlfn.SWITCH(
            TRUE,
            AND(Y9="USD", Transactions!$Q$2="USD"), AM9,
            AND(Y9="USD", Transactions!$Q$2="GBP"), AM9*Transactions!$Z$3,
            AND(Y9="USD", Transactions!$Q$2="HKD"), AM9*Transactions!$Z$4,
            AND(Y9="USD", Transactions!$Q$2="EUR"), AM9*Transactions!$Z$5,
            AND(Y9="GBP", Transactions!$Q$2="GBP"), AM9,
            AND(Y9="GBP", Transactions!$Q$2="USD"), AM9*Transactions!$Z$6,
            AND(Y9="GBP", Transactions!$Q$2="HKD"), AM9*Transactions!$Z$7,
            AND(Y9="HKG", Transactions!$Q$2="HKG"), AM9,
            AND(Y9="HKD", Transactions!$Q$2="USD"), AM9*Transactions!$Z$9,
            AND(Y9="HKD", Transactions!$Q$2="GBP"), AM9*Transactions!$Z$10,
            AND(Y9="HKD", Transactions!$Q$2="EUR"), AM9*Transactions!$Z$11,
            AND(Y9="EUR", Transactions!$Q$2="EUR"), AM9,
            AND(Y9="EUR", Transactions!$Q$2="USD"), AM9*Transactions!$Z$12,
            AND(Y9="EUR", Transactions!$Q$2="GBP"), AM9*Transactions!$Z$13,
            AND(Y9="EUR", Transactions!$Q$2="HKD"), AM9*Transactions!$Z$14,
        ),
        0
    )
)</f>
        <v>3382.8145638267624</v>
      </c>
      <c r="O9" s="145"/>
      <c r="P9" s="145"/>
      <c r="Q9" s="41">
        <f t="shared" si="7"/>
        <v>3.5960361485489693E-2</v>
      </c>
      <c r="S9" s="41">
        <f t="shared" si="8"/>
        <v>3.5960361485489693E-2</v>
      </c>
      <c r="T9" s="1" t="str">
        <f t="shared" si="9"/>
        <v>Crypto</v>
      </c>
      <c r="U9" s="41">
        <f t="shared" si="10"/>
        <v>0.81515627319794193</v>
      </c>
      <c r="V9" s="41">
        <f t="shared" si="11"/>
        <v>0</v>
      </c>
      <c r="W9" s="41">
        <f t="shared" si="12"/>
        <v>0.81515627319794193</v>
      </c>
      <c r="X9" s="1" t="str">
        <f t="shared" si="0"/>
        <v>Layer 1</v>
      </c>
      <c r="Y9" s="17" t="str">
        <f>IFERROR(IF(ISBLANK(AA9), "", IF(VLOOKUP(AA9, Transactions!D:F, 3, FALSE) = "Stablecoin", AA9, INDEX(Transactions!$B$3:$B1013, MATCH(AA9, Transactions!$D$3:$D1013, 0)))), "")</f>
        <v>USD</v>
      </c>
      <c r="Z9" s="1" t="str">
        <f>_xlfn.XLOOKUP(AA9,Transactions!$D$3:$D$1007,Transactions!$E$3:$E$1007)</f>
        <v>Avalanche</v>
      </c>
      <c r="AA9" s="1" t="str">
        <v>AVAX</v>
      </c>
      <c r="AB9" s="118" cm="1">
        <f t="array" ref="AB9">IF(ISBLANK(AA9), "",
    SUMPRODUCT(
        (Transactions!$D$3:$D$1007=AA9) *
        (Transactions!$H$3:$H$1007={"Cash Deposit","Crypto Deposit","Buy","Transfer Deposit","DRIP","Airdrop/Rewards"}) *
        Transactions!$I$3:$I$1007
    )
    - SUMPRODUCT(
        (Transactions!$D$3:$D$1007=AA9) *
        (Transactions!$H$3:$H$1007={"Sell","Transfer Send","Cash Withdrawal","Crypto Withdrawal"}) *
        Transactions!$I$3:$I$1007
    )
)</f>
        <v>98.938028914703949</v>
      </c>
      <c r="AC9" s="2" cm="1">
        <f t="array" ref="AC9">IF(ISBLANK(AA9), "", LOOKUP(2, 1/(Transactions!D:D=AA9), Transactions!P:P))</f>
        <v>25.333068071607066</v>
      </c>
      <c r="AD9" s="2" cm="1">
        <f t="array" ref="AD9">IF(ISBLANK(AA9),"",IFERROR(_FV(AA9,"price"),INDEX('CoinGeko API'!E:E,MATCH(Portfolio_v2!AA9,'CoinGeko API'!C:C,0))))</f>
        <v>58.29</v>
      </c>
      <c r="AF9" s="39" cm="1">
        <f t="array" ref="AF9">IF(ISBLANK(AA9),"",IFERROR(_FV(AA9,"Change (%)",TRUE),INDEX('CoinGeko API'!G:G,MATCH(Portfolio_v2!AA9,'CoinGeko API'!C:C,0))))</f>
        <v>4.37004E-2</v>
      </c>
      <c r="AG9" s="34" cm="1">
        <f t="array" ref="AG9">IF(ISBLANK(AA9),"",IFERROR(_FV(AA9,"change"),INDEX('CoinGeko API'!F:F,MATCH(Portfolio_v2!AA9,'CoinGeko API'!C:C,0))))</f>
        <v>2.44</v>
      </c>
      <c r="AH9" s="2">
        <f t="shared" si="13"/>
        <v>2506.4038213668232</v>
      </c>
      <c r="AI9" s="2">
        <f t="shared" si="14"/>
        <v>5767.0977054380928</v>
      </c>
      <c r="AJ9" s="40">
        <f t="shared" si="15"/>
        <v>1.3009451455005792</v>
      </c>
      <c r="AK9" s="2">
        <f t="shared" si="16"/>
        <v>3260.6938840712696</v>
      </c>
      <c r="AL9" s="119">
        <f>IF(OR(ISBLANK(AA9), COUNTIFS(Transactions!$D$3:$D1013, AA9) = 0), "",
    SUMIFS(Transactions!$M$3:$M1013, Transactions!$H$3:$H1013, "Sell", Transactions!$D$3:$D1013, AA9) +
    SUMIFS(Transactions!$M$3:$M1013, Transactions!$H$3:$H1013, "Dividend", Transactions!$D$3:$D1013, AA9) -
    SUMIFS(Transactions!$M$3:$M1013, Transactions!$H$3:$H1013, "Buy", Transactions!$D$3:$D1013, AA9) -
    SUMIFS(Transactions!$M$3:$M1013, Transactions!$H$3:$H1013, "Crypto Deposit", Transactions!$D$3:$D1013, AA9) -
    SUMIFS(Transactions!$M$3:$M1013, Transactions!$H$3:$H1013, "DRIP", Transactions!$D$3:$D1013, AA9) +
    SUMIFS($AH$3:$AH1005, $AA$3:$AA1005, AA9) +
    SUMIFS(Transactions!$M$3:$M1013, Transactions!$L$3:$L1013, "Stablecoin", Transactions!$B$3:$B1013, AA9)
)</f>
        <v>122.1206797554928</v>
      </c>
      <c r="AM9" s="120">
        <f t="shared" si="17"/>
        <v>3382.8145638267624</v>
      </c>
      <c r="AN9" s="145"/>
      <c r="AO9" s="145"/>
      <c r="AP9" s="41">
        <f t="shared" si="1"/>
        <v>3.5960361485489693E-2</v>
      </c>
      <c r="AR9" s="41">
        <f t="shared" si="18"/>
        <v>3.5960361485489693E-2</v>
      </c>
      <c r="AS9" s="1" t="str">
        <f>_xlfn.XLOOKUP(AA9,Transactions!$D$3:$D$1007,Transactions!$F$3:$F$1007)</f>
        <v>Crypto</v>
      </c>
      <c r="AT9" s="41">
        <f t="shared" si="19"/>
        <v>0.81515627319794193</v>
      </c>
      <c r="AU9" s="41">
        <f t="shared" si="20"/>
        <v>0</v>
      </c>
      <c r="AV9" s="41">
        <f t="shared" si="21"/>
        <v>0.81515627319794193</v>
      </c>
      <c r="AW9" s="18" t="s">
        <v>16</v>
      </c>
    </row>
    <row r="10" spans="1:49" ht="18" customHeight="1">
      <c r="A10" s="17" t="str">
        <f t="shared" si="2"/>
        <v>BNB</v>
      </c>
      <c r="B10" s="1" t="str">
        <f t="shared" si="3"/>
        <v>BNB</v>
      </c>
      <c r="C10" s="118">
        <f t="shared" si="4"/>
        <v>10.579829999999999</v>
      </c>
      <c r="D10" s="2" cm="1">
        <f t="array" ref="D10">IF($A10="", "",
    IFERROR(
        _xlfn.SWITCH(
            TRUE,
            AND(Y10="USD", Transactions!$Q$2="USD"), AC10,
            AND(Y10="USD", Transactions!$Q$2="GBP"), AC10*Transactions!$Z$3,
            AND(Y10="USD", Transactions!$Q$2="HKD"), AC10*Transactions!$Z$4,
            AND(Y10="USD", Transactions!$Q$2="EUR"), AC10*Transactions!$Z$5,
            AND(Y10="GBP", Transactions!$Q$2="GBP"), AC10,
            AND(Y10="GBP", Transactions!$Q$2="USD"), AC10*Transactions!$Z$6,
            AND(Y10="GBP", Transactions!$Q$2="HKD"), AC10*Transactions!$Z$7,
            AND(Y10="HKG", Transactions!$Q$2="HKG"), AC10,
            AND(Y10="HKD", Transactions!$Q$2="USD"), AC10*Transactions!$Z$9,
            AND(Y10="HKD", Transactions!$Q$2="GBP"), AC10*Transactions!$Z$10,
            AND(Y10="HKD", Transactions!$Q$2="EUR"), AC10*Transactions!$Z$11,
            AND(Y10="EUR", Transactions!$Q$2="EUR"), AC10,
            AND(Y10="EUR", Transactions!$Q$2="USD"), AC10*Transactions!$Z$12,
            AND(Y10="EUR", Transactions!$Q$2="GBP"), AC10*Transactions!$Z$13,
            AND(Y10="EUR", Transactions!$Q$2="HKD"), AC10*Transactions!$Z$14,
        ),
        0
    )
)</f>
        <v>335.58218827712722</v>
      </c>
      <c r="E10" s="2" cm="1">
        <f t="array" ref="E10">IF($A10="", "",
    IFERROR(
        _xlfn.SWITCH(
            TRUE,
            AND(Y10="USD", Transactions!$Q$2="USD"), AD10,
            AND(Y10="USD", Transactions!$Q$2="GBP"), AD10*Transactions!$Z$3,
            AND(Y10="USD", Transactions!$Q$2="HKD"), AD10*Transactions!$Z$4,
            AND(Y10="USD", Transactions!$Q$2="EUR"), AD10*Transactions!$Z$5,
            AND(Y10="GBP", Transactions!$Q$2="GBP"), AD10,
            AND(Y10="GBP", Transactions!$Q$2="USD"), AD10*Transactions!$Z$6,
            AND(Y10="GBP", Transactions!$Q$2="HKD"), AD10*Transactions!$Z$7,
            AND(Y10="HKG", Transactions!$Q$2="HKG"), AD10,
            AND(Y10="HKD", Transactions!$Q$2="USD"), AD10*Transactions!$Z$9,
            AND(Y10="HKD", Transactions!$Q$2="GBP"), AD10*Transactions!$Z$10,
            AND(Y10="HKD", Transactions!$Q$2="EUR"), AD10*Transactions!$Z$11,
            AND(Y10="EUR", Transactions!$Q$2="EUR"), AD10,
            AND(Y10="EUR", Transactions!$Q$2="USD"), AD10*Transactions!$Z$12,
            AND(Y10="EUR", Transactions!$Q$2="GBP"), AD10*Transactions!$Z$13,
            AND(Y10="EUR", Transactions!$Q$2="HKD"), AD10*Transactions!$Z$14,
        ),
        0
    )
)</f>
        <v>591.33000000000004</v>
      </c>
      <c r="G10" s="121">
        <f t="shared" si="5"/>
        <v>3.8330999999999997E-2</v>
      </c>
      <c r="H10" s="34" cm="1">
        <f t="array" ref="H10">IF($A10="", "",
    IFERROR(
        _xlfn.SWITCH(
            TRUE,
            AND(Y10="USD", Transactions!$Q$2="USD"), AG10,
            AND(Y10="USD", Transactions!$Q$2="GBP"), AG10*Transactions!$Z$3,
            AND(Y10="USD", Transactions!$Q$2="HKD"), AG10*Transactions!$Z$4,
            AND(Y10="USD", Transactions!$Q$2="EUR"), AG10*Transactions!$Z$5,
            AND(Y10="GBP", Transactions!$Q$2="GBP"), AG10,
            AND(Y10="GBP", Transactions!$Q$2="USD"), AG10*Transactions!$Z$6,
            AND(Y10="GBP", Transactions!$Q$2="HKD"), AG10*Transactions!$Z$7,
            AND(Y10="HKG", Transactions!$Q$2="HKG"), AG10,
            AND(Y10="HKD", Transactions!$Q$2="USD"), AG10*Transactions!$Z$9,
            AND(Y10="HKD", Transactions!$Q$2="GBP"), AG10*Transactions!$Z$10,
            AND(Y10="HKD", Transactions!$Q$2="EUR"), AG10*Transactions!$Z$11,
            AND(Y10="EUR", Transactions!$Q$2="EUR"), AG10,
            AND(Y10="EUR", Transactions!$Q$2="USD"), AG10*Transactions!$Z$12,
            AND(Y10="EUR", Transactions!$Q$2="GBP"), AG10*Transactions!$Z$13,
            AND(Y10="EUR", Transactions!$Q$2="HKD"), AG10*Transactions!$Z$14,
        ),
        0
    )
)</f>
        <v>21.83</v>
      </c>
      <c r="I10" s="2" cm="1">
        <f t="array" ref="I10">IF($A10="", "",
    IFERROR(
        _xlfn.SWITCH(
            TRUE,
            AND(Y10="USD", Transactions!$Q$2="USD"), AH10,
            AND(Y10="USD", Transactions!$Q$2="GBP"), AH10*Transactions!$Z$3,
            AND(Y10="USD", Transactions!$Q$2="HKD"), AH10*Transactions!$Z$4,
            AND(Y10="USD", Transactions!$Q$2="EUR"), AH10*Transactions!$Z$5,
            AND(Y10="GBP", Transactions!$Q$2="GBP"), AH10,
            AND(Y10="GBP", Transactions!$Q$2="USD"), AH10*Transactions!$Z$6,
            AND(Y10="GBP", Transactions!$Q$2="HKD"), AH10*Transactions!$Z$7,
            AND(Y10="HKG", Transactions!$Q$2="HKG"), AH10,
            AND(Y10="HKD", Transactions!$Q$2="USD"), AH10*Transactions!$Z$9,
            AND(Y10="HKD", Transactions!$Q$2="GBP"), AH10*Transactions!$Z$10,
            AND(Y10="HKD", Transactions!$Q$2="EUR"), AH10*Transactions!$Z$11,
            AND(Y10="EUR", Transactions!$Q$2="EUR"), AH10,
            AND(Y10="EUR", Transactions!$Q$2="USD"), AH10*Transactions!$Z$12,
            AND(Y10="EUR", Transactions!$Q$2="GBP"), AH10*Transactions!$Z$13,
            AND(Y10="EUR", Transactions!$Q$2="HKD"), AH10*Transactions!$Z$14,
        ),
        0
    )
)</f>
        <v>3550.4025029999984</v>
      </c>
      <c r="J10" s="2" cm="1">
        <f t="array" ref="J10">IF($A10="", "",
    IFERROR(
        _xlfn.SWITCH(
            TRUE,
            AND(Y10="USD", Transactions!$Q$2="USD"), AI10,
            AND(Y10="USD", Transactions!$Q$2="GBP"), AI10*Transactions!$Z$3,
            AND(Y10="USD", Transactions!$Q$2="HKD"), AI10*Transactions!$Z$4,
            AND(Y10="USD", Transactions!$Q$2="EUR"), AI10*Transactions!$Z$5,
            AND(Y10="GBP", Transactions!$Q$2="GBP"), AI10,
            AND(Y10="GBP", Transactions!$Q$2="USD"), AI10*Transactions!$Z$6,
            AND(Y10="GBP", Transactions!$Q$2="HKD"), AI10*Transactions!$Z$7,
            AND(Y10="HKG", Transactions!$Q$2="HKG"), AI10,
            AND(Y10="HKD", Transactions!$Q$2="USD"), AI10*Transactions!$Z$9,
            AND(Y10="HKD", Transactions!$Q$2="GBP"), AI10*Transactions!$Z$10,
            AND(Y10="HKD", Transactions!$Q$2="EUR"), AI10*Transactions!$Z$11,
            AND(Y10="EUR", Transactions!$Q$2="EUR"), AI10,
            AND(Y10="EUR", Transactions!$Q$2="USD"), AI10*Transactions!$Z$12,
            AND(Y10="EUR", Transactions!$Q$2="GBP"), AI10*Transactions!$Z$13,
            AND(Y10="EUR", Transactions!$Q$2="HKD"), AI10*Transactions!$Z$14,
        ),
        0
    )
)</f>
        <v>6256.1708739000005</v>
      </c>
      <c r="K10" s="41">
        <f t="shared" si="6"/>
        <v>0.76210186552473913</v>
      </c>
      <c r="L10" s="2" cm="1">
        <f t="array" ref="L10">IF($A10="", "",
    IFERROR(
        _xlfn.SWITCH(
            TRUE,
            AND(Y10="USD", Transactions!$Q$2="USD"), AK10,
            AND(Y10="USD", Transactions!$Q$2="GBP"), AK10*Transactions!$Z$3,
            AND(Y10="USD", Transactions!$Q$2="HKD"), AK10*Transactions!$Z$4,
            AND(Y10="USD", Transactions!$Q$2="EUR"), AK10*Transactions!$Z$5,
            AND(Y10="GBP", Transactions!$Q$2="GBP"), AK10,
            AND(Y10="GBP", Transactions!$Q$2="USD"), AK10*Transactions!$Z$6,
            AND(Y10="GBP", Transactions!$Q$2="HKD"), AK10*Transactions!$Z$7,
            AND(Y10="HKG", Transactions!$Q$2="HKG"), AK10,
            AND(Y10="HKD", Transactions!$Q$2="USD"), AK10*Transactions!$Z$9,
            AND(Y10="HKD", Transactions!$Q$2="GBP"), AK10*Transactions!$Z$10,
            AND(Y10="HKD", Transactions!$Q$2="EUR"), AK10*Transactions!$Z$11,
            AND(Y10="EUR", Transactions!$Q$2="EUR"), AK10,
            AND(Y10="EUR", Transactions!$Q$2="USD"), AK10*Transactions!$Z$12,
            AND(Y10="EUR", Transactions!$Q$2="GBP"), AK10*Transactions!$Z$13,
            AND(Y10="EUR", Transactions!$Q$2="HKD"), AK10*Transactions!$Z$14,
        ),
        0
    )
)</f>
        <v>2705.7683709000021</v>
      </c>
      <c r="M10" s="119" cm="1">
        <f t="array" ref="M10">IF($A10="", "",
    IFERROR(
        _xlfn.SWITCH(
            TRUE,
            AND(Y10="USD", Transactions!$Q$2="USD"), AL10,
            AND(Y10="USD", Transactions!$Q$2="GBP"), AL10*Transactions!$Z$3,
            AND(Y10="USD", Transactions!$Q$2="HKD"), AL10*Transactions!$Z$4,
            AND(Y10="USD", Transactions!$Q$2="EUR"), AL10*Transactions!$Z$5,
            AND(Y10="GBP", Transactions!$Q$2="GBP"), AL10,
            AND(Y10="GBP", Transactions!$Q$2="USD"), AL10*Transactions!$Z$6,
            AND(Y10="GBP", Transactions!$Q$2="HKD"), AL10*Transactions!$Z$7,
            AND(Y10="HKG", Transactions!$Q$2="HKG"), AL10,
            AND(Y10="HKD", Transactions!$Q$2="USD"), AL10*Transactions!$Z$9,
            AND(Y10="HKD", Transactions!$Q$2="GBP"), AL10*Transactions!$Z$10,
            AND(Y10="HKD", Transactions!$Q$2="EUR"), AL10*Transactions!$Z$11,
            AND(Y10="EUR", Transactions!$Q$2="EUR"), AL10,
            AND(Y10="EUR", Transactions!$Q$2="USD"), AL10*Transactions!$Z$12,
            AND(Y10="EUR", Transactions!$Q$2="GBP"), AL10*Transactions!$Z$13,
            AND(Y10="EUR", Transactions!$Q$2="HKD"), AL10*Transactions!$Z$14,
        ),
        0
    )
)</f>
        <v>-9.0949470177292824E-13</v>
      </c>
      <c r="N10" s="120" cm="1">
        <f t="array" ref="N10">IF($A10="", "",
    IFERROR(
        _xlfn.SWITCH(
            TRUE,
            AND(Y10="USD", Transactions!$Q$2="USD"), AM10,
            AND(Y10="USD", Transactions!$Q$2="GBP"), AM10*Transactions!$Z$3,
            AND(Y10="USD", Transactions!$Q$2="HKD"), AM10*Transactions!$Z$4,
            AND(Y10="USD", Transactions!$Q$2="EUR"), AM10*Transactions!$Z$5,
            AND(Y10="GBP", Transactions!$Q$2="GBP"), AM10,
            AND(Y10="GBP", Transactions!$Q$2="USD"), AM10*Transactions!$Z$6,
            AND(Y10="GBP", Transactions!$Q$2="HKD"), AM10*Transactions!$Z$7,
            AND(Y10="HKG", Transactions!$Q$2="HKG"), AM10,
            AND(Y10="HKD", Transactions!$Q$2="USD"), AM10*Transactions!$Z$9,
            AND(Y10="HKD", Transactions!$Q$2="GBP"), AM10*Transactions!$Z$10,
            AND(Y10="HKD", Transactions!$Q$2="EUR"), AM10*Transactions!$Z$11,
            AND(Y10="EUR", Transactions!$Q$2="EUR"), AM10,
            AND(Y10="EUR", Transactions!$Q$2="USD"), AM10*Transactions!$Z$12,
            AND(Y10="EUR", Transactions!$Q$2="GBP"), AM10*Transactions!$Z$13,
            AND(Y10="EUR", Transactions!$Q$2="HKD"), AM10*Transactions!$Z$14,
        ),
        0
    )
)</f>
        <v>2705.7683709000012</v>
      </c>
      <c r="O10" s="145"/>
      <c r="P10" s="145"/>
      <c r="Q10" s="41">
        <f t="shared" si="7"/>
        <v>3.9009945319340829E-2</v>
      </c>
      <c r="S10" s="41">
        <f t="shared" si="8"/>
        <v>3.9009945319340829E-2</v>
      </c>
      <c r="T10" s="1" t="str">
        <f t="shared" si="9"/>
        <v>Crypto</v>
      </c>
      <c r="U10" s="41">
        <f t="shared" si="10"/>
        <v>0.81515627319794193</v>
      </c>
      <c r="V10" s="41">
        <f t="shared" si="11"/>
        <v>0</v>
      </c>
      <c r="W10" s="41">
        <f t="shared" si="12"/>
        <v>0.81515627319794193</v>
      </c>
      <c r="X10" s="1" t="str">
        <f t="shared" si="0"/>
        <v>Layer 1</v>
      </c>
      <c r="Y10" s="17" t="str">
        <f>IFERROR(IF(ISBLANK(AA10), "", IF(VLOOKUP(AA10, Transactions!D:F, 3, FALSE) = "Stablecoin", AA10, INDEX(Transactions!$B$3:$B1014, MATCH(AA10, Transactions!$D$3:$D1014, 0)))), "")</f>
        <v>USD</v>
      </c>
      <c r="Z10" s="1" t="str">
        <f>_xlfn.XLOOKUP(AA10,Transactions!$D$3:$D$1007,Transactions!$E$3:$E$1007)</f>
        <v>BNB</v>
      </c>
      <c r="AA10" s="1" t="str">
        <v>BNB</v>
      </c>
      <c r="AB10" s="118" cm="1">
        <f t="array" ref="AB10">IF(ISBLANK(AA10), "",
    SUMPRODUCT(
        (Transactions!$D$3:$D$1007=AA10) *
        (Transactions!$H$3:$H$1007={"Cash Deposit","Crypto Deposit","Buy","Transfer Deposit","DRIP","Airdrop/Rewards"}) *
        Transactions!$I$3:$I$1007
    )
    - SUMPRODUCT(
        (Transactions!$D$3:$D$1007=AA10) *
        (Transactions!$H$3:$H$1007={"Sell","Transfer Send","Cash Withdrawal","Crypto Withdrawal"}) *
        Transactions!$I$3:$I$1007
    )
)</f>
        <v>10.579829999999999</v>
      </c>
      <c r="AC10" s="2" cm="1">
        <f t="array" ref="AC10">IF(ISBLANK(AA10), "", LOOKUP(2, 1/(Transactions!D:D=AA10), Transactions!P:P))</f>
        <v>335.58218827712722</v>
      </c>
      <c r="AD10" s="2" cm="1">
        <f t="array" ref="AD10">IF(ISBLANK(AA10),"",IFERROR(_FV(AA10,"price"),INDEX('CoinGeko API'!E:E,MATCH(Portfolio_v2!AA10,'CoinGeko API'!C:C,0))))</f>
        <v>591.33000000000004</v>
      </c>
      <c r="AF10" s="39" cm="1">
        <f t="array" ref="AF10">IF(ISBLANK(AA10),"",IFERROR(_FV(AA10,"Change (%)",TRUE),INDEX('CoinGeko API'!G:G,MATCH(Portfolio_v2!AA10,'CoinGeko API'!C:C,0))))</f>
        <v>3.8330999999999997E-2</v>
      </c>
      <c r="AG10" s="34" cm="1">
        <f t="array" ref="AG10">IF(ISBLANK(AA10),"",IFERROR(_FV(AA10,"change"),INDEX('CoinGeko API'!F:F,MATCH(Portfolio_v2!AA10,'CoinGeko API'!C:C,0))))</f>
        <v>21.83</v>
      </c>
      <c r="AH10" s="2">
        <f t="shared" si="13"/>
        <v>3550.4025029999984</v>
      </c>
      <c r="AI10" s="2">
        <f t="shared" si="14"/>
        <v>6256.1708739000005</v>
      </c>
      <c r="AJ10" s="40">
        <f t="shared" si="15"/>
        <v>0.76210186552473913</v>
      </c>
      <c r="AK10" s="2">
        <f t="shared" si="16"/>
        <v>2705.7683709000021</v>
      </c>
      <c r="AL10" s="119">
        <f>IF(OR(ISBLANK(AA10), COUNTIFS(Transactions!$D$3:$D1014, AA10) = 0), "",
    SUMIFS(Transactions!$M$3:$M1014, Transactions!$H$3:$H1014, "Sell", Transactions!$D$3:$D1014, AA10) +
    SUMIFS(Transactions!$M$3:$M1014, Transactions!$H$3:$H1014, "Dividend", Transactions!$D$3:$D1014, AA10) -
    SUMIFS(Transactions!$M$3:$M1014, Transactions!$H$3:$H1014, "Buy", Transactions!$D$3:$D1014, AA10) -
    SUMIFS(Transactions!$M$3:$M1014, Transactions!$H$3:$H1014, "Crypto Deposit", Transactions!$D$3:$D1014, AA10) -
    SUMIFS(Transactions!$M$3:$M1014, Transactions!$H$3:$H1014, "DRIP", Transactions!$D$3:$D1014, AA10) +
    SUMIFS($AH$3:$AH1006, $AA$3:$AA1006, AA10) +
    SUMIFS(Transactions!$M$3:$M1014, Transactions!$L$3:$L1014, "Stablecoin", Transactions!$B$3:$B1014, AA10)
)</f>
        <v>-9.0949470177292824E-13</v>
      </c>
      <c r="AM10" s="120">
        <f t="shared" si="17"/>
        <v>2705.7683709000012</v>
      </c>
      <c r="AN10" s="145"/>
      <c r="AO10" s="145"/>
      <c r="AP10" s="41">
        <f t="shared" si="1"/>
        <v>3.9009945319340829E-2</v>
      </c>
      <c r="AR10" s="41">
        <f t="shared" si="18"/>
        <v>3.9009945319340829E-2</v>
      </c>
      <c r="AS10" s="1" t="str">
        <f>_xlfn.XLOOKUP(AA10,Transactions!$D$3:$D$1007,Transactions!$F$3:$F$1007)</f>
        <v>Crypto</v>
      </c>
      <c r="AT10" s="41">
        <f t="shared" si="19"/>
        <v>0.81515627319794193</v>
      </c>
      <c r="AU10" s="41">
        <f t="shared" si="20"/>
        <v>0</v>
      </c>
      <c r="AV10" s="41">
        <f t="shared" si="21"/>
        <v>0.81515627319794193</v>
      </c>
      <c r="AW10" s="18" t="s">
        <v>16</v>
      </c>
    </row>
    <row r="11" spans="1:49" ht="18" customHeight="1">
      <c r="A11" s="17" t="str">
        <f t="shared" si="2"/>
        <v>Bitcoin</v>
      </c>
      <c r="B11" s="1" t="str">
        <f t="shared" si="3"/>
        <v>BTC</v>
      </c>
      <c r="C11" s="118">
        <f t="shared" si="4"/>
        <v>0.22184523994681654</v>
      </c>
      <c r="D11" s="2" cm="1">
        <f t="array" ref="D11">IF($A11="", "",
    IFERROR(
        _xlfn.SWITCH(
            TRUE,
            AND(Y11="USD", Transactions!$Q$2="USD"), AC11,
            AND(Y11="USD", Transactions!$Q$2="GBP"), AC11*Transactions!$Z$3,
            AND(Y11="USD", Transactions!$Q$2="HKD"), AC11*Transactions!$Z$4,
            AND(Y11="USD", Transactions!$Q$2="EUR"), AC11*Transactions!$Z$5,
            AND(Y11="GBP", Transactions!$Q$2="GBP"), AC11,
            AND(Y11="GBP", Transactions!$Q$2="USD"), AC11*Transactions!$Z$6,
            AND(Y11="GBP", Transactions!$Q$2="HKD"), AC11*Transactions!$Z$7,
            AND(Y11="HKG", Transactions!$Q$2="HKG"), AC11,
            AND(Y11="HKD", Transactions!$Q$2="USD"), AC11*Transactions!$Z$9,
            AND(Y11="HKD", Transactions!$Q$2="GBP"), AC11*Transactions!$Z$10,
            AND(Y11="HKD", Transactions!$Q$2="EUR"), AC11*Transactions!$Z$11,
            AND(Y11="EUR", Transactions!$Q$2="EUR"), AC11,
            AND(Y11="EUR", Transactions!$Q$2="USD"), AC11*Transactions!$Z$12,
            AND(Y11="EUR", Transactions!$Q$2="GBP"), AC11*Transactions!$Z$13,
            AND(Y11="EUR", Transactions!$Q$2="HKD"), AC11*Transactions!$Z$14,
        ),
        0
    )
)</f>
        <v>32216.561571265273</v>
      </c>
      <c r="E11" s="2" cm="1">
        <f t="array" ref="E11">IF($A11="", "",
    IFERROR(
        _xlfn.SWITCH(
            TRUE,
            AND(Y11="USD", Transactions!$Q$2="USD"), AD11,
            AND(Y11="USD", Transactions!$Q$2="GBP"), AD11*Transactions!$Z$3,
            AND(Y11="USD", Transactions!$Q$2="HKD"), AD11*Transactions!$Z$4,
            AND(Y11="USD", Transactions!$Q$2="EUR"), AD11*Transactions!$Z$5,
            AND(Y11="GBP", Transactions!$Q$2="GBP"), AD11,
            AND(Y11="GBP", Transactions!$Q$2="USD"), AD11*Transactions!$Z$6,
            AND(Y11="GBP", Transactions!$Q$2="HKD"), AD11*Transactions!$Z$7,
            AND(Y11="HKG", Transactions!$Q$2="HKG"), AD11,
            AND(Y11="HKD", Transactions!$Q$2="USD"), AD11*Transactions!$Z$9,
            AND(Y11="HKD", Transactions!$Q$2="GBP"), AD11*Transactions!$Z$10,
            AND(Y11="HKD", Transactions!$Q$2="EUR"), AD11*Transactions!$Z$11,
            AND(Y11="EUR", Transactions!$Q$2="EUR"), AD11,
            AND(Y11="EUR", Transactions!$Q$2="USD"), AD11*Transactions!$Z$12,
            AND(Y11="EUR", Transactions!$Q$2="GBP"), AD11*Transactions!$Z$13,
            AND(Y11="EUR", Transactions!$Q$2="HKD"), AD11*Transactions!$Z$14,
        ),
        0
    )
)</f>
        <v>70232</v>
      </c>
      <c r="G11" s="121">
        <f t="shared" si="5"/>
        <v>5.3891700000000001E-2</v>
      </c>
      <c r="H11" s="34" cm="1">
        <f t="array" ref="H11">IF($A11="", "",
    IFERROR(
        _xlfn.SWITCH(
            TRUE,
            AND(Y11="USD", Transactions!$Q$2="USD"), AG11,
            AND(Y11="USD", Transactions!$Q$2="GBP"), AG11*Transactions!$Z$3,
            AND(Y11="USD", Transactions!$Q$2="HKD"), AG11*Transactions!$Z$4,
            AND(Y11="USD", Transactions!$Q$2="EUR"), AG11*Transactions!$Z$5,
            AND(Y11="GBP", Transactions!$Q$2="GBP"), AG11,
            AND(Y11="GBP", Transactions!$Q$2="USD"), AG11*Transactions!$Z$6,
            AND(Y11="GBP", Transactions!$Q$2="HKD"), AG11*Transactions!$Z$7,
            AND(Y11="HKG", Transactions!$Q$2="HKG"), AG11,
            AND(Y11="HKD", Transactions!$Q$2="USD"), AG11*Transactions!$Z$9,
            AND(Y11="HKD", Transactions!$Q$2="GBP"), AG11*Transactions!$Z$10,
            AND(Y11="HKD", Transactions!$Q$2="EUR"), AG11*Transactions!$Z$11,
            AND(Y11="EUR", Transactions!$Q$2="EUR"), AG11,
            AND(Y11="EUR", Transactions!$Q$2="USD"), AG11*Transactions!$Z$12,
            AND(Y11="EUR", Transactions!$Q$2="GBP"), AG11*Transactions!$Z$13,
            AND(Y11="EUR", Transactions!$Q$2="HKD"), AG11*Transactions!$Z$14,
        ),
        0
    )
)</f>
        <v>3591.35</v>
      </c>
      <c r="I11" s="2" cm="1">
        <f t="array" ref="I11">IF($A11="", "",
    IFERROR(
        _xlfn.SWITCH(
            TRUE,
            AND(Y11="USD", Transactions!$Q$2="USD"), AH11,
            AND(Y11="USD", Transactions!$Q$2="GBP"), AH11*Transactions!$Z$3,
            AND(Y11="USD", Transactions!$Q$2="HKD"), AH11*Transactions!$Z$4,
            AND(Y11="USD", Transactions!$Q$2="EUR"), AH11*Transactions!$Z$5,
            AND(Y11="GBP", Transactions!$Q$2="GBP"), AH11,
            AND(Y11="GBP", Transactions!$Q$2="USD"), AH11*Transactions!$Z$6,
            AND(Y11="GBP", Transactions!$Q$2="HKD"), AH11*Transactions!$Z$7,
            AND(Y11="HKG", Transactions!$Q$2="HKG"), AH11,
            AND(Y11="HKD", Transactions!$Q$2="USD"), AH11*Transactions!$Z$9,
            AND(Y11="HKD", Transactions!$Q$2="GBP"), AH11*Transactions!$Z$10,
            AND(Y11="HKD", Transactions!$Q$2="EUR"), AH11*Transactions!$Z$11,
            AND(Y11="EUR", Transactions!$Q$2="EUR"), AH11,
            AND(Y11="EUR", Transactions!$Q$2="USD"), AH11*Transactions!$Z$12,
            AND(Y11="EUR", Transactions!$Q$2="GBP"), AH11*Transactions!$Z$13,
            AND(Y11="EUR", Transactions!$Q$2="HKD"), AH11*Transactions!$Z$14,
        ),
        0
    )
)</f>
        <v>7147.0908320387334</v>
      </c>
      <c r="J11" s="2" cm="1">
        <f t="array" ref="J11">IF($A11="", "",
    IFERROR(
        _xlfn.SWITCH(
            TRUE,
            AND(Y11="USD", Transactions!$Q$2="USD"), AI11,
            AND(Y11="USD", Transactions!$Q$2="GBP"), AI11*Transactions!$Z$3,
            AND(Y11="USD", Transactions!$Q$2="HKD"), AI11*Transactions!$Z$4,
            AND(Y11="USD", Transactions!$Q$2="EUR"), AI11*Transactions!$Z$5,
            AND(Y11="GBP", Transactions!$Q$2="GBP"), AI11,
            AND(Y11="GBP", Transactions!$Q$2="USD"), AI11*Transactions!$Z$6,
            AND(Y11="GBP", Transactions!$Q$2="HKD"), AI11*Transactions!$Z$7,
            AND(Y11="HKG", Transactions!$Q$2="HKG"), AI11,
            AND(Y11="HKD", Transactions!$Q$2="USD"), AI11*Transactions!$Z$9,
            AND(Y11="HKD", Transactions!$Q$2="GBP"), AI11*Transactions!$Z$10,
            AND(Y11="HKD", Transactions!$Q$2="EUR"), AI11*Transactions!$Z$11,
            AND(Y11="EUR", Transactions!$Q$2="EUR"), AI11,
            AND(Y11="EUR", Transactions!$Q$2="USD"), AI11*Transactions!$Z$12,
            AND(Y11="EUR", Transactions!$Q$2="GBP"), AI11*Transactions!$Z$13,
            AND(Y11="EUR", Transactions!$Q$2="HKD"), AI11*Transactions!$Z$14,
        ),
        0
    )
)</f>
        <v>15580.634891944819</v>
      </c>
      <c r="K11" s="41">
        <f t="shared" si="6"/>
        <v>1.179996764851579</v>
      </c>
      <c r="L11" s="2" cm="1">
        <f t="array" ref="L11">IF($A11="", "",
    IFERROR(
        _xlfn.SWITCH(
            TRUE,
            AND(Y11="USD", Transactions!$Q$2="USD"), AK11,
            AND(Y11="USD", Transactions!$Q$2="GBP"), AK11*Transactions!$Z$3,
            AND(Y11="USD", Transactions!$Q$2="HKD"), AK11*Transactions!$Z$4,
            AND(Y11="USD", Transactions!$Q$2="EUR"), AK11*Transactions!$Z$5,
            AND(Y11="GBP", Transactions!$Q$2="GBP"), AK11,
            AND(Y11="GBP", Transactions!$Q$2="USD"), AK11*Transactions!$Z$6,
            AND(Y11="GBP", Transactions!$Q$2="HKD"), AK11*Transactions!$Z$7,
            AND(Y11="HKG", Transactions!$Q$2="HKG"), AK11,
            AND(Y11="HKD", Transactions!$Q$2="USD"), AK11*Transactions!$Z$9,
            AND(Y11="HKD", Transactions!$Q$2="GBP"), AK11*Transactions!$Z$10,
            AND(Y11="HKD", Transactions!$Q$2="EUR"), AK11*Transactions!$Z$11,
            AND(Y11="EUR", Transactions!$Q$2="EUR"), AK11,
            AND(Y11="EUR", Transactions!$Q$2="USD"), AK11*Transactions!$Z$12,
            AND(Y11="EUR", Transactions!$Q$2="GBP"), AK11*Transactions!$Z$13,
            AND(Y11="EUR", Transactions!$Q$2="HKD"), AK11*Transactions!$Z$14,
        ),
        0
    )
)</f>
        <v>8433.5440599060857</v>
      </c>
      <c r="M11" s="119" cm="1">
        <f t="array" ref="M11">IF($A11="", "",
    IFERROR(
        _xlfn.SWITCH(
            TRUE,
            AND(Y11="USD", Transactions!$Q$2="USD"), AL11,
            AND(Y11="USD", Transactions!$Q$2="GBP"), AL11*Transactions!$Z$3,
            AND(Y11="USD", Transactions!$Q$2="HKD"), AL11*Transactions!$Z$4,
            AND(Y11="USD", Transactions!$Q$2="EUR"), AL11*Transactions!$Z$5,
            AND(Y11="GBP", Transactions!$Q$2="GBP"), AL11,
            AND(Y11="GBP", Transactions!$Q$2="USD"), AL11*Transactions!$Z$6,
            AND(Y11="GBP", Transactions!$Q$2="HKD"), AL11*Transactions!$Z$7,
            AND(Y11="HKG", Transactions!$Q$2="HKG"), AL11,
            AND(Y11="HKD", Transactions!$Q$2="USD"), AL11*Transactions!$Z$9,
            AND(Y11="HKD", Transactions!$Q$2="GBP"), AL11*Transactions!$Z$10,
            AND(Y11="HKD", Transactions!$Q$2="EUR"), AL11*Transactions!$Z$11,
            AND(Y11="EUR", Transactions!$Q$2="EUR"), AL11,
            AND(Y11="EUR", Transactions!$Q$2="USD"), AL11*Transactions!$Z$12,
            AND(Y11="EUR", Transactions!$Q$2="GBP"), AL11*Transactions!$Z$13,
            AND(Y11="EUR", Transactions!$Q$2="HKD"), AL11*Transactions!$Z$14,
        ),
        0
    )
)</f>
        <v>3886.2451555667776</v>
      </c>
      <c r="N11" s="120" cm="1">
        <f t="array" ref="N11">IF($A11="", "",
    IFERROR(
        _xlfn.SWITCH(
            TRUE,
            AND(Y11="USD", Transactions!$Q$2="USD"), AM11,
            AND(Y11="USD", Transactions!$Q$2="GBP"), AM11*Transactions!$Z$3,
            AND(Y11="USD", Transactions!$Q$2="HKD"), AM11*Transactions!$Z$4,
            AND(Y11="USD", Transactions!$Q$2="EUR"), AM11*Transactions!$Z$5,
            AND(Y11="GBP", Transactions!$Q$2="GBP"), AM11,
            AND(Y11="GBP", Transactions!$Q$2="USD"), AM11*Transactions!$Z$6,
            AND(Y11="GBP", Transactions!$Q$2="HKD"), AM11*Transactions!$Z$7,
            AND(Y11="HKG", Transactions!$Q$2="HKG"), AM11,
            AND(Y11="HKD", Transactions!$Q$2="USD"), AM11*Transactions!$Z$9,
            AND(Y11="HKD", Transactions!$Q$2="GBP"), AM11*Transactions!$Z$10,
            AND(Y11="HKD", Transactions!$Q$2="EUR"), AM11*Transactions!$Z$11,
            AND(Y11="EUR", Transactions!$Q$2="EUR"), AM11,
            AND(Y11="EUR", Transactions!$Q$2="USD"), AM11*Transactions!$Z$12,
            AND(Y11="EUR", Transactions!$Q$2="GBP"), AM11*Transactions!$Z$13,
            AND(Y11="EUR", Transactions!$Q$2="HKD"), AM11*Transactions!$Z$14,
        ),
        0
    )
)</f>
        <v>12319.789215472863</v>
      </c>
      <c r="O11" s="145"/>
      <c r="P11" s="145"/>
      <c r="Q11" s="41">
        <f t="shared" si="7"/>
        <v>9.7152032357531851E-2</v>
      </c>
      <c r="S11" s="41">
        <f t="shared" si="8"/>
        <v>9.7152032357531851E-2</v>
      </c>
      <c r="T11" s="1" t="str">
        <f t="shared" si="9"/>
        <v>Crypto</v>
      </c>
      <c r="U11" s="41">
        <f t="shared" si="10"/>
        <v>0.81515627319794193</v>
      </c>
      <c r="V11" s="41">
        <f t="shared" si="11"/>
        <v>0</v>
      </c>
      <c r="W11" s="41">
        <f t="shared" si="12"/>
        <v>0.81515627319794193</v>
      </c>
      <c r="X11" s="1" t="str">
        <f t="shared" si="0"/>
        <v>Bitcoin</v>
      </c>
      <c r="Y11" s="17" t="str">
        <f>IFERROR(IF(ISBLANK(AA11), "", IF(VLOOKUP(AA11, Transactions!D:F, 3, FALSE) = "Stablecoin", AA11, INDEX(Transactions!$B$3:$B1015, MATCH(AA11, Transactions!$D$3:$D1015, 0)))), "")</f>
        <v>USD</v>
      </c>
      <c r="Z11" s="1" t="str">
        <f>_xlfn.XLOOKUP(AA11,Transactions!$D$3:$D$1007,Transactions!$E$3:$E$1007)</f>
        <v>Bitcoin</v>
      </c>
      <c r="AA11" s="1" t="str">
        <v>BTC</v>
      </c>
      <c r="AB11" s="118" cm="1">
        <f t="array" ref="AB11">IF(ISBLANK(AA11), "",
    SUMPRODUCT(
        (Transactions!$D$3:$D$1007=AA11) *
        (Transactions!$H$3:$H$1007={"Cash Deposit","Crypto Deposit","Buy","Transfer Deposit","DRIP","Airdrop/Rewards"}) *
        Transactions!$I$3:$I$1007
    )
    - SUMPRODUCT(
        (Transactions!$D$3:$D$1007=AA11) *
        (Transactions!$H$3:$H$1007={"Sell","Transfer Send","Cash Withdrawal","Crypto Withdrawal"}) *
        Transactions!$I$3:$I$1007
    )
)</f>
        <v>0.22184523994681654</v>
      </c>
      <c r="AC11" s="2" cm="1">
        <f t="array" ref="AC11">IF(ISBLANK(AA11), "", LOOKUP(2, 1/(Transactions!D:D=AA11), Transactions!P:P))</f>
        <v>32216.561571265273</v>
      </c>
      <c r="AD11" s="2" cm="1">
        <f t="array" ref="AD11">IF(ISBLANK(AA11),"",IFERROR(_FV(AA11,"price"),INDEX('CoinGeko API'!E:E,MATCH(Portfolio_v2!AA11,'CoinGeko API'!C:C,0))))</f>
        <v>70232</v>
      </c>
      <c r="AF11" s="39" cm="1">
        <f t="array" ref="AF11">IF(ISBLANK(AA11),"",IFERROR(_FV(AA11,"Change (%)",TRUE),INDEX('CoinGeko API'!G:G,MATCH(Portfolio_v2!AA11,'CoinGeko API'!C:C,0))))</f>
        <v>5.3891700000000001E-2</v>
      </c>
      <c r="AG11" s="34" cm="1">
        <f t="array" ref="AG11">IF(ISBLANK(AA11),"",IFERROR(_FV(AA11,"change"),INDEX('CoinGeko API'!F:F,MATCH(Portfolio_v2!AA11,'CoinGeko API'!C:C,0))))</f>
        <v>3591.35</v>
      </c>
      <c r="AH11" s="2">
        <f t="shared" si="13"/>
        <v>7147.0908320387334</v>
      </c>
      <c r="AI11" s="2">
        <f t="shared" si="14"/>
        <v>15580.634891944819</v>
      </c>
      <c r="AJ11" s="40">
        <f t="shared" si="15"/>
        <v>1.179996764851579</v>
      </c>
      <c r="AK11" s="2">
        <f t="shared" si="16"/>
        <v>8433.5440599060857</v>
      </c>
      <c r="AL11" s="119">
        <f>IF(OR(ISBLANK(AA11), COUNTIFS(Transactions!$D$3:$D1015, AA11) = 0), "",
    SUMIFS(Transactions!$M$3:$M1015, Transactions!$H$3:$H1015, "Sell", Transactions!$D$3:$D1015, AA11) +
    SUMIFS(Transactions!$M$3:$M1015, Transactions!$H$3:$H1015, "Dividend", Transactions!$D$3:$D1015, AA11) -
    SUMIFS(Transactions!$M$3:$M1015, Transactions!$H$3:$H1015, "Buy", Transactions!$D$3:$D1015, AA11) -
    SUMIFS(Transactions!$M$3:$M1015, Transactions!$H$3:$H1015, "Crypto Deposit", Transactions!$D$3:$D1015, AA11) -
    SUMIFS(Transactions!$M$3:$M1015, Transactions!$H$3:$H1015, "DRIP", Transactions!$D$3:$D1015, AA11) +
    SUMIFS($AH$3:$AH1007, $AA$3:$AA1007, AA11) +
    SUMIFS(Transactions!$M$3:$M1015, Transactions!$L$3:$L1015, "Stablecoin", Transactions!$B$3:$B1015, AA11)
)</f>
        <v>3886.2451555667776</v>
      </c>
      <c r="AM11" s="120">
        <f t="shared" si="17"/>
        <v>12319.789215472863</v>
      </c>
      <c r="AN11" s="145"/>
      <c r="AO11" s="145"/>
      <c r="AP11" s="41">
        <f t="shared" si="1"/>
        <v>9.7152032357531851E-2</v>
      </c>
      <c r="AR11" s="41">
        <f t="shared" si="18"/>
        <v>9.7152032357531851E-2</v>
      </c>
      <c r="AS11" s="1" t="str">
        <f>_xlfn.XLOOKUP(AA11,Transactions!$D$3:$D$1007,Transactions!$F$3:$F$1007)</f>
        <v>Crypto</v>
      </c>
      <c r="AT11" s="41">
        <f t="shared" si="19"/>
        <v>0.81515627319794193</v>
      </c>
      <c r="AU11" s="41">
        <f t="shared" si="20"/>
        <v>0</v>
      </c>
      <c r="AV11" s="41">
        <f t="shared" si="21"/>
        <v>0.81515627319794193</v>
      </c>
      <c r="AW11" s="18" t="s">
        <v>4</v>
      </c>
    </row>
    <row r="12" spans="1:49" ht="18" customHeight="1">
      <c r="A12" s="17" t="str">
        <f t="shared" si="2"/>
        <v>Bitcoin Avalanche Bridged (BTC.b)</v>
      </c>
      <c r="B12" s="1" t="str">
        <f t="shared" si="3"/>
        <v>BTC.B</v>
      </c>
      <c r="C12" s="118">
        <f t="shared" si="4"/>
        <v>0.15500675</v>
      </c>
      <c r="D12" s="2" cm="1">
        <f t="array" ref="D12">IF($A12="", "",
    IFERROR(
        _xlfn.SWITCH(
            TRUE,
            AND(Y12="USD", Transactions!$Q$2="USD"), AC12,
            AND(Y12="USD", Transactions!$Q$2="GBP"), AC12*Transactions!$Z$3,
            AND(Y12="USD", Transactions!$Q$2="HKD"), AC12*Transactions!$Z$4,
            AND(Y12="USD", Transactions!$Q$2="EUR"), AC12*Transactions!$Z$5,
            AND(Y12="GBP", Transactions!$Q$2="GBP"), AC12,
            AND(Y12="GBP", Transactions!$Q$2="USD"), AC12*Transactions!$Z$6,
            AND(Y12="GBP", Transactions!$Q$2="HKD"), AC12*Transactions!$Z$7,
            AND(Y12="HKG", Transactions!$Q$2="HKG"), AC12,
            AND(Y12="HKD", Transactions!$Q$2="USD"), AC12*Transactions!$Z$9,
            AND(Y12="HKD", Transactions!$Q$2="GBP"), AC12*Transactions!$Z$10,
            AND(Y12="HKD", Transactions!$Q$2="EUR"), AC12*Transactions!$Z$11,
            AND(Y12="EUR", Transactions!$Q$2="EUR"), AC12,
            AND(Y12="EUR", Transactions!$Q$2="USD"), AC12*Transactions!$Z$12,
            AND(Y12="EUR", Transactions!$Q$2="GBP"), AC12*Transactions!$Z$13,
            AND(Y12="EUR", Transactions!$Q$2="HKD"), AC12*Transactions!$Z$14,
        ),
        0
    )
)</f>
        <v>31997.89</v>
      </c>
      <c r="E12" s="2" cm="1">
        <f t="array" ref="E12">IF($A12="", "",
    IFERROR(
        _xlfn.SWITCH(
            TRUE,
            AND(Y12="USD", Transactions!$Q$2="USD"), AD12,
            AND(Y12="USD", Transactions!$Q$2="GBP"), AD12*Transactions!$Z$3,
            AND(Y12="USD", Transactions!$Q$2="HKD"), AD12*Transactions!$Z$4,
            AND(Y12="USD", Transactions!$Q$2="EUR"), AD12*Transactions!$Z$5,
            AND(Y12="GBP", Transactions!$Q$2="GBP"), AD12,
            AND(Y12="GBP", Transactions!$Q$2="USD"), AD12*Transactions!$Z$6,
            AND(Y12="GBP", Transactions!$Q$2="HKD"), AD12*Transactions!$Z$7,
            AND(Y12="HKG", Transactions!$Q$2="HKG"), AD12,
            AND(Y12="HKD", Transactions!$Q$2="USD"), AD12*Transactions!$Z$9,
            AND(Y12="HKD", Transactions!$Q$2="GBP"), AD12*Transactions!$Z$10,
            AND(Y12="HKD", Transactions!$Q$2="EUR"), AD12*Transactions!$Z$11,
            AND(Y12="EUR", Transactions!$Q$2="EUR"), AD12,
            AND(Y12="EUR", Transactions!$Q$2="USD"), AD12*Transactions!$Z$12,
            AND(Y12="EUR", Transactions!$Q$2="GBP"), AD12*Transactions!$Z$13,
            AND(Y12="EUR", Transactions!$Q$2="HKD"), AD12*Transactions!$Z$14,
        ),
        0
    )
)</f>
        <v>70159</v>
      </c>
      <c r="G12" s="121">
        <f t="shared" si="5"/>
        <v>5.7659299999999997E-2</v>
      </c>
      <c r="H12" s="34" cm="1">
        <f t="array" ref="H12">IF($A12="", "",
    IFERROR(
        _xlfn.SWITCH(
            TRUE,
            AND(Y12="USD", Transactions!$Q$2="USD"), AG12,
            AND(Y12="USD", Transactions!$Q$2="GBP"), AG12*Transactions!$Z$3,
            AND(Y12="USD", Transactions!$Q$2="HKD"), AG12*Transactions!$Z$4,
            AND(Y12="USD", Transactions!$Q$2="EUR"), AG12*Transactions!$Z$5,
            AND(Y12="GBP", Transactions!$Q$2="GBP"), AG12,
            AND(Y12="GBP", Transactions!$Q$2="USD"), AG12*Transactions!$Z$6,
            AND(Y12="GBP", Transactions!$Q$2="HKD"), AG12*Transactions!$Z$7,
            AND(Y12="HKG", Transactions!$Q$2="HKG"), AG12,
            AND(Y12="HKD", Transactions!$Q$2="USD"), AG12*Transactions!$Z$9,
            AND(Y12="HKD", Transactions!$Q$2="GBP"), AG12*Transactions!$Z$10,
            AND(Y12="HKD", Transactions!$Q$2="EUR"), AG12*Transactions!$Z$11,
            AND(Y12="EUR", Transactions!$Q$2="EUR"), AG12,
            AND(Y12="EUR", Transactions!$Q$2="USD"), AG12*Transactions!$Z$12,
            AND(Y12="EUR", Transactions!$Q$2="GBP"), AG12*Transactions!$Z$13,
            AND(Y12="EUR", Transactions!$Q$2="HKD"), AG12*Transactions!$Z$14,
        ),
        0
    )
)</f>
        <v>3824.78</v>
      </c>
      <c r="I12" s="2" cm="1">
        <f t="array" ref="I12">IF($A12="", "",
    IFERROR(
        _xlfn.SWITCH(
            TRUE,
            AND(Y12="USD", Transactions!$Q$2="USD"), AH12,
            AND(Y12="USD", Transactions!$Q$2="GBP"), AH12*Transactions!$Z$3,
            AND(Y12="USD", Transactions!$Q$2="HKD"), AH12*Transactions!$Z$4,
            AND(Y12="USD", Transactions!$Q$2="EUR"), AH12*Transactions!$Z$5,
            AND(Y12="GBP", Transactions!$Q$2="GBP"), AH12,
            AND(Y12="GBP", Transactions!$Q$2="USD"), AH12*Transactions!$Z$6,
            AND(Y12="GBP", Transactions!$Q$2="HKD"), AH12*Transactions!$Z$7,
            AND(Y12="HKG", Transactions!$Q$2="HKG"), AH12,
            AND(Y12="HKD", Transactions!$Q$2="USD"), AH12*Transactions!$Z$9,
            AND(Y12="HKD", Transactions!$Q$2="GBP"), AH12*Transactions!$Z$10,
            AND(Y12="HKD", Transactions!$Q$2="EUR"), AH12*Transactions!$Z$11,
            AND(Y12="EUR", Transactions!$Q$2="EUR"), AH12,
            AND(Y12="EUR", Transactions!$Q$2="USD"), AH12*Transactions!$Z$12,
            AND(Y12="EUR", Transactions!$Q$2="GBP"), AH12*Transactions!$Z$13,
            AND(Y12="EUR", Transactions!$Q$2="HKD"), AH12*Transactions!$Z$14,
        ),
        0
    )
)</f>
        <v>4959.8889357574999</v>
      </c>
      <c r="J12" s="2" cm="1">
        <f t="array" ref="J12">IF($A12="", "",
    IFERROR(
        _xlfn.SWITCH(
            TRUE,
            AND(Y12="USD", Transactions!$Q$2="USD"), AI12,
            AND(Y12="USD", Transactions!$Q$2="GBP"), AI12*Transactions!$Z$3,
            AND(Y12="USD", Transactions!$Q$2="HKD"), AI12*Transactions!$Z$4,
            AND(Y12="USD", Transactions!$Q$2="EUR"), AI12*Transactions!$Z$5,
            AND(Y12="GBP", Transactions!$Q$2="GBP"), AI12,
            AND(Y12="GBP", Transactions!$Q$2="USD"), AI12*Transactions!$Z$6,
            AND(Y12="GBP", Transactions!$Q$2="HKD"), AI12*Transactions!$Z$7,
            AND(Y12="HKG", Transactions!$Q$2="HKG"), AI12,
            AND(Y12="HKD", Transactions!$Q$2="USD"), AI12*Transactions!$Z$9,
            AND(Y12="HKD", Transactions!$Q$2="GBP"), AI12*Transactions!$Z$10,
            AND(Y12="HKD", Transactions!$Q$2="EUR"), AI12*Transactions!$Z$11,
            AND(Y12="EUR", Transactions!$Q$2="EUR"), AI12,
            AND(Y12="EUR", Transactions!$Q$2="USD"), AI12*Transactions!$Z$12,
            AND(Y12="EUR", Transactions!$Q$2="GBP"), AI12*Transactions!$Z$13,
            AND(Y12="EUR", Transactions!$Q$2="HKD"), AI12*Transactions!$Z$14,
        ),
        0
    )
)</f>
        <v>10875.11857325</v>
      </c>
      <c r="K12" s="41">
        <f t="shared" si="6"/>
        <v>1.1926133254411462</v>
      </c>
      <c r="L12" s="2" cm="1">
        <f t="array" ref="L12">IF($A12="", "",
    IFERROR(
        _xlfn.SWITCH(
            TRUE,
            AND(Y12="USD", Transactions!$Q$2="USD"), AK12,
            AND(Y12="USD", Transactions!$Q$2="GBP"), AK12*Transactions!$Z$3,
            AND(Y12="USD", Transactions!$Q$2="HKD"), AK12*Transactions!$Z$4,
            AND(Y12="USD", Transactions!$Q$2="EUR"), AK12*Transactions!$Z$5,
            AND(Y12="GBP", Transactions!$Q$2="GBP"), AK12,
            AND(Y12="GBP", Transactions!$Q$2="USD"), AK12*Transactions!$Z$6,
            AND(Y12="GBP", Transactions!$Q$2="HKD"), AK12*Transactions!$Z$7,
            AND(Y12="HKG", Transactions!$Q$2="HKG"), AK12,
            AND(Y12="HKD", Transactions!$Q$2="USD"), AK12*Transactions!$Z$9,
            AND(Y12="HKD", Transactions!$Q$2="GBP"), AK12*Transactions!$Z$10,
            AND(Y12="HKD", Transactions!$Q$2="EUR"), AK12*Transactions!$Z$11,
            AND(Y12="EUR", Transactions!$Q$2="EUR"), AK12,
            AND(Y12="EUR", Transactions!$Q$2="USD"), AK12*Transactions!$Z$12,
            AND(Y12="EUR", Transactions!$Q$2="GBP"), AK12*Transactions!$Z$13,
            AND(Y12="EUR", Transactions!$Q$2="HKD"), AK12*Transactions!$Z$14,
        ),
        0
    )
)</f>
        <v>5915.2296374924999</v>
      </c>
      <c r="M12" s="119" cm="1">
        <f t="array" ref="M12">IF($A12="", "",
    IFERROR(
        _xlfn.SWITCH(
            TRUE,
            AND(Y12="USD", Transactions!$Q$2="USD"), AL12,
            AND(Y12="USD", Transactions!$Q$2="GBP"), AL12*Transactions!$Z$3,
            AND(Y12="USD", Transactions!$Q$2="HKD"), AL12*Transactions!$Z$4,
            AND(Y12="USD", Transactions!$Q$2="EUR"), AL12*Transactions!$Z$5,
            AND(Y12="GBP", Transactions!$Q$2="GBP"), AL12,
            AND(Y12="GBP", Transactions!$Q$2="USD"), AL12*Transactions!$Z$6,
            AND(Y12="GBP", Transactions!$Q$2="HKD"), AL12*Transactions!$Z$7,
            AND(Y12="HKG", Transactions!$Q$2="HKG"), AL12,
            AND(Y12="HKD", Transactions!$Q$2="USD"), AL12*Transactions!$Z$9,
            AND(Y12="HKD", Transactions!$Q$2="GBP"), AL12*Transactions!$Z$10,
            AND(Y12="HKD", Transactions!$Q$2="EUR"), AL12*Transactions!$Z$11,
            AND(Y12="EUR", Transactions!$Q$2="EUR"), AL12,
            AND(Y12="EUR", Transactions!$Q$2="USD"), AL12*Transactions!$Z$12,
            AND(Y12="EUR", Transactions!$Q$2="GBP"), AL12*Transactions!$Z$13,
            AND(Y12="EUR", Transactions!$Q$2="HKD"), AL12*Transactions!$Z$14,
        ),
        0
    )
)</f>
        <v>3983.8145987574999</v>
      </c>
      <c r="N12" s="120" cm="1">
        <f t="array" ref="N12">IF($A12="", "",
    IFERROR(
        _xlfn.SWITCH(
            TRUE,
            AND(Y12="USD", Transactions!$Q$2="USD"), AM12,
            AND(Y12="USD", Transactions!$Q$2="GBP"), AM12*Transactions!$Z$3,
            AND(Y12="USD", Transactions!$Q$2="HKD"), AM12*Transactions!$Z$4,
            AND(Y12="USD", Transactions!$Q$2="EUR"), AM12*Transactions!$Z$5,
            AND(Y12="GBP", Transactions!$Q$2="GBP"), AM12,
            AND(Y12="GBP", Transactions!$Q$2="USD"), AM12*Transactions!$Z$6,
            AND(Y12="GBP", Transactions!$Q$2="HKD"), AM12*Transactions!$Z$7,
            AND(Y12="HKG", Transactions!$Q$2="HKG"), AM12,
            AND(Y12="HKD", Transactions!$Q$2="USD"), AM12*Transactions!$Z$9,
            AND(Y12="HKD", Transactions!$Q$2="GBP"), AM12*Transactions!$Z$10,
            AND(Y12="HKD", Transactions!$Q$2="EUR"), AM12*Transactions!$Z$11,
            AND(Y12="EUR", Transactions!$Q$2="EUR"), AM12,
            AND(Y12="EUR", Transactions!$Q$2="USD"), AM12*Transactions!$Z$12,
            AND(Y12="EUR", Transactions!$Q$2="GBP"), AM12*Transactions!$Z$13,
            AND(Y12="EUR", Transactions!$Q$2="HKD"), AM12*Transactions!$Z$14,
        ),
        0
    )
)</f>
        <v>9899.0442362499998</v>
      </c>
      <c r="O12" s="145"/>
      <c r="P12" s="145"/>
      <c r="Q12" s="41">
        <f t="shared" si="7"/>
        <v>6.781109234942731E-2</v>
      </c>
      <c r="S12" s="41">
        <f t="shared" si="8"/>
        <v>6.781109234942731E-2</v>
      </c>
      <c r="T12" s="1" t="str">
        <f t="shared" si="9"/>
        <v>Crypto</v>
      </c>
      <c r="U12" s="41">
        <f t="shared" si="10"/>
        <v>0.81515627319794193</v>
      </c>
      <c r="V12" s="41">
        <f t="shared" si="11"/>
        <v>0</v>
      </c>
      <c r="W12" s="41">
        <f t="shared" si="12"/>
        <v>0.81515627319794193</v>
      </c>
      <c r="X12" s="1" t="str">
        <f t="shared" si="0"/>
        <v>Bitcoin</v>
      </c>
      <c r="Y12" s="17" t="str">
        <f>IFERROR(IF(ISBLANK(AA12), "", IF(VLOOKUP(AA12, Transactions!D:F, 3, FALSE) = "Stablecoin", AA12, INDEX(Transactions!$B$3:$B1016, MATCH(AA12, Transactions!$D$3:$D1016, 0)))), "")</f>
        <v>USD</v>
      </c>
      <c r="Z12" s="1" t="str">
        <f>_xlfn.XLOOKUP(AA12,Transactions!$D$3:$D$1007,Transactions!$E$3:$E$1007)</f>
        <v>Bitcoin Avalanche Bridged (BTC.b)</v>
      </c>
      <c r="AA12" s="1" t="str">
        <v>BTC.B</v>
      </c>
      <c r="AB12" s="118" cm="1">
        <f t="array" ref="AB12">IF(ISBLANK(AA12), "",
    SUMPRODUCT(
        (Transactions!$D$3:$D$1007=AA12) *
        (Transactions!$H$3:$H$1007={"Cash Deposit","Crypto Deposit","Buy","Transfer Deposit","DRIP","Airdrop/Rewards"}) *
        Transactions!$I$3:$I$1007
    )
    - SUMPRODUCT(
        (Transactions!$D$3:$D$1007=AA12) *
        (Transactions!$H$3:$H$1007={"Sell","Transfer Send","Cash Withdrawal","Crypto Withdrawal"}) *
        Transactions!$I$3:$I$1007
    )
)</f>
        <v>0.15500675</v>
      </c>
      <c r="AC12" s="2" cm="1">
        <f t="array" ref="AC12">IF(ISBLANK(AA12), "", LOOKUP(2, 1/(Transactions!D:D=AA12), Transactions!P:P))</f>
        <v>31997.89</v>
      </c>
      <c r="AD12" s="2" cm="1">
        <f t="array" ref="AD12">IF(ISBLANK(AA12),"",IFERROR(_FV(AA12,"price"),INDEX('CoinGeko API'!E:E,MATCH(Portfolio_v2!AA12,'CoinGeko API'!C:C,0))))</f>
        <v>70159</v>
      </c>
      <c r="AF12" s="39" cm="1">
        <f t="array" ref="AF12">IF(ISBLANK(AA12),"",IFERROR(_FV(AA12,"Change (%)",TRUE),INDEX('CoinGeko API'!G:G,MATCH(Portfolio_v2!AA12,'CoinGeko API'!C:C,0))))</f>
        <v>5.7659299999999997E-2</v>
      </c>
      <c r="AG12" s="34" cm="1">
        <f t="array" ref="AG12">IF(ISBLANK(AA12),"",IFERROR(_FV(AA12,"change"),INDEX('CoinGeko API'!F:F,MATCH(Portfolio_v2!AA12,'CoinGeko API'!C:C,0))))</f>
        <v>3824.78</v>
      </c>
      <c r="AH12" s="2">
        <f t="shared" si="13"/>
        <v>4959.8889357574999</v>
      </c>
      <c r="AI12" s="2">
        <f t="shared" si="14"/>
        <v>10875.11857325</v>
      </c>
      <c r="AJ12" s="40">
        <f t="shared" si="15"/>
        <v>1.1926133254411462</v>
      </c>
      <c r="AK12" s="2">
        <f t="shared" si="16"/>
        <v>5915.2296374924999</v>
      </c>
      <c r="AL12" s="119">
        <f>IF(OR(ISBLANK(AA12), COUNTIFS(Transactions!$D$3:$D1016, AA12) = 0), "",
    SUMIFS(Transactions!$M$3:$M1016, Transactions!$H$3:$H1016, "Sell", Transactions!$D$3:$D1016, AA12) +
    SUMIFS(Transactions!$M$3:$M1016, Transactions!$H$3:$H1016, "Dividend", Transactions!$D$3:$D1016, AA12) -
    SUMIFS(Transactions!$M$3:$M1016, Transactions!$H$3:$H1016, "Buy", Transactions!$D$3:$D1016, AA12) -
    SUMIFS(Transactions!$M$3:$M1016, Transactions!$H$3:$H1016, "Crypto Deposit", Transactions!$D$3:$D1016, AA12) -
    SUMIFS(Transactions!$M$3:$M1016, Transactions!$H$3:$H1016, "DRIP", Transactions!$D$3:$D1016, AA12) +
    SUMIFS($AH$3:$AH1008, $AA$3:$AA1008, AA12) +
    SUMIFS(Transactions!$M$3:$M1016, Transactions!$L$3:$L1016, "Stablecoin", Transactions!$B$3:$B1016, AA12)
)</f>
        <v>3983.8145987574999</v>
      </c>
      <c r="AM12" s="120">
        <f t="shared" si="17"/>
        <v>9899.0442362499998</v>
      </c>
      <c r="AN12" s="145"/>
      <c r="AO12" s="145"/>
      <c r="AP12" s="41">
        <f t="shared" si="1"/>
        <v>6.781109234942731E-2</v>
      </c>
      <c r="AR12" s="41">
        <f t="shared" si="18"/>
        <v>6.781109234942731E-2</v>
      </c>
      <c r="AS12" s="1" t="str">
        <f>_xlfn.XLOOKUP(AA12,Transactions!$D$3:$D$1007,Transactions!$F$3:$F$1007)</f>
        <v>Crypto</v>
      </c>
      <c r="AT12" s="41">
        <f t="shared" si="19"/>
        <v>0.81515627319794193</v>
      </c>
      <c r="AU12" s="41">
        <f t="shared" si="20"/>
        <v>0</v>
      </c>
      <c r="AV12" s="41">
        <f t="shared" si="21"/>
        <v>0.81515627319794193</v>
      </c>
      <c r="AW12" s="18" t="s">
        <v>4</v>
      </c>
    </row>
    <row r="13" spans="1:49" ht="18" customHeight="1">
      <c r="A13" s="17" t="str">
        <f t="shared" si="2"/>
        <v>Bitcoin BEP2</v>
      </c>
      <c r="B13" s="1" t="str">
        <f t="shared" si="3"/>
        <v>BTCB</v>
      </c>
      <c r="C13" s="118">
        <f t="shared" si="4"/>
        <v>0.303365</v>
      </c>
      <c r="D13" s="2" cm="1">
        <f t="array" ref="D13">IF($A13="", "",
    IFERROR(
        _xlfn.SWITCH(
            TRUE,
            AND(Y13="USD", Transactions!$Q$2="USD"), AC13,
            AND(Y13="USD", Transactions!$Q$2="GBP"), AC13*Transactions!$Z$3,
            AND(Y13="USD", Transactions!$Q$2="HKD"), AC13*Transactions!$Z$4,
            AND(Y13="USD", Transactions!$Q$2="EUR"), AC13*Transactions!$Z$5,
            AND(Y13="GBP", Transactions!$Q$2="GBP"), AC13,
            AND(Y13="GBP", Transactions!$Q$2="USD"), AC13*Transactions!$Z$6,
            AND(Y13="GBP", Transactions!$Q$2="HKD"), AC13*Transactions!$Z$7,
            AND(Y13="HKG", Transactions!$Q$2="HKG"), AC13,
            AND(Y13="HKD", Transactions!$Q$2="USD"), AC13*Transactions!$Z$9,
            AND(Y13="HKD", Transactions!$Q$2="GBP"), AC13*Transactions!$Z$10,
            AND(Y13="HKD", Transactions!$Q$2="EUR"), AC13*Transactions!$Z$11,
            AND(Y13="EUR", Transactions!$Q$2="EUR"), AC13,
            AND(Y13="EUR", Transactions!$Q$2="USD"), AC13*Transactions!$Z$12,
            AND(Y13="EUR", Transactions!$Q$2="GBP"), AC13*Transactions!$Z$13,
            AND(Y13="EUR", Transactions!$Q$2="HKD"), AC13*Transactions!$Z$14,
        ),
        0
    )
)</f>
        <v>42136.333271369273</v>
      </c>
      <c r="E13" s="2" cm="1">
        <f t="array" ref="E13">IF($A13="", "",
    IFERROR(
        _xlfn.SWITCH(
            TRUE,
            AND(Y13="USD", Transactions!$Q$2="USD"), AD13,
            AND(Y13="USD", Transactions!$Q$2="GBP"), AD13*Transactions!$Z$3,
            AND(Y13="USD", Transactions!$Q$2="HKD"), AD13*Transactions!$Z$4,
            AND(Y13="USD", Transactions!$Q$2="EUR"), AD13*Transactions!$Z$5,
            AND(Y13="GBP", Transactions!$Q$2="GBP"), AD13,
            AND(Y13="GBP", Transactions!$Q$2="USD"), AD13*Transactions!$Z$6,
            AND(Y13="GBP", Transactions!$Q$2="HKD"), AD13*Transactions!$Z$7,
            AND(Y13="HKG", Transactions!$Q$2="HKG"), AD13,
            AND(Y13="HKD", Transactions!$Q$2="USD"), AD13*Transactions!$Z$9,
            AND(Y13="HKD", Transactions!$Q$2="GBP"), AD13*Transactions!$Z$10,
            AND(Y13="HKD", Transactions!$Q$2="EUR"), AD13*Transactions!$Z$11,
            AND(Y13="EUR", Transactions!$Q$2="EUR"), AD13,
            AND(Y13="EUR", Transactions!$Q$2="USD"), AD13*Transactions!$Z$12,
            AND(Y13="EUR", Transactions!$Q$2="GBP"), AD13*Transactions!$Z$13,
            AND(Y13="EUR", Transactions!$Q$2="HKD"), AD13*Transactions!$Z$14,
        ),
        0
    )
)</f>
        <v>70224</v>
      </c>
      <c r="G13" s="121">
        <f t="shared" si="5"/>
        <v>5.4647100000000004E-2</v>
      </c>
      <c r="H13" s="34" cm="1">
        <f t="array" ref="H13">IF($A13="", "",
    IFERROR(
        _xlfn.SWITCH(
            TRUE,
            AND(Y13="USD", Transactions!$Q$2="USD"), AG13,
            AND(Y13="USD", Transactions!$Q$2="GBP"), AG13*Transactions!$Z$3,
            AND(Y13="USD", Transactions!$Q$2="HKD"), AG13*Transactions!$Z$4,
            AND(Y13="USD", Transactions!$Q$2="EUR"), AG13*Transactions!$Z$5,
            AND(Y13="GBP", Transactions!$Q$2="GBP"), AG13,
            AND(Y13="GBP", Transactions!$Q$2="USD"), AG13*Transactions!$Z$6,
            AND(Y13="GBP", Transactions!$Q$2="HKD"), AG13*Transactions!$Z$7,
            AND(Y13="HKG", Transactions!$Q$2="HKG"), AG13,
            AND(Y13="HKD", Transactions!$Q$2="USD"), AG13*Transactions!$Z$9,
            AND(Y13="HKD", Transactions!$Q$2="GBP"), AG13*Transactions!$Z$10,
            AND(Y13="HKD", Transactions!$Q$2="EUR"), AG13*Transactions!$Z$11,
            AND(Y13="EUR", Transactions!$Q$2="EUR"), AG13,
            AND(Y13="EUR", Transactions!$Q$2="USD"), AG13*Transactions!$Z$12,
            AND(Y13="EUR", Transactions!$Q$2="GBP"), AG13*Transactions!$Z$13,
            AND(Y13="EUR", Transactions!$Q$2="HKD"), AG13*Transactions!$Z$14,
        ),
        0
    )
)</f>
        <v>3638.67</v>
      </c>
      <c r="I13" s="2" cm="1">
        <f t="array" ref="I13">IF($A13="", "",
    IFERROR(
        _xlfn.SWITCH(
            TRUE,
            AND(Y13="USD", Transactions!$Q$2="USD"), AH13,
            AND(Y13="USD", Transactions!$Q$2="GBP"), AH13*Transactions!$Z$3,
            AND(Y13="USD", Transactions!$Q$2="HKD"), AH13*Transactions!$Z$4,
            AND(Y13="USD", Transactions!$Q$2="EUR"), AH13*Transactions!$Z$5,
            AND(Y13="GBP", Transactions!$Q$2="GBP"), AH13,
            AND(Y13="GBP", Transactions!$Q$2="USD"), AH13*Transactions!$Z$6,
            AND(Y13="GBP", Transactions!$Q$2="HKD"), AH13*Transactions!$Z$7,
            AND(Y13="HKG", Transactions!$Q$2="HKG"), AH13,
            AND(Y13="HKD", Transactions!$Q$2="USD"), AH13*Transactions!$Z$9,
            AND(Y13="HKD", Transactions!$Q$2="GBP"), AH13*Transactions!$Z$10,
            AND(Y13="HKD", Transactions!$Q$2="EUR"), AH13*Transactions!$Z$11,
            AND(Y13="EUR", Transactions!$Q$2="EUR"), AH13,
            AND(Y13="EUR", Transactions!$Q$2="USD"), AH13*Transactions!$Z$12,
            AND(Y13="EUR", Transactions!$Q$2="GBP"), AH13*Transactions!$Z$13,
            AND(Y13="EUR", Transactions!$Q$2="HKD"), AH13*Transactions!$Z$14,
        ),
        0
    )
)</f>
        <v>12782.688742868939</v>
      </c>
      <c r="J13" s="2" cm="1">
        <f t="array" ref="J13">IF($A13="", "",
    IFERROR(
        _xlfn.SWITCH(
            TRUE,
            AND(Y13="USD", Transactions!$Q$2="USD"), AI13,
            AND(Y13="USD", Transactions!$Q$2="GBP"), AI13*Transactions!$Z$3,
            AND(Y13="USD", Transactions!$Q$2="HKD"), AI13*Transactions!$Z$4,
            AND(Y13="USD", Transactions!$Q$2="EUR"), AI13*Transactions!$Z$5,
            AND(Y13="GBP", Transactions!$Q$2="GBP"), AI13,
            AND(Y13="GBP", Transactions!$Q$2="USD"), AI13*Transactions!$Z$6,
            AND(Y13="GBP", Transactions!$Q$2="HKD"), AI13*Transactions!$Z$7,
            AND(Y13="HKG", Transactions!$Q$2="HKG"), AI13,
            AND(Y13="HKD", Transactions!$Q$2="USD"), AI13*Transactions!$Z$9,
            AND(Y13="HKD", Transactions!$Q$2="GBP"), AI13*Transactions!$Z$10,
            AND(Y13="HKD", Transactions!$Q$2="EUR"), AI13*Transactions!$Z$11,
            AND(Y13="EUR", Transactions!$Q$2="EUR"), AI13,
            AND(Y13="EUR", Transactions!$Q$2="USD"), AI13*Transactions!$Z$12,
            AND(Y13="EUR", Transactions!$Q$2="GBP"), AI13*Transactions!$Z$13,
            AND(Y13="EUR", Transactions!$Q$2="HKD"), AI13*Transactions!$Z$14,
        ),
        0
    )
)</f>
        <v>21303.50376</v>
      </c>
      <c r="K13" s="41">
        <f t="shared" si="6"/>
        <v>0.66659019776919437</v>
      </c>
      <c r="L13" s="2" cm="1">
        <f t="array" ref="L13">IF($A13="", "",
    IFERROR(
        _xlfn.SWITCH(
            TRUE,
            AND(Y13="USD", Transactions!$Q$2="USD"), AK13,
            AND(Y13="USD", Transactions!$Q$2="GBP"), AK13*Transactions!$Z$3,
            AND(Y13="USD", Transactions!$Q$2="HKD"), AK13*Transactions!$Z$4,
            AND(Y13="USD", Transactions!$Q$2="EUR"), AK13*Transactions!$Z$5,
            AND(Y13="GBP", Transactions!$Q$2="GBP"), AK13,
            AND(Y13="GBP", Transactions!$Q$2="USD"), AK13*Transactions!$Z$6,
            AND(Y13="GBP", Transactions!$Q$2="HKD"), AK13*Transactions!$Z$7,
            AND(Y13="HKG", Transactions!$Q$2="HKG"), AK13,
            AND(Y13="HKD", Transactions!$Q$2="USD"), AK13*Transactions!$Z$9,
            AND(Y13="HKD", Transactions!$Q$2="GBP"), AK13*Transactions!$Z$10,
            AND(Y13="HKD", Transactions!$Q$2="EUR"), AK13*Transactions!$Z$11,
            AND(Y13="EUR", Transactions!$Q$2="EUR"), AK13,
            AND(Y13="EUR", Transactions!$Q$2="USD"), AK13*Transactions!$Z$12,
            AND(Y13="EUR", Transactions!$Q$2="GBP"), AK13*Transactions!$Z$13,
            AND(Y13="EUR", Transactions!$Q$2="HKD"), AK13*Transactions!$Z$14,
        ),
        0
    )
)</f>
        <v>8520.8150171310608</v>
      </c>
      <c r="M13" s="119" cm="1">
        <f t="array" ref="M13">IF($A13="", "",
    IFERROR(
        _xlfn.SWITCH(
            TRUE,
            AND(Y13="USD", Transactions!$Q$2="USD"), AL13,
            AND(Y13="USD", Transactions!$Q$2="GBP"), AL13*Transactions!$Z$3,
            AND(Y13="USD", Transactions!$Q$2="HKD"), AL13*Transactions!$Z$4,
            AND(Y13="USD", Transactions!$Q$2="EUR"), AL13*Transactions!$Z$5,
            AND(Y13="GBP", Transactions!$Q$2="GBP"), AL13,
            AND(Y13="GBP", Transactions!$Q$2="USD"), AL13*Transactions!$Z$6,
            AND(Y13="GBP", Transactions!$Q$2="HKD"), AL13*Transactions!$Z$7,
            AND(Y13="HKG", Transactions!$Q$2="HKG"), AL13,
            AND(Y13="HKD", Transactions!$Q$2="USD"), AL13*Transactions!$Z$9,
            AND(Y13="HKD", Transactions!$Q$2="GBP"), AL13*Transactions!$Z$10,
            AND(Y13="HKD", Transactions!$Q$2="EUR"), AL13*Transactions!$Z$11,
            AND(Y13="EUR", Transactions!$Q$2="EUR"), AL13,
            AND(Y13="EUR", Transactions!$Q$2="USD"), AL13*Transactions!$Z$12,
            AND(Y13="EUR", Transactions!$Q$2="GBP"), AL13*Transactions!$Z$13,
            AND(Y13="EUR", Transactions!$Q$2="HKD"), AL13*Transactions!$Z$14,
        ),
        0
    )
)</f>
        <v>194.82468191893895</v>
      </c>
      <c r="N13" s="120" cm="1">
        <f t="array" ref="N13">IF($A13="", "",
    IFERROR(
        _xlfn.SWITCH(
            TRUE,
            AND(Y13="USD", Transactions!$Q$2="USD"), AM13,
            AND(Y13="USD", Transactions!$Q$2="GBP"), AM13*Transactions!$Z$3,
            AND(Y13="USD", Transactions!$Q$2="HKD"), AM13*Transactions!$Z$4,
            AND(Y13="USD", Transactions!$Q$2="EUR"), AM13*Transactions!$Z$5,
            AND(Y13="GBP", Transactions!$Q$2="GBP"), AM13,
            AND(Y13="GBP", Transactions!$Q$2="USD"), AM13*Transactions!$Z$6,
            AND(Y13="GBP", Transactions!$Q$2="HKD"), AM13*Transactions!$Z$7,
            AND(Y13="HKG", Transactions!$Q$2="HKG"), AM13,
            AND(Y13="HKD", Transactions!$Q$2="USD"), AM13*Transactions!$Z$9,
            AND(Y13="HKD", Transactions!$Q$2="GBP"), AM13*Transactions!$Z$10,
            AND(Y13="HKD", Transactions!$Q$2="EUR"), AM13*Transactions!$Z$11,
            AND(Y13="EUR", Transactions!$Q$2="EUR"), AM13,
            AND(Y13="EUR", Transactions!$Q$2="USD"), AM13*Transactions!$Z$12,
            AND(Y13="EUR", Transactions!$Q$2="GBP"), AM13*Transactions!$Z$13,
            AND(Y13="EUR", Transactions!$Q$2="HKD"), AM13*Transactions!$Z$14,
        ),
        0
    )
)</f>
        <v>8715.6396990499998</v>
      </c>
      <c r="O13" s="145"/>
      <c r="P13" s="145"/>
      <c r="Q13" s="41">
        <f t="shared" si="7"/>
        <v>0.13283660781309653</v>
      </c>
      <c r="S13" s="41">
        <f t="shared" si="8"/>
        <v>0.13283660781309653</v>
      </c>
      <c r="T13" s="1" t="str">
        <f t="shared" si="9"/>
        <v>Crypto</v>
      </c>
      <c r="U13" s="41">
        <f t="shared" si="10"/>
        <v>0.81515627319794193</v>
      </c>
      <c r="V13" s="41">
        <f t="shared" si="11"/>
        <v>0</v>
      </c>
      <c r="W13" s="41">
        <f t="shared" si="12"/>
        <v>0.81515627319794193</v>
      </c>
      <c r="X13" s="1" t="str">
        <f t="shared" si="0"/>
        <v>Bitcoin</v>
      </c>
      <c r="Y13" s="17" t="str">
        <f>IFERROR(IF(ISBLANK(AA13), "", IF(VLOOKUP(AA13, Transactions!D:F, 3, FALSE) = "Stablecoin", AA13, INDEX(Transactions!$B$3:$B1017, MATCH(AA13, Transactions!$D$3:$D1017, 0)))), "")</f>
        <v>USD</v>
      </c>
      <c r="Z13" s="1" t="str">
        <f>_xlfn.XLOOKUP(AA13,Transactions!$D$3:$D$1007,Transactions!$E$3:$E$1007)</f>
        <v>Bitcoin BEP2</v>
      </c>
      <c r="AA13" s="1" t="str">
        <v>BTCB</v>
      </c>
      <c r="AB13" s="118" cm="1">
        <f t="array" ref="AB13">IF(ISBLANK(AA13), "",
    SUMPRODUCT(
        (Transactions!$D$3:$D$1007=AA13) *
        (Transactions!$H$3:$H$1007={"Cash Deposit","Crypto Deposit","Buy","Transfer Deposit","DRIP","Airdrop/Rewards"}) *
        Transactions!$I$3:$I$1007
    )
    - SUMPRODUCT(
        (Transactions!$D$3:$D$1007=AA13) *
        (Transactions!$H$3:$H$1007={"Sell","Transfer Send","Cash Withdrawal","Crypto Withdrawal"}) *
        Transactions!$I$3:$I$1007
    )
)</f>
        <v>0.303365</v>
      </c>
      <c r="AC13" s="2" cm="1">
        <f t="array" ref="AC13">IF(ISBLANK(AA13), "", LOOKUP(2, 1/(Transactions!D:D=AA13), Transactions!P:P))</f>
        <v>42136.333271369273</v>
      </c>
      <c r="AD13" s="2" cm="1">
        <f t="array" ref="AD13">IF(ISBLANK(AA13),"",IFERROR(_FV(AA13,"price"),INDEX('CoinGeko API'!E:E,MATCH(Portfolio_v2!AA13,'CoinGeko API'!C:C,0))))</f>
        <v>70224</v>
      </c>
      <c r="AF13" s="39" cm="1">
        <f t="array" ref="AF13">IF(ISBLANK(AA13),"",IFERROR(_FV(AA13,"Change (%)",TRUE),INDEX('CoinGeko API'!G:G,MATCH(Portfolio_v2!AA13,'CoinGeko API'!C:C,0))))</f>
        <v>5.4647100000000004E-2</v>
      </c>
      <c r="AG13" s="34" cm="1">
        <f t="array" ref="AG13">IF(ISBLANK(AA13),"",IFERROR(_FV(AA13,"change"),INDEX('CoinGeko API'!F:F,MATCH(Portfolio_v2!AA13,'CoinGeko API'!C:C,0))))</f>
        <v>3638.67</v>
      </c>
      <c r="AH13" s="2">
        <f t="shared" si="13"/>
        <v>12782.688742868939</v>
      </c>
      <c r="AI13" s="2">
        <f t="shared" si="14"/>
        <v>21303.50376</v>
      </c>
      <c r="AJ13" s="40">
        <f t="shared" si="15"/>
        <v>0.66659019776919437</v>
      </c>
      <c r="AK13" s="2">
        <f t="shared" si="16"/>
        <v>8520.8150171310608</v>
      </c>
      <c r="AL13" s="119">
        <f>IF(OR(ISBLANK(AA13), COUNTIFS(Transactions!$D$3:$D1017, AA13) = 0), "",
    SUMIFS(Transactions!$M$3:$M1017, Transactions!$H$3:$H1017, "Sell", Transactions!$D$3:$D1017, AA13) +
    SUMIFS(Transactions!$M$3:$M1017, Transactions!$H$3:$H1017, "Dividend", Transactions!$D$3:$D1017, AA13) -
    SUMIFS(Transactions!$M$3:$M1017, Transactions!$H$3:$H1017, "Buy", Transactions!$D$3:$D1017, AA13) -
    SUMIFS(Transactions!$M$3:$M1017, Transactions!$H$3:$H1017, "Crypto Deposit", Transactions!$D$3:$D1017, AA13) -
    SUMIFS(Transactions!$M$3:$M1017, Transactions!$H$3:$H1017, "DRIP", Transactions!$D$3:$D1017, AA13) +
    SUMIFS($AH$3:$AH1009, $AA$3:$AA1009, AA13) +
    SUMIFS(Transactions!$M$3:$M1017, Transactions!$L$3:$L1017, "Stablecoin", Transactions!$B$3:$B1017, AA13)
)</f>
        <v>194.82468191893895</v>
      </c>
      <c r="AM13" s="120">
        <f t="shared" si="17"/>
        <v>8715.6396990499998</v>
      </c>
      <c r="AN13" s="145"/>
      <c r="AO13" s="145"/>
      <c r="AP13" s="41">
        <f t="shared" si="1"/>
        <v>0.13283660781309653</v>
      </c>
      <c r="AR13" s="41">
        <f t="shared" si="18"/>
        <v>0.13283660781309653</v>
      </c>
      <c r="AS13" s="1" t="str">
        <f>_xlfn.XLOOKUP(AA13,Transactions!$D$3:$D$1007,Transactions!$F$3:$F$1007)</f>
        <v>Crypto</v>
      </c>
      <c r="AT13" s="41">
        <f t="shared" si="19"/>
        <v>0.81515627319794193</v>
      </c>
      <c r="AU13" s="41">
        <f t="shared" si="20"/>
        <v>0</v>
      </c>
      <c r="AV13" s="41">
        <f t="shared" si="21"/>
        <v>0.81515627319794193</v>
      </c>
      <c r="AW13" s="18" t="s">
        <v>4</v>
      </c>
    </row>
    <row r="14" spans="1:49" ht="18" customHeight="1">
      <c r="A14" s="17" t="str">
        <f t="shared" si="2"/>
        <v>COQ Inu</v>
      </c>
      <c r="B14" s="1" t="str">
        <f t="shared" si="3"/>
        <v>COQ</v>
      </c>
      <c r="C14" s="118">
        <f t="shared" si="4"/>
        <v>100000000</v>
      </c>
      <c r="D14" s="122" cm="1">
        <f t="array" ref="D14">IF($A14="", "",
    IFERROR(
        _xlfn.SWITCH(
            TRUE,
            AND(Y14="USD", Transactions!$Q$2="USD"), AC14,
            AND(Y14="USD", Transactions!$Q$2="GBP"), AC14*Transactions!$Z$3,
            AND(Y14="USD", Transactions!$Q$2="HKD"), AC14*Transactions!$Z$4,
            AND(Y14="USD", Transactions!$Q$2="EUR"), AC14*Transactions!$Z$5,
            AND(Y14="GBP", Transactions!$Q$2="GBP"), AC14,
            AND(Y14="GBP", Transactions!$Q$2="USD"), AC14*Transactions!$Z$6,
            AND(Y14="GBP", Transactions!$Q$2="HKD"), AC14*Transactions!$Z$7,
            AND(Y14="HKG", Transactions!$Q$2="HKG"), AC14,
            AND(Y14="HKD", Transactions!$Q$2="USD"), AC14*Transactions!$Z$9,
            AND(Y14="HKD", Transactions!$Q$2="GBP"), AC14*Transactions!$Z$10,
            AND(Y14="HKD", Transactions!$Q$2="EUR"), AC14*Transactions!$Z$11,
            AND(Y14="EUR", Transactions!$Q$2="EUR"), AC14,
            AND(Y14="EUR", Transactions!$Q$2="USD"), AC14*Transactions!$Z$12,
            AND(Y14="EUR", Transactions!$Q$2="GBP"), AC14*Transactions!$Z$13,
            AND(Y14="EUR", Transactions!$Q$2="HKD"), AC14*Transactions!$Z$14,
        ),
        0
    )
)</f>
        <v>2.3139999999999998E-6</v>
      </c>
      <c r="E14" s="122" cm="1">
        <f t="array" ref="E14">IF($A14="", "",
    IFERROR(
        _xlfn.SWITCH(
            TRUE,
            AND(Y14="USD", Transactions!$Q$2="USD"), AD14,
            AND(Y14="USD", Transactions!$Q$2="GBP"), AD14*Transactions!$Z$3,
            AND(Y14="USD", Transactions!$Q$2="HKD"), AD14*Transactions!$Z$4,
            AND(Y14="USD", Transactions!$Q$2="EUR"), AD14*Transactions!$Z$5,
            AND(Y14="GBP", Transactions!$Q$2="GBP"), AD14,
            AND(Y14="GBP", Transactions!$Q$2="USD"), AD14*Transactions!$Z$6,
            AND(Y14="GBP", Transactions!$Q$2="HKD"), AD14*Transactions!$Z$7,
            AND(Y14="HKG", Transactions!$Q$2="HKG"), AD14,
            AND(Y14="HKD", Transactions!$Q$2="USD"), AD14*Transactions!$Z$9,
            AND(Y14="HKD", Transactions!$Q$2="GBP"), AD14*Transactions!$Z$10,
            AND(Y14="HKD", Transactions!$Q$2="EUR"), AD14*Transactions!$Z$11,
            AND(Y14="EUR", Transactions!$Q$2="EUR"), AD14,
            AND(Y14="EUR", Transactions!$Q$2="USD"), AD14*Transactions!$Z$12,
            AND(Y14="EUR", Transactions!$Q$2="GBP"), AD14*Transactions!$Z$13,
            AND(Y14="EUR", Transactions!$Q$2="HKD"), AD14*Transactions!$Z$14,
        ),
        0
    )
)</f>
        <v>4.7099999999999998E-6</v>
      </c>
      <c r="G14" s="121">
        <f t="shared" si="5"/>
        <v>3.4625400000000001E-2</v>
      </c>
      <c r="H14" s="34" cm="1">
        <f t="array" ref="H14">IF($A14="", "",
    IFERROR(
        _xlfn.SWITCH(
            TRUE,
            AND(Y14="USD", Transactions!$Q$2="USD"), AG14,
            AND(Y14="USD", Transactions!$Q$2="GBP"), AG14*Transactions!$Z$3,
            AND(Y14="USD", Transactions!$Q$2="HKD"), AG14*Transactions!$Z$4,
            AND(Y14="USD", Transactions!$Q$2="EUR"), AG14*Transactions!$Z$5,
            AND(Y14="GBP", Transactions!$Q$2="GBP"), AG14,
            AND(Y14="GBP", Transactions!$Q$2="USD"), AG14*Transactions!$Z$6,
            AND(Y14="GBP", Transactions!$Q$2="HKD"), AG14*Transactions!$Z$7,
            AND(Y14="HKG", Transactions!$Q$2="HKG"), AG14,
            AND(Y14="HKD", Transactions!$Q$2="USD"), AG14*Transactions!$Z$9,
            AND(Y14="HKD", Transactions!$Q$2="GBP"), AG14*Transactions!$Z$10,
            AND(Y14="HKD", Transactions!$Q$2="EUR"), AG14*Transactions!$Z$11,
            AND(Y14="EUR", Transactions!$Q$2="EUR"), AG14,
            AND(Y14="EUR", Transactions!$Q$2="USD"), AG14*Transactions!$Z$12,
            AND(Y14="EUR", Transactions!$Q$2="GBP"), AG14*Transactions!$Z$13,
            AND(Y14="EUR", Transactions!$Q$2="HKD"), AG14*Transactions!$Z$14,
        ),
        0
    )
)</f>
        <v>1.57682E-7</v>
      </c>
      <c r="I14" s="2" cm="1">
        <f t="array" ref="I14">IF($A14="", "",
    IFERROR(
        _xlfn.SWITCH(
            TRUE,
            AND(Y14="USD", Transactions!$Q$2="USD"), AH14,
            AND(Y14="USD", Transactions!$Q$2="GBP"), AH14*Transactions!$Z$3,
            AND(Y14="USD", Transactions!$Q$2="HKD"), AH14*Transactions!$Z$4,
            AND(Y14="USD", Transactions!$Q$2="EUR"), AH14*Transactions!$Z$5,
            AND(Y14="GBP", Transactions!$Q$2="GBP"), AH14,
            AND(Y14="GBP", Transactions!$Q$2="USD"), AH14*Transactions!$Z$6,
            AND(Y14="GBP", Transactions!$Q$2="HKD"), AH14*Transactions!$Z$7,
            AND(Y14="HKG", Transactions!$Q$2="HKG"), AH14,
            AND(Y14="HKD", Transactions!$Q$2="USD"), AH14*Transactions!$Z$9,
            AND(Y14="HKD", Transactions!$Q$2="GBP"), AH14*Transactions!$Z$10,
            AND(Y14="HKD", Transactions!$Q$2="EUR"), AH14*Transactions!$Z$11,
            AND(Y14="EUR", Transactions!$Q$2="EUR"), AH14,
            AND(Y14="EUR", Transactions!$Q$2="USD"), AH14*Transactions!$Z$12,
            AND(Y14="EUR", Transactions!$Q$2="GBP"), AH14*Transactions!$Z$13,
            AND(Y14="EUR", Transactions!$Q$2="HKD"), AH14*Transactions!$Z$14,
        ),
        0
    )
)</f>
        <v>231.39999999999998</v>
      </c>
      <c r="J14" s="2" cm="1">
        <f t="array" ref="J14">IF($A14="", "",
    IFERROR(
        _xlfn.SWITCH(
            TRUE,
            AND(Y14="USD", Transactions!$Q$2="USD"), AI14,
            AND(Y14="USD", Transactions!$Q$2="GBP"), AI14*Transactions!$Z$3,
            AND(Y14="USD", Transactions!$Q$2="HKD"), AI14*Transactions!$Z$4,
            AND(Y14="USD", Transactions!$Q$2="EUR"), AI14*Transactions!$Z$5,
            AND(Y14="GBP", Transactions!$Q$2="GBP"), AI14,
            AND(Y14="GBP", Transactions!$Q$2="USD"), AI14*Transactions!$Z$6,
            AND(Y14="GBP", Transactions!$Q$2="HKD"), AI14*Transactions!$Z$7,
            AND(Y14="HKG", Transactions!$Q$2="HKG"), AI14,
            AND(Y14="HKD", Transactions!$Q$2="USD"), AI14*Transactions!$Z$9,
            AND(Y14="HKD", Transactions!$Q$2="GBP"), AI14*Transactions!$Z$10,
            AND(Y14="HKD", Transactions!$Q$2="EUR"), AI14*Transactions!$Z$11,
            AND(Y14="EUR", Transactions!$Q$2="EUR"), AI14,
            AND(Y14="EUR", Transactions!$Q$2="USD"), AI14*Transactions!$Z$12,
            AND(Y14="EUR", Transactions!$Q$2="GBP"), AI14*Transactions!$Z$13,
            AND(Y14="EUR", Transactions!$Q$2="HKD"), AI14*Transactions!$Z$14,
        ),
        0
    )
)</f>
        <v>471</v>
      </c>
      <c r="K14" s="41">
        <f t="shared" si="6"/>
        <v>1.0354364736387209</v>
      </c>
      <c r="L14" s="2" cm="1">
        <f t="array" ref="L14">IF($A14="", "",
    IFERROR(
        _xlfn.SWITCH(
            TRUE,
            AND(Y14="USD", Transactions!$Q$2="USD"), AK14,
            AND(Y14="USD", Transactions!$Q$2="GBP"), AK14*Transactions!$Z$3,
            AND(Y14="USD", Transactions!$Q$2="HKD"), AK14*Transactions!$Z$4,
            AND(Y14="USD", Transactions!$Q$2="EUR"), AK14*Transactions!$Z$5,
            AND(Y14="GBP", Transactions!$Q$2="GBP"), AK14,
            AND(Y14="GBP", Transactions!$Q$2="USD"), AK14*Transactions!$Z$6,
            AND(Y14="GBP", Transactions!$Q$2="HKD"), AK14*Transactions!$Z$7,
            AND(Y14="HKG", Transactions!$Q$2="HKG"), AK14,
            AND(Y14="HKD", Transactions!$Q$2="USD"), AK14*Transactions!$Z$9,
            AND(Y14="HKD", Transactions!$Q$2="GBP"), AK14*Transactions!$Z$10,
            AND(Y14="HKD", Transactions!$Q$2="EUR"), AK14*Transactions!$Z$11,
            AND(Y14="EUR", Transactions!$Q$2="EUR"), AK14,
            AND(Y14="EUR", Transactions!$Q$2="USD"), AK14*Transactions!$Z$12,
            AND(Y14="EUR", Transactions!$Q$2="GBP"), AK14*Transactions!$Z$13,
            AND(Y14="EUR", Transactions!$Q$2="HKD"), AK14*Transactions!$Z$14,
        ),
        0
    )
)</f>
        <v>239.60000000000002</v>
      </c>
      <c r="M14" s="119" cm="1">
        <f t="array" ref="M14">IF($A14="", "",
    IFERROR(
        _xlfn.SWITCH(
            TRUE,
            AND(Y14="USD", Transactions!$Q$2="USD"), AL14,
            AND(Y14="USD", Transactions!$Q$2="GBP"), AL14*Transactions!$Z$3,
            AND(Y14="USD", Transactions!$Q$2="HKD"), AL14*Transactions!$Z$4,
            AND(Y14="USD", Transactions!$Q$2="EUR"), AL14*Transactions!$Z$5,
            AND(Y14="GBP", Transactions!$Q$2="GBP"), AL14,
            AND(Y14="GBP", Transactions!$Q$2="USD"), AL14*Transactions!$Z$6,
            AND(Y14="GBP", Transactions!$Q$2="HKD"), AL14*Transactions!$Z$7,
            AND(Y14="HKG", Transactions!$Q$2="HKG"), AL14,
            AND(Y14="HKD", Transactions!$Q$2="USD"), AL14*Transactions!$Z$9,
            AND(Y14="HKD", Transactions!$Q$2="GBP"), AL14*Transactions!$Z$10,
            AND(Y14="HKD", Transactions!$Q$2="EUR"), AL14*Transactions!$Z$11,
            AND(Y14="EUR", Transactions!$Q$2="EUR"), AL14,
            AND(Y14="EUR", Transactions!$Q$2="USD"), AL14*Transactions!$Z$12,
            AND(Y14="EUR", Transactions!$Q$2="GBP"), AL14*Transactions!$Z$13,
            AND(Y14="EUR", Transactions!$Q$2="HKD"), AL14*Transactions!$Z$14,
        ),
        0
    )
)</f>
        <v>106.85999999999996</v>
      </c>
      <c r="N14" s="120" cm="1">
        <f t="array" ref="N14">IF($A14="", "",
    IFERROR(
        _xlfn.SWITCH(
            TRUE,
            AND(Y14="USD", Transactions!$Q$2="USD"), AM14,
            AND(Y14="USD", Transactions!$Q$2="GBP"), AM14*Transactions!$Z$3,
            AND(Y14="USD", Transactions!$Q$2="HKD"), AM14*Transactions!$Z$4,
            AND(Y14="USD", Transactions!$Q$2="EUR"), AM14*Transactions!$Z$5,
            AND(Y14="GBP", Transactions!$Q$2="GBP"), AM14,
            AND(Y14="GBP", Transactions!$Q$2="USD"), AM14*Transactions!$Z$6,
            AND(Y14="GBP", Transactions!$Q$2="HKD"), AM14*Transactions!$Z$7,
            AND(Y14="HKG", Transactions!$Q$2="HKG"), AM14,
            AND(Y14="HKD", Transactions!$Q$2="USD"), AM14*Transactions!$Z$9,
            AND(Y14="HKD", Transactions!$Q$2="GBP"), AM14*Transactions!$Z$10,
            AND(Y14="HKD", Transactions!$Q$2="EUR"), AM14*Transactions!$Z$11,
            AND(Y14="EUR", Transactions!$Q$2="EUR"), AM14,
            AND(Y14="EUR", Transactions!$Q$2="USD"), AM14*Transactions!$Z$12,
            AND(Y14="EUR", Transactions!$Q$2="GBP"), AM14*Transactions!$Z$13,
            AND(Y14="EUR", Transactions!$Q$2="HKD"), AM14*Transactions!$Z$14,
        ),
        0
    )
)</f>
        <v>346.46</v>
      </c>
      <c r="O14" s="145"/>
      <c r="P14" s="145"/>
      <c r="Q14" s="41">
        <f t="shared" si="7"/>
        <v>2.9368897710358825E-3</v>
      </c>
      <c r="S14" s="41">
        <f t="shared" si="8"/>
        <v>2.9368897710358825E-3</v>
      </c>
      <c r="T14" s="1" t="str">
        <f t="shared" si="9"/>
        <v>Crypto</v>
      </c>
      <c r="U14" s="41">
        <f t="shared" si="10"/>
        <v>0.81515627319794193</v>
      </c>
      <c r="V14" s="41">
        <f t="shared" si="11"/>
        <v>0</v>
      </c>
      <c r="W14" s="41">
        <f t="shared" si="12"/>
        <v>0.81515627319794193</v>
      </c>
      <c r="X14" s="1" t="str">
        <f t="shared" si="0"/>
        <v>Meme</v>
      </c>
      <c r="Y14" s="17" t="str">
        <f>IFERROR(IF(ISBLANK(AA14), "", IF(VLOOKUP(AA14, Transactions!D:F, 3, FALSE) = "Stablecoin", AA14, INDEX(Transactions!$B$3:$B1018, MATCH(AA14, Transactions!$D$3:$D1018, 0)))), "")</f>
        <v>USD</v>
      </c>
      <c r="Z14" s="1" t="str">
        <f>_xlfn.XLOOKUP(AA14,Transactions!$D$3:$D$1007,Transactions!$E$3:$E$1007)</f>
        <v>COQ Inu</v>
      </c>
      <c r="AA14" s="123" t="str">
        <v>COQ</v>
      </c>
      <c r="AB14" s="118" cm="1">
        <f t="array" ref="AB14">IF(ISBLANK(AA14), "",
    SUMPRODUCT(
        (Transactions!$D$3:$D$1007=AA14) *
        (Transactions!$H$3:$H$1007={"Cash Deposit","Crypto Deposit","Buy","Transfer Deposit","DRIP","Airdrop/Rewards"}) *
        Transactions!$I$3:$I$1007
    )
    - SUMPRODUCT(
        (Transactions!$D$3:$D$1007=AA14) *
        (Transactions!$H$3:$H$1007={"Sell","Transfer Send","Cash Withdrawal","Crypto Withdrawal"}) *
        Transactions!$I$3:$I$1007
    )
)</f>
        <v>100000000</v>
      </c>
      <c r="AC14" s="122" cm="1">
        <f t="array" ref="AC14">IF(ISBLANK(AA14), "", LOOKUP(2, 1/(Transactions!D:D=AA14), Transactions!P:P))</f>
        <v>2.3139999999999998E-6</v>
      </c>
      <c r="AD14" s="122" cm="1">
        <f t="array" ref="AD14">IF(ISBLANK(AA14),"",IFERROR(_FV(AA14,"price"),INDEX('CoinGeko API'!E:E,MATCH(Portfolio_v2!AA14,'CoinGeko API'!C:C,0))))</f>
        <v>4.7099999999999998E-6</v>
      </c>
      <c r="AF14" s="39" cm="1">
        <f t="array" ref="AF14">IF(ISBLANK(AA14),"",IFERROR(_FV(AA14,"Change (%)",TRUE),INDEX('CoinGeko API'!G:G,MATCH(Portfolio_v2!AA14,'CoinGeko API'!C:C,0))))</f>
        <v>3.4625400000000001E-2</v>
      </c>
      <c r="AG14" s="34" cm="1">
        <f t="array" ref="AG14">IF(ISBLANK(AA14),"",IFERROR(_FV(AA14,"change"),INDEX('CoinGeko API'!F:F,MATCH(Portfolio_v2!AA14,'CoinGeko API'!C:C,0))))</f>
        <v>1.57682E-7</v>
      </c>
      <c r="AH14" s="2">
        <f t="shared" si="13"/>
        <v>231.39999999999998</v>
      </c>
      <c r="AI14" s="2">
        <f t="shared" si="14"/>
        <v>471</v>
      </c>
      <c r="AJ14" s="40">
        <f t="shared" si="15"/>
        <v>1.0354364736387209</v>
      </c>
      <c r="AK14" s="2">
        <f t="shared" si="16"/>
        <v>239.60000000000002</v>
      </c>
      <c r="AL14" s="119">
        <f>IF(OR(ISBLANK(AA14), COUNTIFS(Transactions!$D$3:$D1018, AA14) = 0), "",
    SUMIFS(Transactions!$M$3:$M1018, Transactions!$H$3:$H1018, "Sell", Transactions!$D$3:$D1018, AA14) +
    SUMIFS(Transactions!$M$3:$M1018, Transactions!$H$3:$H1018, "Dividend", Transactions!$D$3:$D1018, AA14) -
    SUMIFS(Transactions!$M$3:$M1018, Transactions!$H$3:$H1018, "Buy", Transactions!$D$3:$D1018, AA14) -
    SUMIFS(Transactions!$M$3:$M1018, Transactions!$H$3:$H1018, "Crypto Deposit", Transactions!$D$3:$D1018, AA14) -
    SUMIFS(Transactions!$M$3:$M1018, Transactions!$H$3:$H1018, "DRIP", Transactions!$D$3:$D1018, AA14) +
    SUMIFS($AH$3:$AH1010, $AA$3:$AA1010, AA14) +
    SUMIFS(Transactions!$M$3:$M1018, Transactions!$L$3:$L1018, "Stablecoin", Transactions!$B$3:$B1018, AA14)
)</f>
        <v>106.85999999999996</v>
      </c>
      <c r="AM14" s="120">
        <f t="shared" si="17"/>
        <v>346.46</v>
      </c>
      <c r="AN14" s="145"/>
      <c r="AO14" s="145"/>
      <c r="AP14" s="41">
        <f t="shared" si="1"/>
        <v>2.9368897710358825E-3</v>
      </c>
      <c r="AR14" s="41">
        <f t="shared" si="18"/>
        <v>2.9368897710358825E-3</v>
      </c>
      <c r="AS14" s="1" t="str">
        <f>_xlfn.XLOOKUP(AA14,Transactions!$D$3:$D$1007,Transactions!$F$3:$F$1007)</f>
        <v>Crypto</v>
      </c>
      <c r="AT14" s="41">
        <f t="shared" si="19"/>
        <v>0.81515627319794193</v>
      </c>
      <c r="AU14" s="41">
        <f t="shared" si="20"/>
        <v>0</v>
      </c>
      <c r="AV14" s="41">
        <f t="shared" si="21"/>
        <v>0.81515627319794193</v>
      </c>
      <c r="AW14" s="18" t="s">
        <v>19</v>
      </c>
    </row>
    <row r="15" spans="1:49" ht="18" customHeight="1">
      <c r="A15" s="17" t="str">
        <f t="shared" si="2"/>
        <v>Cronos</v>
      </c>
      <c r="B15" s="1" t="str">
        <f t="shared" si="3"/>
        <v>CRO</v>
      </c>
      <c r="C15" s="118">
        <f t="shared" si="4"/>
        <v>11558.85</v>
      </c>
      <c r="D15" s="2" cm="1">
        <f t="array" ref="D15">IF($A15="", "",
    IFERROR(
        _xlfn.SWITCH(
            TRUE,
            AND(Y15="USD", Transactions!$Q$2="USD"), AC15,
            AND(Y15="USD", Transactions!$Q$2="GBP"), AC15*Transactions!$Z$3,
            AND(Y15="USD", Transactions!$Q$2="HKD"), AC15*Transactions!$Z$4,
            AND(Y15="USD", Transactions!$Q$2="EUR"), AC15*Transactions!$Z$5,
            AND(Y15="GBP", Transactions!$Q$2="GBP"), AC15,
            AND(Y15="GBP", Transactions!$Q$2="USD"), AC15*Transactions!$Z$6,
            AND(Y15="GBP", Transactions!$Q$2="HKD"), AC15*Transactions!$Z$7,
            AND(Y15="HKG", Transactions!$Q$2="HKG"), AC15,
            AND(Y15="HKD", Transactions!$Q$2="USD"), AC15*Transactions!$Z$9,
            AND(Y15="HKD", Transactions!$Q$2="GBP"), AC15*Transactions!$Z$10,
            AND(Y15="HKD", Transactions!$Q$2="EUR"), AC15*Transactions!$Z$11,
            AND(Y15="EUR", Transactions!$Q$2="EUR"), AC15,
            AND(Y15="EUR", Transactions!$Q$2="USD"), AC15*Transactions!$Z$12,
            AND(Y15="EUR", Transactions!$Q$2="GBP"), AC15*Transactions!$Z$13,
            AND(Y15="EUR", Transactions!$Q$2="HKD"), AC15*Transactions!$Z$14,
        ),
        0
    )
)</f>
        <v>0.33</v>
      </c>
      <c r="E15" s="2" cm="1">
        <f t="array" ref="E15">IF($A15="", "",
    IFERROR(
        _xlfn.SWITCH(
            TRUE,
            AND(Y15="USD", Transactions!$Q$2="USD"), AD15,
            AND(Y15="USD", Transactions!$Q$2="GBP"), AD15*Transactions!$Z$3,
            AND(Y15="USD", Transactions!$Q$2="HKD"), AD15*Transactions!$Z$4,
            AND(Y15="USD", Transactions!$Q$2="EUR"), AD15*Transactions!$Z$5,
            AND(Y15="GBP", Transactions!$Q$2="GBP"), AD15,
            AND(Y15="GBP", Transactions!$Q$2="USD"), AD15*Transactions!$Z$6,
            AND(Y15="GBP", Transactions!$Q$2="HKD"), AD15*Transactions!$Z$7,
            AND(Y15="HKG", Transactions!$Q$2="HKG"), AD15,
            AND(Y15="HKD", Transactions!$Q$2="USD"), AD15*Transactions!$Z$9,
            AND(Y15="HKD", Transactions!$Q$2="GBP"), AD15*Transactions!$Z$10,
            AND(Y15="HKD", Transactions!$Q$2="EUR"), AD15*Transactions!$Z$11,
            AND(Y15="EUR", Transactions!$Q$2="EUR"), AD15,
            AND(Y15="EUR", Transactions!$Q$2="USD"), AD15*Transactions!$Z$12,
            AND(Y15="EUR", Transactions!$Q$2="GBP"), AD15*Transactions!$Z$13,
            AND(Y15="EUR", Transactions!$Q$2="HKD"), AD15*Transactions!$Z$14,
        ),
        0
    )
)</f>
        <v>0.14974999999999999</v>
      </c>
      <c r="G15" s="121">
        <f t="shared" si="5"/>
        <v>4.2430300000000004E-2</v>
      </c>
      <c r="H15" s="34" cm="1">
        <f t="array" ref="H15">IF($A15="", "",
    IFERROR(
        _xlfn.SWITCH(
            TRUE,
            AND(Y15="USD", Transactions!$Q$2="USD"), AG15,
            AND(Y15="USD", Transactions!$Q$2="GBP"), AG15*Transactions!$Z$3,
            AND(Y15="USD", Transactions!$Q$2="HKD"), AG15*Transactions!$Z$4,
            AND(Y15="USD", Transactions!$Q$2="EUR"), AG15*Transactions!$Z$5,
            AND(Y15="GBP", Transactions!$Q$2="GBP"), AG15,
            AND(Y15="GBP", Transactions!$Q$2="USD"), AG15*Transactions!$Z$6,
            AND(Y15="GBP", Transactions!$Q$2="HKD"), AG15*Transactions!$Z$7,
            AND(Y15="HKG", Transactions!$Q$2="HKG"), AG15,
            AND(Y15="HKD", Transactions!$Q$2="USD"), AG15*Transactions!$Z$9,
            AND(Y15="HKD", Transactions!$Q$2="GBP"), AG15*Transactions!$Z$10,
            AND(Y15="HKD", Transactions!$Q$2="EUR"), AG15*Transactions!$Z$11,
            AND(Y15="EUR", Transactions!$Q$2="EUR"), AG15,
            AND(Y15="EUR", Transactions!$Q$2="USD"), AG15*Transactions!$Z$12,
            AND(Y15="EUR", Transactions!$Q$2="GBP"), AG15*Transactions!$Z$13,
            AND(Y15="EUR", Transactions!$Q$2="HKD"), AG15*Transactions!$Z$14,
        ),
        0
    )
)</f>
        <v>6.0952899999999997E-3</v>
      </c>
      <c r="I15" s="2" cm="1">
        <f t="array" ref="I15">IF($A15="", "",
    IFERROR(
        _xlfn.SWITCH(
            TRUE,
            AND(Y15="USD", Transactions!$Q$2="USD"), AH15,
            AND(Y15="USD", Transactions!$Q$2="GBP"), AH15*Transactions!$Z$3,
            AND(Y15="USD", Transactions!$Q$2="HKD"), AH15*Transactions!$Z$4,
            AND(Y15="USD", Transactions!$Q$2="EUR"), AH15*Transactions!$Z$5,
            AND(Y15="GBP", Transactions!$Q$2="GBP"), AH15,
            AND(Y15="GBP", Transactions!$Q$2="USD"), AH15*Transactions!$Z$6,
            AND(Y15="GBP", Transactions!$Q$2="HKD"), AH15*Transactions!$Z$7,
            AND(Y15="HKG", Transactions!$Q$2="HKG"), AH15,
            AND(Y15="HKD", Transactions!$Q$2="USD"), AH15*Transactions!$Z$9,
            AND(Y15="HKD", Transactions!$Q$2="GBP"), AH15*Transactions!$Z$10,
            AND(Y15="HKD", Transactions!$Q$2="EUR"), AH15*Transactions!$Z$11,
            AND(Y15="EUR", Transactions!$Q$2="EUR"), AH15,
            AND(Y15="EUR", Transactions!$Q$2="USD"), AH15*Transactions!$Z$12,
            AND(Y15="EUR", Transactions!$Q$2="GBP"), AH15*Transactions!$Z$13,
            AND(Y15="EUR", Transactions!$Q$2="HKD"), AH15*Transactions!$Z$14,
        ),
        0
    )
)</f>
        <v>3814.4205000000002</v>
      </c>
      <c r="J15" s="2" cm="1">
        <f t="array" ref="J15">IF($A15="", "",
    IFERROR(
        _xlfn.SWITCH(
            TRUE,
            AND(Y15="USD", Transactions!$Q$2="USD"), AI15,
            AND(Y15="USD", Transactions!$Q$2="GBP"), AI15*Transactions!$Z$3,
            AND(Y15="USD", Transactions!$Q$2="HKD"), AI15*Transactions!$Z$4,
            AND(Y15="USD", Transactions!$Q$2="EUR"), AI15*Transactions!$Z$5,
            AND(Y15="GBP", Transactions!$Q$2="GBP"), AI15,
            AND(Y15="GBP", Transactions!$Q$2="USD"), AI15*Transactions!$Z$6,
            AND(Y15="GBP", Transactions!$Q$2="HKD"), AI15*Transactions!$Z$7,
            AND(Y15="HKG", Transactions!$Q$2="HKG"), AI15,
            AND(Y15="HKD", Transactions!$Q$2="USD"), AI15*Transactions!$Z$9,
            AND(Y15="HKD", Transactions!$Q$2="GBP"), AI15*Transactions!$Z$10,
            AND(Y15="HKD", Transactions!$Q$2="EUR"), AI15*Transactions!$Z$11,
            AND(Y15="EUR", Transactions!$Q$2="EUR"), AI15,
            AND(Y15="EUR", Transactions!$Q$2="USD"), AI15*Transactions!$Z$12,
            AND(Y15="EUR", Transactions!$Q$2="GBP"), AI15*Transactions!$Z$13,
            AND(Y15="EUR", Transactions!$Q$2="HKD"), AI15*Transactions!$Z$14,
        ),
        0
    )
)</f>
        <v>1730.9377875</v>
      </c>
      <c r="K15" s="41">
        <f t="shared" si="6"/>
        <v>-0.54621212121212126</v>
      </c>
      <c r="L15" s="2" cm="1">
        <f t="array" ref="L15">IF($A15="", "",
    IFERROR(
        _xlfn.SWITCH(
            TRUE,
            AND(Y15="USD", Transactions!$Q$2="USD"), AK15,
            AND(Y15="USD", Transactions!$Q$2="GBP"), AK15*Transactions!$Z$3,
            AND(Y15="USD", Transactions!$Q$2="HKD"), AK15*Transactions!$Z$4,
            AND(Y15="USD", Transactions!$Q$2="EUR"), AK15*Transactions!$Z$5,
            AND(Y15="GBP", Transactions!$Q$2="GBP"), AK15,
            AND(Y15="GBP", Transactions!$Q$2="USD"), AK15*Transactions!$Z$6,
            AND(Y15="GBP", Transactions!$Q$2="HKD"), AK15*Transactions!$Z$7,
            AND(Y15="HKG", Transactions!$Q$2="HKG"), AK15,
            AND(Y15="HKD", Transactions!$Q$2="USD"), AK15*Transactions!$Z$9,
            AND(Y15="HKD", Transactions!$Q$2="GBP"), AK15*Transactions!$Z$10,
            AND(Y15="HKD", Transactions!$Q$2="EUR"), AK15*Transactions!$Z$11,
            AND(Y15="EUR", Transactions!$Q$2="EUR"), AK15,
            AND(Y15="EUR", Transactions!$Q$2="USD"), AK15*Transactions!$Z$12,
            AND(Y15="EUR", Transactions!$Q$2="GBP"), AK15*Transactions!$Z$13,
            AND(Y15="EUR", Transactions!$Q$2="HKD"), AK15*Transactions!$Z$14,
        ),
        0
    )
)</f>
        <v>-2083.4827125000002</v>
      </c>
      <c r="M15" s="119" cm="1">
        <f t="array" ref="M15">IF($A15="", "",
    IFERROR(
        _xlfn.SWITCH(
            TRUE,
            AND(Y15="USD", Transactions!$Q$2="USD"), AL15,
            AND(Y15="USD", Transactions!$Q$2="GBP"), AL15*Transactions!$Z$3,
            AND(Y15="USD", Transactions!$Q$2="HKD"), AL15*Transactions!$Z$4,
            AND(Y15="USD", Transactions!$Q$2="EUR"), AL15*Transactions!$Z$5,
            AND(Y15="GBP", Transactions!$Q$2="GBP"), AL15,
            AND(Y15="GBP", Transactions!$Q$2="USD"), AL15*Transactions!$Z$6,
            AND(Y15="GBP", Transactions!$Q$2="HKD"), AL15*Transactions!$Z$7,
            AND(Y15="HKG", Transactions!$Q$2="HKG"), AL15,
            AND(Y15="HKD", Transactions!$Q$2="USD"), AL15*Transactions!$Z$9,
            AND(Y15="HKD", Transactions!$Q$2="GBP"), AL15*Transactions!$Z$10,
            AND(Y15="HKD", Transactions!$Q$2="EUR"), AL15*Transactions!$Z$11,
            AND(Y15="EUR", Transactions!$Q$2="EUR"), AL15,
            AND(Y15="EUR", Transactions!$Q$2="USD"), AL15*Transactions!$Z$12,
            AND(Y15="EUR", Transactions!$Q$2="GBP"), AL15*Transactions!$Z$13,
            AND(Y15="EUR", Transactions!$Q$2="HKD"), AL15*Transactions!$Z$14,
        ),
        0
    )
)</f>
        <v>0</v>
      </c>
      <c r="N15" s="120" cm="1">
        <f t="array" ref="N15">IF($A15="", "",
    IFERROR(
        _xlfn.SWITCH(
            TRUE,
            AND(Y15="USD", Transactions!$Q$2="USD"), AM15,
            AND(Y15="USD", Transactions!$Q$2="GBP"), AM15*Transactions!$Z$3,
            AND(Y15="USD", Transactions!$Q$2="HKD"), AM15*Transactions!$Z$4,
            AND(Y15="USD", Transactions!$Q$2="EUR"), AM15*Transactions!$Z$5,
            AND(Y15="GBP", Transactions!$Q$2="GBP"), AM15,
            AND(Y15="GBP", Transactions!$Q$2="USD"), AM15*Transactions!$Z$6,
            AND(Y15="GBP", Transactions!$Q$2="HKD"), AM15*Transactions!$Z$7,
            AND(Y15="HKG", Transactions!$Q$2="HKG"), AM15,
            AND(Y15="HKD", Transactions!$Q$2="USD"), AM15*Transactions!$Z$9,
            AND(Y15="HKD", Transactions!$Q$2="GBP"), AM15*Transactions!$Z$10,
            AND(Y15="HKD", Transactions!$Q$2="EUR"), AM15*Transactions!$Z$11,
            AND(Y15="EUR", Transactions!$Q$2="EUR"), AM15,
            AND(Y15="EUR", Transactions!$Q$2="USD"), AM15*Transactions!$Z$12,
            AND(Y15="EUR", Transactions!$Q$2="GBP"), AM15*Transactions!$Z$13,
            AND(Y15="EUR", Transactions!$Q$2="HKD"), AM15*Transactions!$Z$14,
        ),
        0
    )
)</f>
        <v>-2083.4827125000002</v>
      </c>
      <c r="O15" s="145"/>
      <c r="P15" s="145"/>
      <c r="Q15" s="41">
        <f t="shared" si="7"/>
        <v>1.0793149644178837E-2</v>
      </c>
      <c r="S15" s="41">
        <f t="shared" si="8"/>
        <v>1.0793149644178837E-2</v>
      </c>
      <c r="T15" s="1" t="str">
        <f t="shared" si="9"/>
        <v>Crypto</v>
      </c>
      <c r="U15" s="41">
        <f t="shared" si="10"/>
        <v>0.81515627319794193</v>
      </c>
      <c r="V15" s="41">
        <f t="shared" si="11"/>
        <v>0</v>
      </c>
      <c r="W15" s="41">
        <f t="shared" si="12"/>
        <v>0.81515627319794193</v>
      </c>
      <c r="X15" s="1" t="str">
        <f t="shared" si="0"/>
        <v>Layer 1</v>
      </c>
      <c r="Y15" s="17" t="str">
        <f>IFERROR(IF(ISBLANK(AA15), "", IF(VLOOKUP(AA15, Transactions!D:F, 3, FALSE) = "Stablecoin", AA15, INDEX(Transactions!$B$3:$B1019, MATCH(AA15, Transactions!$D$3:$D1019, 0)))), "")</f>
        <v>USD</v>
      </c>
      <c r="Z15" s="1" t="str">
        <f>_xlfn.XLOOKUP(AA15,Transactions!$D$3:$D$1007,Transactions!$E$3:$E$1007)</f>
        <v>Cronos</v>
      </c>
      <c r="AA15" s="1" t="str">
        <v>CRO</v>
      </c>
      <c r="AB15" s="118" cm="1">
        <f t="array" ref="AB15">IF(ISBLANK(AA15), "",
    SUMPRODUCT(
        (Transactions!$D$3:$D$1007=AA15) *
        (Transactions!$H$3:$H$1007={"Cash Deposit","Crypto Deposit","Buy","Transfer Deposit","DRIP","Airdrop/Rewards"}) *
        Transactions!$I$3:$I$1007
    )
    - SUMPRODUCT(
        (Transactions!$D$3:$D$1007=AA15) *
        (Transactions!$H$3:$H$1007={"Sell","Transfer Send","Cash Withdrawal","Crypto Withdrawal"}) *
        Transactions!$I$3:$I$1007
    )
)</f>
        <v>11558.85</v>
      </c>
      <c r="AC15" s="2" cm="1">
        <f t="array" ref="AC15">IF(ISBLANK(AA15), "", LOOKUP(2, 1/(Transactions!D:D=AA15), Transactions!P:P))</f>
        <v>0.33</v>
      </c>
      <c r="AD15" s="2" cm="1">
        <f t="array" ref="AD15">IF(ISBLANK(AA15),"",IFERROR(_FV(AA15,"price"),INDEX('CoinGeko API'!E:E,MATCH(Portfolio_v2!AA15,'CoinGeko API'!C:C,0))))</f>
        <v>0.14974999999999999</v>
      </c>
      <c r="AF15" s="39" cm="1">
        <f t="array" ref="AF15">IF(ISBLANK(AA15),"",IFERROR(_FV(AA15,"Change (%)",TRUE),INDEX('CoinGeko API'!G:G,MATCH(Portfolio_v2!AA15,'CoinGeko API'!C:C,0))))</f>
        <v>4.2430300000000004E-2</v>
      </c>
      <c r="AG15" s="34" cm="1">
        <f t="array" ref="AG15">IF(ISBLANK(AA15),"",IFERROR(_FV(AA15,"change"),INDEX('CoinGeko API'!F:F,MATCH(Portfolio_v2!AA15,'CoinGeko API'!C:C,0))))</f>
        <v>6.0952899999999997E-3</v>
      </c>
      <c r="AH15" s="2">
        <f t="shared" si="13"/>
        <v>3814.4205000000002</v>
      </c>
      <c r="AI15" s="2">
        <f t="shared" si="14"/>
        <v>1730.9377875</v>
      </c>
      <c r="AJ15" s="40">
        <f t="shared" si="15"/>
        <v>-0.54621212121212126</v>
      </c>
      <c r="AK15" s="2">
        <f t="shared" si="16"/>
        <v>-2083.4827125000002</v>
      </c>
      <c r="AL15" s="119">
        <f>IF(OR(ISBLANK(AA15), COUNTIFS(Transactions!$D$3:$D1019, AA15) = 0), "",
    SUMIFS(Transactions!$M$3:$M1019, Transactions!$H$3:$H1019, "Sell", Transactions!$D$3:$D1019, AA15) +
    SUMIFS(Transactions!$M$3:$M1019, Transactions!$H$3:$H1019, "Dividend", Transactions!$D$3:$D1019, AA15) -
    SUMIFS(Transactions!$M$3:$M1019, Transactions!$H$3:$H1019, "Buy", Transactions!$D$3:$D1019, AA15) -
    SUMIFS(Transactions!$M$3:$M1019, Transactions!$H$3:$H1019, "Crypto Deposit", Transactions!$D$3:$D1019, AA15) -
    SUMIFS(Transactions!$M$3:$M1019, Transactions!$H$3:$H1019, "DRIP", Transactions!$D$3:$D1019, AA15) +
    SUMIFS($AH$3:$AH1011, $AA$3:$AA1011, AA15) +
    SUMIFS(Transactions!$M$3:$M1019, Transactions!$L$3:$L1019, "Stablecoin", Transactions!$B$3:$B1019, AA15)
)</f>
        <v>0</v>
      </c>
      <c r="AM15" s="120">
        <f t="shared" si="17"/>
        <v>-2083.4827125000002</v>
      </c>
      <c r="AN15" s="145"/>
      <c r="AO15" s="145"/>
      <c r="AP15" s="41">
        <f t="shared" si="1"/>
        <v>1.0793149644178837E-2</v>
      </c>
      <c r="AR15" s="41">
        <f t="shared" si="18"/>
        <v>1.0793149644178837E-2</v>
      </c>
      <c r="AS15" s="1" t="str">
        <f>_xlfn.XLOOKUP(AA15,Transactions!$D$3:$D$1007,Transactions!$F$3:$F$1007)</f>
        <v>Crypto</v>
      </c>
      <c r="AT15" s="41">
        <f t="shared" si="19"/>
        <v>0.81515627319794193</v>
      </c>
      <c r="AU15" s="41">
        <f t="shared" si="20"/>
        <v>0</v>
      </c>
      <c r="AV15" s="41">
        <f t="shared" si="21"/>
        <v>0.81515627319794193</v>
      </c>
      <c r="AW15" s="18" t="s">
        <v>16</v>
      </c>
    </row>
    <row r="16" spans="1:49" ht="18" customHeight="1">
      <c r="A16" s="17" t="str">
        <f t="shared" si="2"/>
        <v>Cartesi</v>
      </c>
      <c r="B16" s="1" t="str">
        <f t="shared" si="3"/>
        <v>CTSI</v>
      </c>
      <c r="C16" s="118">
        <f t="shared" si="4"/>
        <v>543.56054468000002</v>
      </c>
      <c r="D16" s="2" cm="1">
        <f t="array" ref="D16">IF($A16="", "",
    IFERROR(
        _xlfn.SWITCH(
            TRUE,
            AND(Y16="USD", Transactions!$Q$2="USD"), AC16,
            AND(Y16="USD", Transactions!$Q$2="GBP"), AC16*Transactions!$Z$3,
            AND(Y16="USD", Transactions!$Q$2="HKD"), AC16*Transactions!$Z$4,
            AND(Y16="USD", Transactions!$Q$2="EUR"), AC16*Transactions!$Z$5,
            AND(Y16="GBP", Transactions!$Q$2="GBP"), AC16,
            AND(Y16="GBP", Transactions!$Q$2="USD"), AC16*Transactions!$Z$6,
            AND(Y16="GBP", Transactions!$Q$2="HKD"), AC16*Transactions!$Z$7,
            AND(Y16="HKG", Transactions!$Q$2="HKG"), AC16,
            AND(Y16="HKD", Transactions!$Q$2="USD"), AC16*Transactions!$Z$9,
            AND(Y16="HKD", Transactions!$Q$2="GBP"), AC16*Transactions!$Z$10,
            AND(Y16="HKD", Transactions!$Q$2="EUR"), AC16*Transactions!$Z$11,
            AND(Y16="EUR", Transactions!$Q$2="EUR"), AC16,
            AND(Y16="EUR", Transactions!$Q$2="USD"), AC16*Transactions!$Z$12,
            AND(Y16="EUR", Transactions!$Q$2="GBP"), AC16*Transactions!$Z$13,
            AND(Y16="EUR", Transactions!$Q$2="HKD"), AC16*Transactions!$Z$14,
        ),
        0
    )
)</f>
        <v>0.81108000000000002</v>
      </c>
      <c r="E16" s="2" cm="1">
        <f t="array" ref="E16">IF($A16="", "",
    IFERROR(
        _xlfn.SWITCH(
            TRUE,
            AND(Y16="USD", Transactions!$Q$2="USD"), AD16,
            AND(Y16="USD", Transactions!$Q$2="GBP"), AD16*Transactions!$Z$3,
            AND(Y16="USD", Transactions!$Q$2="HKD"), AD16*Transactions!$Z$4,
            AND(Y16="USD", Transactions!$Q$2="EUR"), AD16*Transactions!$Z$5,
            AND(Y16="GBP", Transactions!$Q$2="GBP"), AD16,
            AND(Y16="GBP", Transactions!$Q$2="USD"), AD16*Transactions!$Z$6,
            AND(Y16="GBP", Transactions!$Q$2="HKD"), AD16*Transactions!$Z$7,
            AND(Y16="HKG", Transactions!$Q$2="HKG"), AD16,
            AND(Y16="HKD", Transactions!$Q$2="USD"), AD16*Transactions!$Z$9,
            AND(Y16="HKD", Transactions!$Q$2="GBP"), AD16*Transactions!$Z$10,
            AND(Y16="HKD", Transactions!$Q$2="EUR"), AD16*Transactions!$Z$11,
            AND(Y16="EUR", Transactions!$Q$2="EUR"), AD16,
            AND(Y16="EUR", Transactions!$Q$2="USD"), AD16*Transactions!$Z$12,
            AND(Y16="EUR", Transactions!$Q$2="GBP"), AD16*Transactions!$Z$13,
            AND(Y16="EUR", Transactions!$Q$2="HKD"), AD16*Transactions!$Z$14,
        ),
        0
    )
)</f>
        <v>0.32267000000000001</v>
      </c>
      <c r="G16" s="121">
        <f t="shared" si="5"/>
        <v>3.40098E-2</v>
      </c>
      <c r="H16" s="34" cm="1">
        <f t="array" ref="H16">IF($A16="", "",
    IFERROR(
        _xlfn.SWITCH(
            TRUE,
            AND(Y16="USD", Transactions!$Q$2="USD"), AG16,
            AND(Y16="USD", Transactions!$Q$2="GBP"), AG16*Transactions!$Z$3,
            AND(Y16="USD", Transactions!$Q$2="HKD"), AG16*Transactions!$Z$4,
            AND(Y16="USD", Transactions!$Q$2="EUR"), AG16*Transactions!$Z$5,
            AND(Y16="GBP", Transactions!$Q$2="GBP"), AG16,
            AND(Y16="GBP", Transactions!$Q$2="USD"), AG16*Transactions!$Z$6,
            AND(Y16="GBP", Transactions!$Q$2="HKD"), AG16*Transactions!$Z$7,
            AND(Y16="HKG", Transactions!$Q$2="HKG"), AG16,
            AND(Y16="HKD", Transactions!$Q$2="USD"), AG16*Transactions!$Z$9,
            AND(Y16="HKD", Transactions!$Q$2="GBP"), AG16*Transactions!$Z$10,
            AND(Y16="HKD", Transactions!$Q$2="EUR"), AG16*Transactions!$Z$11,
            AND(Y16="EUR", Transactions!$Q$2="EUR"), AG16,
            AND(Y16="EUR", Transactions!$Q$2="USD"), AG16*Transactions!$Z$12,
            AND(Y16="EUR", Transactions!$Q$2="GBP"), AG16*Transactions!$Z$13,
            AND(Y16="EUR", Transactions!$Q$2="HKD"), AG16*Transactions!$Z$14,
        ),
        0
    )
)</f>
        <v>1.0613010000000001E-2</v>
      </c>
      <c r="I16" s="2" cm="1">
        <f t="array" ref="I16">IF($A16="", "",
    IFERROR(
        _xlfn.SWITCH(
            TRUE,
            AND(Y16="USD", Transactions!$Q$2="USD"), AH16,
            AND(Y16="USD", Transactions!$Q$2="GBP"), AH16*Transactions!$Z$3,
            AND(Y16="USD", Transactions!$Q$2="HKD"), AH16*Transactions!$Z$4,
            AND(Y16="USD", Transactions!$Q$2="EUR"), AH16*Transactions!$Z$5,
            AND(Y16="GBP", Transactions!$Q$2="GBP"), AH16,
            AND(Y16="GBP", Transactions!$Q$2="USD"), AH16*Transactions!$Z$6,
            AND(Y16="GBP", Transactions!$Q$2="HKD"), AH16*Transactions!$Z$7,
            AND(Y16="HKG", Transactions!$Q$2="HKG"), AH16,
            AND(Y16="HKD", Transactions!$Q$2="USD"), AH16*Transactions!$Z$9,
            AND(Y16="HKD", Transactions!$Q$2="GBP"), AH16*Transactions!$Z$10,
            AND(Y16="HKD", Transactions!$Q$2="EUR"), AH16*Transactions!$Z$11,
            AND(Y16="EUR", Transactions!$Q$2="EUR"), AH16,
            AND(Y16="EUR", Transactions!$Q$2="USD"), AH16*Transactions!$Z$12,
            AND(Y16="EUR", Transactions!$Q$2="GBP"), AH16*Transactions!$Z$13,
            AND(Y16="EUR", Transactions!$Q$2="HKD"), AH16*Transactions!$Z$14,
        ),
        0
    )
)</f>
        <v>440.87108657905441</v>
      </c>
      <c r="J16" s="2" cm="1">
        <f t="array" ref="J16">IF($A16="", "",
    IFERROR(
        _xlfn.SWITCH(
            TRUE,
            AND(Y16="USD", Transactions!$Q$2="USD"), AI16,
            AND(Y16="USD", Transactions!$Q$2="GBP"), AI16*Transactions!$Z$3,
            AND(Y16="USD", Transactions!$Q$2="HKD"), AI16*Transactions!$Z$4,
            AND(Y16="USD", Transactions!$Q$2="EUR"), AI16*Transactions!$Z$5,
            AND(Y16="GBP", Transactions!$Q$2="GBP"), AI16,
            AND(Y16="GBP", Transactions!$Q$2="USD"), AI16*Transactions!$Z$6,
            AND(Y16="GBP", Transactions!$Q$2="HKD"), AI16*Transactions!$Z$7,
            AND(Y16="HKG", Transactions!$Q$2="HKG"), AI16,
            AND(Y16="HKD", Transactions!$Q$2="USD"), AI16*Transactions!$Z$9,
            AND(Y16="HKD", Transactions!$Q$2="GBP"), AI16*Transactions!$Z$10,
            AND(Y16="HKD", Transactions!$Q$2="EUR"), AI16*Transactions!$Z$11,
            AND(Y16="EUR", Transactions!$Q$2="EUR"), AI16,
            AND(Y16="EUR", Transactions!$Q$2="USD"), AI16*Transactions!$Z$12,
            AND(Y16="EUR", Transactions!$Q$2="GBP"), AI16*Transactions!$Z$13,
            AND(Y16="EUR", Transactions!$Q$2="HKD"), AI16*Transactions!$Z$14,
        ),
        0
    )
)</f>
        <v>175.3906809518956</v>
      </c>
      <c r="K16" s="41">
        <f t="shared" si="6"/>
        <v>-0.60217241209251859</v>
      </c>
      <c r="L16" s="2" cm="1">
        <f t="array" ref="L16">IF($A16="", "",
    IFERROR(
        _xlfn.SWITCH(
            TRUE,
            AND(Y16="USD", Transactions!$Q$2="USD"), AK16,
            AND(Y16="USD", Transactions!$Q$2="GBP"), AK16*Transactions!$Z$3,
            AND(Y16="USD", Transactions!$Q$2="HKD"), AK16*Transactions!$Z$4,
            AND(Y16="USD", Transactions!$Q$2="EUR"), AK16*Transactions!$Z$5,
            AND(Y16="GBP", Transactions!$Q$2="GBP"), AK16,
            AND(Y16="GBP", Transactions!$Q$2="USD"), AK16*Transactions!$Z$6,
            AND(Y16="GBP", Transactions!$Q$2="HKD"), AK16*Transactions!$Z$7,
            AND(Y16="HKG", Transactions!$Q$2="HKG"), AK16,
            AND(Y16="HKD", Transactions!$Q$2="USD"), AK16*Transactions!$Z$9,
            AND(Y16="HKD", Transactions!$Q$2="GBP"), AK16*Transactions!$Z$10,
            AND(Y16="HKD", Transactions!$Q$2="EUR"), AK16*Transactions!$Z$11,
            AND(Y16="EUR", Transactions!$Q$2="EUR"), AK16,
            AND(Y16="EUR", Transactions!$Q$2="USD"), AK16*Transactions!$Z$12,
            AND(Y16="EUR", Transactions!$Q$2="GBP"), AK16*Transactions!$Z$13,
            AND(Y16="EUR", Transactions!$Q$2="HKD"), AK16*Transactions!$Z$14,
        ),
        0
    )
)</f>
        <v>-265.4804056271588</v>
      </c>
      <c r="M16" s="119" cm="1">
        <f t="array" ref="M16">IF($A16="", "",
    IFERROR(
        _xlfn.SWITCH(
            TRUE,
            AND(Y16="USD", Transactions!$Q$2="USD"), AL16,
            AND(Y16="USD", Transactions!$Q$2="GBP"), AL16*Transactions!$Z$3,
            AND(Y16="USD", Transactions!$Q$2="HKD"), AL16*Transactions!$Z$4,
            AND(Y16="USD", Transactions!$Q$2="EUR"), AL16*Transactions!$Z$5,
            AND(Y16="GBP", Transactions!$Q$2="GBP"), AL16,
            AND(Y16="GBP", Transactions!$Q$2="USD"), AL16*Transactions!$Z$6,
            AND(Y16="GBP", Transactions!$Q$2="HKD"), AL16*Transactions!$Z$7,
            AND(Y16="HKG", Transactions!$Q$2="HKG"), AL16,
            AND(Y16="HKD", Transactions!$Q$2="USD"), AL16*Transactions!$Z$9,
            AND(Y16="HKD", Transactions!$Q$2="GBP"), AL16*Transactions!$Z$10,
            AND(Y16="HKD", Transactions!$Q$2="EUR"), AL16*Transactions!$Z$11,
            AND(Y16="EUR", Transactions!$Q$2="EUR"), AL16,
            AND(Y16="EUR", Transactions!$Q$2="USD"), AL16*Transactions!$Z$12,
            AND(Y16="EUR", Transactions!$Q$2="GBP"), AL16*Transactions!$Z$13,
            AND(Y16="EUR", Transactions!$Q$2="HKD"), AL16*Transactions!$Z$14,
        ),
        0
    )
)</f>
        <v>0</v>
      </c>
      <c r="N16" s="120" cm="1">
        <f t="array" ref="N16">IF($A16="", "",
    IFERROR(
        _xlfn.SWITCH(
            TRUE,
            AND(Y16="USD", Transactions!$Q$2="USD"), AM16,
            AND(Y16="USD", Transactions!$Q$2="GBP"), AM16*Transactions!$Z$3,
            AND(Y16="USD", Transactions!$Q$2="HKD"), AM16*Transactions!$Z$4,
            AND(Y16="USD", Transactions!$Q$2="EUR"), AM16*Transactions!$Z$5,
            AND(Y16="GBP", Transactions!$Q$2="GBP"), AM16,
            AND(Y16="GBP", Transactions!$Q$2="USD"), AM16*Transactions!$Z$6,
            AND(Y16="GBP", Transactions!$Q$2="HKD"), AM16*Transactions!$Z$7,
            AND(Y16="HKG", Transactions!$Q$2="HKG"), AM16,
            AND(Y16="HKD", Transactions!$Q$2="USD"), AM16*Transactions!$Z$9,
            AND(Y16="HKD", Transactions!$Q$2="GBP"), AM16*Transactions!$Z$10,
            AND(Y16="HKD", Transactions!$Q$2="EUR"), AM16*Transactions!$Z$11,
            AND(Y16="EUR", Transactions!$Q$2="EUR"), AM16,
            AND(Y16="EUR", Transactions!$Q$2="USD"), AM16*Transactions!$Z$12,
            AND(Y16="EUR", Transactions!$Q$2="GBP"), AM16*Transactions!$Z$13,
            AND(Y16="EUR", Transactions!$Q$2="HKD"), AM16*Transactions!$Z$14,
        ),
        0
    )
)</f>
        <v>-265.4804056271588</v>
      </c>
      <c r="O16" s="145"/>
      <c r="P16" s="145"/>
      <c r="Q16" s="41">
        <f t="shared" si="7"/>
        <v>1.0936371482433975E-3</v>
      </c>
      <c r="S16" s="41">
        <f t="shared" si="8"/>
        <v>1.0936371482433975E-3</v>
      </c>
      <c r="T16" s="1" t="str">
        <f t="shared" si="9"/>
        <v>Crypto</v>
      </c>
      <c r="U16" s="41">
        <f t="shared" si="10"/>
        <v>0.81515627319794193</v>
      </c>
      <c r="V16" s="41">
        <f t="shared" si="11"/>
        <v>0</v>
      </c>
      <c r="W16" s="41">
        <f t="shared" si="12"/>
        <v>0.81515627319794193</v>
      </c>
      <c r="X16" s="1" t="str">
        <f t="shared" si="0"/>
        <v>Infrastructure</v>
      </c>
      <c r="Y16" s="17" t="str">
        <f>IFERROR(IF(ISBLANK(AA16), "", IF(VLOOKUP(AA16, Transactions!D:F, 3, FALSE) = "Stablecoin", AA16, INDEX(Transactions!$B$3:$B1020, MATCH(AA16, Transactions!$D$3:$D1020, 0)))), "")</f>
        <v>USD</v>
      </c>
      <c r="Z16" s="1" t="str">
        <f>_xlfn.XLOOKUP(AA16,Transactions!$D$3:$D$1007,Transactions!$E$3:$E$1007)</f>
        <v>Cartesi</v>
      </c>
      <c r="AA16" s="1" t="str">
        <v>CTSI</v>
      </c>
      <c r="AB16" s="118" cm="1">
        <f t="array" ref="AB16">IF(ISBLANK(AA16), "",
    SUMPRODUCT(
        (Transactions!$D$3:$D$1007=AA16) *
        (Transactions!$H$3:$H$1007={"Cash Deposit","Crypto Deposit","Buy","Transfer Deposit","DRIP","Airdrop/Rewards"}) *
        Transactions!$I$3:$I$1007
    )
    - SUMPRODUCT(
        (Transactions!$D$3:$D$1007=AA16) *
        (Transactions!$H$3:$H$1007={"Sell","Transfer Send","Cash Withdrawal","Crypto Withdrawal"}) *
        Transactions!$I$3:$I$1007
    )
)</f>
        <v>543.56054468000002</v>
      </c>
      <c r="AC16" s="2" cm="1">
        <f t="array" ref="AC16">IF(ISBLANK(AA16), "", LOOKUP(2, 1/(Transactions!D:D=AA16), Transactions!P:P))</f>
        <v>0.81108000000000002</v>
      </c>
      <c r="AD16" s="2" cm="1">
        <f t="array" ref="AD16">IF(ISBLANK(AA16),"",IFERROR(_FV(AA16,"price"),INDEX('CoinGeko API'!E:E,MATCH(Portfolio_v2!AA16,'CoinGeko API'!C:C,0))))</f>
        <v>0.32267000000000001</v>
      </c>
      <c r="AF16" s="39" cm="1">
        <f t="array" ref="AF16">IF(ISBLANK(AA16),"",IFERROR(_FV(AA16,"Change (%)",TRUE),INDEX('CoinGeko API'!G:G,MATCH(Portfolio_v2!AA16,'CoinGeko API'!C:C,0))))</f>
        <v>3.40098E-2</v>
      </c>
      <c r="AG16" s="34" cm="1">
        <f t="array" ref="AG16">IF(ISBLANK(AA16),"",IFERROR(_FV(AA16,"change"),INDEX('CoinGeko API'!F:F,MATCH(Portfolio_v2!AA16,'CoinGeko API'!C:C,0))))</f>
        <v>1.0613010000000001E-2</v>
      </c>
      <c r="AH16" s="2">
        <f t="shared" si="13"/>
        <v>440.87108657905441</v>
      </c>
      <c r="AI16" s="2">
        <f t="shared" si="14"/>
        <v>175.3906809518956</v>
      </c>
      <c r="AJ16" s="40">
        <f t="shared" si="15"/>
        <v>-0.60217241209251859</v>
      </c>
      <c r="AK16" s="2">
        <f t="shared" si="16"/>
        <v>-265.4804056271588</v>
      </c>
      <c r="AL16" s="119">
        <f>IF(OR(ISBLANK(AA16), COUNTIFS(Transactions!$D$3:$D1020, AA16) = 0), "",
    SUMIFS(Transactions!$M$3:$M1020, Transactions!$H$3:$H1020, "Sell", Transactions!$D$3:$D1020, AA16) +
    SUMIFS(Transactions!$M$3:$M1020, Transactions!$H$3:$H1020, "Dividend", Transactions!$D$3:$D1020, AA16) -
    SUMIFS(Transactions!$M$3:$M1020, Transactions!$H$3:$H1020, "Buy", Transactions!$D$3:$D1020, AA16) -
    SUMIFS(Transactions!$M$3:$M1020, Transactions!$H$3:$H1020, "Crypto Deposit", Transactions!$D$3:$D1020, AA16) -
    SUMIFS(Transactions!$M$3:$M1020, Transactions!$H$3:$H1020, "DRIP", Transactions!$D$3:$D1020, AA16) +
    SUMIFS($AH$3:$AH1012, $AA$3:$AA1012, AA16) +
    SUMIFS(Transactions!$M$3:$M1020, Transactions!$L$3:$L1020, "Stablecoin", Transactions!$B$3:$B1020, AA16)
)</f>
        <v>0</v>
      </c>
      <c r="AM16" s="120">
        <f t="shared" si="17"/>
        <v>-265.4804056271588</v>
      </c>
      <c r="AN16" s="145"/>
      <c r="AO16" s="145"/>
      <c r="AP16" s="41">
        <f t="shared" si="1"/>
        <v>1.0936371482433975E-3</v>
      </c>
      <c r="AR16" s="41">
        <f t="shared" si="18"/>
        <v>1.0936371482433975E-3</v>
      </c>
      <c r="AS16" s="1" t="str">
        <f>_xlfn.XLOOKUP(AA16,Transactions!$D$3:$D$1007,Transactions!$F$3:$F$1007)</f>
        <v>Crypto</v>
      </c>
      <c r="AT16" s="41">
        <f t="shared" si="19"/>
        <v>0.81515627319794193</v>
      </c>
      <c r="AU16" s="41">
        <f t="shared" si="20"/>
        <v>0</v>
      </c>
      <c r="AV16" s="41">
        <f t="shared" si="21"/>
        <v>0.81515627319794193</v>
      </c>
      <c r="AW16" s="18" t="s">
        <v>476</v>
      </c>
    </row>
    <row r="17" spans="1:49" ht="18" customHeight="1">
      <c r="A17" s="17" t="str">
        <f t="shared" si="2"/>
        <v>Decentralized Social</v>
      </c>
      <c r="B17" s="1" t="str">
        <f t="shared" si="3"/>
        <v>DESO</v>
      </c>
      <c r="C17" s="118">
        <f t="shared" si="4"/>
        <v>2</v>
      </c>
      <c r="D17" s="2" cm="1">
        <f t="array" ref="D17">IF($A17="", "",
    IFERROR(
        _xlfn.SWITCH(
            TRUE,
            AND(Y17="USD", Transactions!$Q$2="USD"), AC17,
            AND(Y17="USD", Transactions!$Q$2="GBP"), AC17*Transactions!$Z$3,
            AND(Y17="USD", Transactions!$Q$2="HKD"), AC17*Transactions!$Z$4,
            AND(Y17="USD", Transactions!$Q$2="EUR"), AC17*Transactions!$Z$5,
            AND(Y17="GBP", Transactions!$Q$2="GBP"), AC17,
            AND(Y17="GBP", Transactions!$Q$2="USD"), AC17*Transactions!$Z$6,
            AND(Y17="GBP", Transactions!$Q$2="HKD"), AC17*Transactions!$Z$7,
            AND(Y17="HKG", Transactions!$Q$2="HKG"), AC17,
            AND(Y17="HKD", Transactions!$Q$2="USD"), AC17*Transactions!$Z$9,
            AND(Y17="HKD", Transactions!$Q$2="GBP"), AC17*Transactions!$Z$10,
            AND(Y17="HKD", Transactions!$Q$2="EUR"), AC17*Transactions!$Z$11,
            AND(Y17="EUR", Transactions!$Q$2="EUR"), AC17,
            AND(Y17="EUR", Transactions!$Q$2="USD"), AC17*Transactions!$Z$12,
            AND(Y17="EUR", Transactions!$Q$2="GBP"), AC17*Transactions!$Z$13,
            AND(Y17="EUR", Transactions!$Q$2="HKD"), AC17*Transactions!$Z$14,
        ),
        0
    )
)</f>
        <v>31.405374000000002</v>
      </c>
      <c r="E17" s="2" cm="1">
        <f t="array" ref="E17">IF($A17="", "",
    IFERROR(
        _xlfn.SWITCH(
            TRUE,
            AND(Y17="USD", Transactions!$Q$2="USD"), AD17,
            AND(Y17="USD", Transactions!$Q$2="GBP"), AD17*Transactions!$Z$3,
            AND(Y17="USD", Transactions!$Q$2="HKD"), AD17*Transactions!$Z$4,
            AND(Y17="USD", Transactions!$Q$2="EUR"), AD17*Transactions!$Z$5,
            AND(Y17="GBP", Transactions!$Q$2="GBP"), AD17,
            AND(Y17="GBP", Transactions!$Q$2="USD"), AD17*Transactions!$Z$6,
            AND(Y17="GBP", Transactions!$Q$2="HKD"), AD17*Transactions!$Z$7,
            AND(Y17="HKG", Transactions!$Q$2="HKG"), AD17,
            AND(Y17="HKD", Transactions!$Q$2="USD"), AD17*Transactions!$Z$9,
            AND(Y17="HKD", Transactions!$Q$2="GBP"), AD17*Transactions!$Z$10,
            AND(Y17="HKD", Transactions!$Q$2="EUR"), AD17*Transactions!$Z$11,
            AND(Y17="EUR", Transactions!$Q$2="EUR"), AD17,
            AND(Y17="EUR", Transactions!$Q$2="USD"), AD17*Transactions!$Z$12,
            AND(Y17="EUR", Transactions!$Q$2="GBP"), AD17*Transactions!$Z$13,
            AND(Y17="EUR", Transactions!$Q$2="HKD"), AD17*Transactions!$Z$14,
        ),
        0
    )
)</f>
        <v>43.458799999999997</v>
      </c>
      <c r="G17" s="121">
        <f t="shared" si="5"/>
        <v>3.6919E-2</v>
      </c>
      <c r="H17" s="34" cm="1">
        <f t="array" ref="H17">IF($A17="", "",
    IFERROR(
        _xlfn.SWITCH(
            TRUE,
            AND(Y17="USD", Transactions!$Q$2="USD"), AG17,
            AND(Y17="USD", Transactions!$Q$2="GBP"), AG17*Transactions!$Z$3,
            AND(Y17="USD", Transactions!$Q$2="HKD"), AG17*Transactions!$Z$4,
            AND(Y17="USD", Transactions!$Q$2="EUR"), AG17*Transactions!$Z$5,
            AND(Y17="GBP", Transactions!$Q$2="GBP"), AG17,
            AND(Y17="GBP", Transactions!$Q$2="USD"), AG17*Transactions!$Z$6,
            AND(Y17="GBP", Transactions!$Q$2="HKD"), AG17*Transactions!$Z$7,
            AND(Y17="HKG", Transactions!$Q$2="HKG"), AG17,
            AND(Y17="HKD", Transactions!$Q$2="USD"), AG17*Transactions!$Z$9,
            AND(Y17="HKD", Transactions!$Q$2="GBP"), AG17*Transactions!$Z$10,
            AND(Y17="HKD", Transactions!$Q$2="EUR"), AG17*Transactions!$Z$11,
            AND(Y17="EUR", Transactions!$Q$2="EUR"), AG17,
            AND(Y17="EUR", Transactions!$Q$2="USD"), AG17*Transactions!$Z$12,
            AND(Y17="EUR", Transactions!$Q$2="GBP"), AG17*Transactions!$Z$13,
            AND(Y17="EUR", Transactions!$Q$2="HKD"), AG17*Transactions!$Z$14,
        ),
        0
    )
)</f>
        <v>1.5466219999999999</v>
      </c>
      <c r="I17" s="2" cm="1">
        <f t="array" ref="I17">IF($A17="", "",
    IFERROR(
        _xlfn.SWITCH(
            TRUE,
            AND(Y17="USD", Transactions!$Q$2="USD"), AH17,
            AND(Y17="USD", Transactions!$Q$2="GBP"), AH17*Transactions!$Z$3,
            AND(Y17="USD", Transactions!$Q$2="HKD"), AH17*Transactions!$Z$4,
            AND(Y17="USD", Transactions!$Q$2="EUR"), AH17*Transactions!$Z$5,
            AND(Y17="GBP", Transactions!$Q$2="GBP"), AH17,
            AND(Y17="GBP", Transactions!$Q$2="USD"), AH17*Transactions!$Z$6,
            AND(Y17="GBP", Transactions!$Q$2="HKD"), AH17*Transactions!$Z$7,
            AND(Y17="HKG", Transactions!$Q$2="HKG"), AH17,
            AND(Y17="HKD", Transactions!$Q$2="USD"), AH17*Transactions!$Z$9,
            AND(Y17="HKD", Transactions!$Q$2="GBP"), AH17*Transactions!$Z$10,
            AND(Y17="HKD", Transactions!$Q$2="EUR"), AH17*Transactions!$Z$11,
            AND(Y17="EUR", Transactions!$Q$2="EUR"), AH17,
            AND(Y17="EUR", Transactions!$Q$2="USD"), AH17*Transactions!$Z$12,
            AND(Y17="EUR", Transactions!$Q$2="GBP"), AH17*Transactions!$Z$13,
            AND(Y17="EUR", Transactions!$Q$2="HKD"), AH17*Transactions!$Z$14,
        ),
        0
    )
)</f>
        <v>62.810748000000004</v>
      </c>
      <c r="J17" s="2" cm="1">
        <f t="array" ref="J17">IF($A17="", "",
    IFERROR(
        _xlfn.SWITCH(
            TRUE,
            AND(Y17="USD", Transactions!$Q$2="USD"), AI17,
            AND(Y17="USD", Transactions!$Q$2="GBP"), AI17*Transactions!$Z$3,
            AND(Y17="USD", Transactions!$Q$2="HKD"), AI17*Transactions!$Z$4,
            AND(Y17="USD", Transactions!$Q$2="EUR"), AI17*Transactions!$Z$5,
            AND(Y17="GBP", Transactions!$Q$2="GBP"), AI17,
            AND(Y17="GBP", Transactions!$Q$2="USD"), AI17*Transactions!$Z$6,
            AND(Y17="GBP", Transactions!$Q$2="HKD"), AI17*Transactions!$Z$7,
            AND(Y17="HKG", Transactions!$Q$2="HKG"), AI17,
            AND(Y17="HKD", Transactions!$Q$2="USD"), AI17*Transactions!$Z$9,
            AND(Y17="HKD", Transactions!$Q$2="GBP"), AI17*Transactions!$Z$10,
            AND(Y17="HKD", Transactions!$Q$2="EUR"), AI17*Transactions!$Z$11,
            AND(Y17="EUR", Transactions!$Q$2="EUR"), AI17,
            AND(Y17="EUR", Transactions!$Q$2="USD"), AI17*Transactions!$Z$12,
            AND(Y17="EUR", Transactions!$Q$2="GBP"), AI17*Transactions!$Z$13,
            AND(Y17="EUR", Transactions!$Q$2="HKD"), AI17*Transactions!$Z$14,
        ),
        0
    )
)</f>
        <v>86.917599999999993</v>
      </c>
      <c r="K17" s="41">
        <f t="shared" si="6"/>
        <v>0.38380138380138379</v>
      </c>
      <c r="L17" s="2" cm="1">
        <f t="array" ref="L17">IF($A17="", "",
    IFERROR(
        _xlfn.SWITCH(
            TRUE,
            AND(Y17="USD", Transactions!$Q$2="USD"), AK17,
            AND(Y17="USD", Transactions!$Q$2="GBP"), AK17*Transactions!$Z$3,
            AND(Y17="USD", Transactions!$Q$2="HKD"), AK17*Transactions!$Z$4,
            AND(Y17="USD", Transactions!$Q$2="EUR"), AK17*Transactions!$Z$5,
            AND(Y17="GBP", Transactions!$Q$2="GBP"), AK17,
            AND(Y17="GBP", Transactions!$Q$2="USD"), AK17*Transactions!$Z$6,
            AND(Y17="GBP", Transactions!$Q$2="HKD"), AK17*Transactions!$Z$7,
            AND(Y17="HKG", Transactions!$Q$2="HKG"), AK17,
            AND(Y17="HKD", Transactions!$Q$2="USD"), AK17*Transactions!$Z$9,
            AND(Y17="HKD", Transactions!$Q$2="GBP"), AK17*Transactions!$Z$10,
            AND(Y17="HKD", Transactions!$Q$2="EUR"), AK17*Transactions!$Z$11,
            AND(Y17="EUR", Transactions!$Q$2="EUR"), AK17,
            AND(Y17="EUR", Transactions!$Q$2="USD"), AK17*Transactions!$Z$12,
            AND(Y17="EUR", Transactions!$Q$2="GBP"), AK17*Transactions!$Z$13,
            AND(Y17="EUR", Transactions!$Q$2="HKD"), AK17*Transactions!$Z$14,
        ),
        0
    )
)</f>
        <v>24.106852</v>
      </c>
      <c r="M17" s="119" cm="1">
        <f t="array" ref="M17">IF($A17="", "",
    IFERROR(
        _xlfn.SWITCH(
            TRUE,
            AND(Y17="USD", Transactions!$Q$2="USD"), AL17,
            AND(Y17="USD", Transactions!$Q$2="GBP"), AL17*Transactions!$Z$3,
            AND(Y17="USD", Transactions!$Q$2="HKD"), AL17*Transactions!$Z$4,
            AND(Y17="USD", Transactions!$Q$2="EUR"), AL17*Transactions!$Z$5,
            AND(Y17="GBP", Transactions!$Q$2="GBP"), AL17,
            AND(Y17="GBP", Transactions!$Q$2="USD"), AL17*Transactions!$Z$6,
            AND(Y17="GBP", Transactions!$Q$2="HKD"), AL17*Transactions!$Z$7,
            AND(Y17="HKG", Transactions!$Q$2="HKG"), AL17,
            AND(Y17="HKD", Transactions!$Q$2="USD"), AL17*Transactions!$Z$9,
            AND(Y17="HKD", Transactions!$Q$2="GBP"), AL17*Transactions!$Z$10,
            AND(Y17="HKD", Transactions!$Q$2="EUR"), AL17*Transactions!$Z$11,
            AND(Y17="EUR", Transactions!$Q$2="EUR"), AL17,
            AND(Y17="EUR", Transactions!$Q$2="USD"), AL17*Transactions!$Z$12,
            AND(Y17="EUR", Transactions!$Q$2="GBP"), AL17*Transactions!$Z$13,
            AND(Y17="EUR", Transactions!$Q$2="HKD"), AL17*Transactions!$Z$14,
        ),
        0
    )
)</f>
        <v>0</v>
      </c>
      <c r="N17" s="120" cm="1">
        <f t="array" ref="N17">IF($A17="", "",
    IFERROR(
        _xlfn.SWITCH(
            TRUE,
            AND(Y17="USD", Transactions!$Q$2="USD"), AM17,
            AND(Y17="USD", Transactions!$Q$2="GBP"), AM17*Transactions!$Z$3,
            AND(Y17="USD", Transactions!$Q$2="HKD"), AM17*Transactions!$Z$4,
            AND(Y17="USD", Transactions!$Q$2="EUR"), AM17*Transactions!$Z$5,
            AND(Y17="GBP", Transactions!$Q$2="GBP"), AM17,
            AND(Y17="GBP", Transactions!$Q$2="USD"), AM17*Transactions!$Z$6,
            AND(Y17="GBP", Transactions!$Q$2="HKD"), AM17*Transactions!$Z$7,
            AND(Y17="HKG", Transactions!$Q$2="HKG"), AM17,
            AND(Y17="HKD", Transactions!$Q$2="USD"), AM17*Transactions!$Z$9,
            AND(Y17="HKD", Transactions!$Q$2="GBP"), AM17*Transactions!$Z$10,
            AND(Y17="HKD", Transactions!$Q$2="EUR"), AM17*Transactions!$Z$11,
            AND(Y17="EUR", Transactions!$Q$2="EUR"), AM17,
            AND(Y17="EUR", Transactions!$Q$2="USD"), AM17*Transactions!$Z$12,
            AND(Y17="EUR", Transactions!$Q$2="GBP"), AM17*Transactions!$Z$13,
            AND(Y17="EUR", Transactions!$Q$2="HKD"), AM17*Transactions!$Z$14,
        ),
        0
    )
)</f>
        <v>24.106852</v>
      </c>
      <c r="O17" s="145"/>
      <c r="P17" s="145"/>
      <c r="Q17" s="41">
        <f t="shared" si="7"/>
        <v>4.2400956354658178E-4</v>
      </c>
      <c r="S17" s="41">
        <f t="shared" si="8"/>
        <v>4.2400956354658178E-4</v>
      </c>
      <c r="T17" s="1" t="str">
        <f t="shared" si="9"/>
        <v>Crypto</v>
      </c>
      <c r="U17" s="41">
        <f t="shared" si="10"/>
        <v>0.81515627319794193</v>
      </c>
      <c r="V17" s="41">
        <f t="shared" si="11"/>
        <v>0</v>
      </c>
      <c r="W17" s="41">
        <f t="shared" si="12"/>
        <v>0.81515627319794193</v>
      </c>
      <c r="X17" s="1" t="str">
        <f t="shared" si="0"/>
        <v>Social Fi</v>
      </c>
      <c r="Y17" s="17" t="str">
        <f>IFERROR(IF(ISBLANK(AA17), "", IF(VLOOKUP(AA17, Transactions!D:F, 3, FALSE) = "Stablecoin", AA17, INDEX(Transactions!$B$3:$B1021, MATCH(AA17, Transactions!$D$3:$D1021, 0)))), "")</f>
        <v>GBP</v>
      </c>
      <c r="Z17" s="1" t="str">
        <f>_xlfn.XLOOKUP(AA17,Transactions!$D$3:$D$1007,Transactions!$E$3:$E$1007)</f>
        <v>Decentralized Social</v>
      </c>
      <c r="AA17" s="1" t="str">
        <v>DESO</v>
      </c>
      <c r="AB17" s="118" cm="1">
        <f t="array" ref="AB17">IF(ISBLANK(AA17), "",
    SUMPRODUCT(
        (Transactions!$D$3:$D$1007=AA17) *
        (Transactions!$H$3:$H$1007={"Cash Deposit","Crypto Deposit","Buy","Transfer Deposit","DRIP","Airdrop/Rewards"}) *
        Transactions!$I$3:$I$1007
    )
    - SUMPRODUCT(
        (Transactions!$D$3:$D$1007=AA17) *
        (Transactions!$H$3:$H$1007={"Sell","Transfer Send","Cash Withdrawal","Crypto Withdrawal"}) *
        Transactions!$I$3:$I$1007
    )
)</f>
        <v>2</v>
      </c>
      <c r="AC17" s="2" cm="1">
        <f t="array" ref="AC17">IF(ISBLANK(AA17), "", LOOKUP(2, 1/(Transactions!D:D=AA17), Transactions!P:P))</f>
        <v>24.57</v>
      </c>
      <c r="AD17" s="2" cm="1">
        <f t="array" ref="AD17">IF(ISBLANK(AA17),"",IFERROR(_FV(AA17,"price"),INDEX('CoinGeko API'!E:E,MATCH(Portfolio_v2!AA17,'CoinGeko API'!C:C,0))))</f>
        <v>34</v>
      </c>
      <c r="AF17" s="39" cm="1">
        <f t="array" ref="AF17">IF(ISBLANK(AA17),"",IFERROR(_FV(AA17,"Change (%)",TRUE),INDEX('CoinGeko API'!G:G,MATCH(Portfolio_v2!AA17,'CoinGeko API'!C:C,0))))</f>
        <v>3.6919E-2</v>
      </c>
      <c r="AG17" s="34" cm="1">
        <f t="array" ref="AG17">IF(ISBLANK(AA17),"",IFERROR(_FV(AA17,"change"),INDEX('CoinGeko API'!F:F,MATCH(Portfolio_v2!AA17,'CoinGeko API'!C:C,0))))</f>
        <v>1.21</v>
      </c>
      <c r="AH17" s="2">
        <f t="shared" si="13"/>
        <v>49.14</v>
      </c>
      <c r="AI17" s="2">
        <f t="shared" si="14"/>
        <v>68</v>
      </c>
      <c r="AJ17" s="40">
        <f t="shared" si="15"/>
        <v>0.38380138380138379</v>
      </c>
      <c r="AK17" s="2">
        <f t="shared" si="16"/>
        <v>18.86</v>
      </c>
      <c r="AL17" s="119">
        <f>IF(OR(ISBLANK(AA17), COUNTIFS(Transactions!$D$3:$D1021, AA17) = 0), "",
    SUMIFS(Transactions!$M$3:$M1021, Transactions!$H$3:$H1021, "Sell", Transactions!$D$3:$D1021, AA17) +
    SUMIFS(Transactions!$M$3:$M1021, Transactions!$H$3:$H1021, "Dividend", Transactions!$D$3:$D1021, AA17) -
    SUMIFS(Transactions!$M$3:$M1021, Transactions!$H$3:$H1021, "Buy", Transactions!$D$3:$D1021, AA17) -
    SUMIFS(Transactions!$M$3:$M1021, Transactions!$H$3:$H1021, "Crypto Deposit", Transactions!$D$3:$D1021, AA17) -
    SUMIFS(Transactions!$M$3:$M1021, Transactions!$H$3:$H1021, "DRIP", Transactions!$D$3:$D1021, AA17) +
    SUMIFS($AH$3:$AH1013, $AA$3:$AA1013, AA17) +
    SUMIFS(Transactions!$M$3:$M1021, Transactions!$L$3:$L1021, "Stablecoin", Transactions!$B$3:$B1021, AA17)
)</f>
        <v>0</v>
      </c>
      <c r="AM17" s="120">
        <f t="shared" si="17"/>
        <v>18.86</v>
      </c>
      <c r="AN17" s="145"/>
      <c r="AO17" s="145"/>
      <c r="AP17" s="41">
        <f t="shared" si="1"/>
        <v>4.2400956354658178E-4</v>
      </c>
      <c r="AR17" s="41">
        <f t="shared" si="18"/>
        <v>4.2400956354658178E-4</v>
      </c>
      <c r="AS17" s="1" t="str">
        <f>_xlfn.XLOOKUP(AA17,Transactions!$D$3:$D$1007,Transactions!$F$3:$F$1007)</f>
        <v>Crypto</v>
      </c>
      <c r="AT17" s="41">
        <f t="shared" si="19"/>
        <v>0.81515627319794193</v>
      </c>
      <c r="AU17" s="41">
        <f t="shared" si="20"/>
        <v>0</v>
      </c>
      <c r="AV17" s="41">
        <f t="shared" si="21"/>
        <v>0.81515627319794193</v>
      </c>
      <c r="AW17" s="18" t="s">
        <v>479</v>
      </c>
    </row>
    <row r="18" spans="1:49" ht="18" customHeight="1">
      <c r="A18" s="17" t="str">
        <f t="shared" si="2"/>
        <v>Dogecoin</v>
      </c>
      <c r="B18" s="1" t="str">
        <f t="shared" si="3"/>
        <v>DOGE</v>
      </c>
      <c r="C18" s="118">
        <f t="shared" si="4"/>
        <v>2000</v>
      </c>
      <c r="D18" s="2" cm="1">
        <f t="array" ref="D18">IF($A18="", "",
    IFERROR(
        _xlfn.SWITCH(
            TRUE,
            AND(Y18="USD", Transactions!$Q$2="USD"), AC18,
            AND(Y18="USD", Transactions!$Q$2="GBP"), AC18*Transactions!$Z$3,
            AND(Y18="USD", Transactions!$Q$2="HKD"), AC18*Transactions!$Z$4,
            AND(Y18="USD", Transactions!$Q$2="EUR"), AC18*Transactions!$Z$5,
            AND(Y18="GBP", Transactions!$Q$2="GBP"), AC18,
            AND(Y18="GBP", Transactions!$Q$2="USD"), AC18*Transactions!$Z$6,
            AND(Y18="GBP", Transactions!$Q$2="HKD"), AC18*Transactions!$Z$7,
            AND(Y18="HKG", Transactions!$Q$2="HKG"), AC18,
            AND(Y18="HKD", Transactions!$Q$2="USD"), AC18*Transactions!$Z$9,
            AND(Y18="HKD", Transactions!$Q$2="GBP"), AC18*Transactions!$Z$10,
            AND(Y18="HKD", Transactions!$Q$2="EUR"), AC18*Transactions!$Z$11,
            AND(Y18="EUR", Transactions!$Q$2="EUR"), AC18,
            AND(Y18="EUR", Transactions!$Q$2="USD"), AC18*Transactions!$Z$12,
            AND(Y18="EUR", Transactions!$Q$2="GBP"), AC18*Transactions!$Z$13,
            AND(Y18="EUR", Transactions!$Q$2="HKD"), AC18*Transactions!$Z$14,
        ),
        0
    )
)</f>
        <v>0.20736526</v>
      </c>
      <c r="E18" s="2" cm="1">
        <f t="array" ref="E18">IF($A18="", "",
    IFERROR(
        _xlfn.SWITCH(
            TRUE,
            AND(Y18="USD", Transactions!$Q$2="USD"), AD18,
            AND(Y18="USD", Transactions!$Q$2="GBP"), AD18*Transactions!$Z$3,
            AND(Y18="USD", Transactions!$Q$2="HKD"), AD18*Transactions!$Z$4,
            AND(Y18="USD", Transactions!$Q$2="EUR"), AD18*Transactions!$Z$5,
            AND(Y18="GBP", Transactions!$Q$2="GBP"), AD18,
            AND(Y18="GBP", Transactions!$Q$2="USD"), AD18*Transactions!$Z$6,
            AND(Y18="GBP", Transactions!$Q$2="HKD"), AD18*Transactions!$Z$7,
            AND(Y18="HKG", Transactions!$Q$2="HKG"), AD18,
            AND(Y18="HKD", Transactions!$Q$2="USD"), AD18*Transactions!$Z$9,
            AND(Y18="HKD", Transactions!$Q$2="GBP"), AD18*Transactions!$Z$10,
            AND(Y18="HKD", Transactions!$Q$2="EUR"), AD18*Transactions!$Z$11,
            AND(Y18="EUR", Transactions!$Q$2="EUR"), AD18,
            AND(Y18="EUR", Transactions!$Q$2="USD"), AD18*Transactions!$Z$12,
            AND(Y18="EUR", Transactions!$Q$2="GBP"), AD18*Transactions!$Z$13,
            AND(Y18="EUR", Transactions!$Q$2="HKD"), AD18*Transactions!$Z$14,
        ),
        0
    )
)</f>
        <v>0.17783299999999999</v>
      </c>
      <c r="G18" s="121">
        <f t="shared" si="5"/>
        <v>3.1623899999999996E-2</v>
      </c>
      <c r="H18" s="34" cm="1">
        <f t="array" ref="H18">IF($A18="", "",
    IFERROR(
        _xlfn.SWITCH(
            TRUE,
            AND(Y18="USD", Transactions!$Q$2="USD"), AG18,
            AND(Y18="USD", Transactions!$Q$2="GBP"), AG18*Transactions!$Z$3,
            AND(Y18="USD", Transactions!$Q$2="HKD"), AG18*Transactions!$Z$4,
            AND(Y18="USD", Transactions!$Q$2="EUR"), AG18*Transactions!$Z$5,
            AND(Y18="GBP", Transactions!$Q$2="GBP"), AG18,
            AND(Y18="GBP", Transactions!$Q$2="USD"), AG18*Transactions!$Z$6,
            AND(Y18="GBP", Transactions!$Q$2="HKD"), AG18*Transactions!$Z$7,
            AND(Y18="HKG", Transactions!$Q$2="HKG"), AG18,
            AND(Y18="HKD", Transactions!$Q$2="USD"), AG18*Transactions!$Z$9,
            AND(Y18="HKD", Transactions!$Q$2="GBP"), AG18*Transactions!$Z$10,
            AND(Y18="HKD", Transactions!$Q$2="EUR"), AG18*Transactions!$Z$11,
            AND(Y18="EUR", Transactions!$Q$2="EUR"), AG18,
            AND(Y18="EUR", Transactions!$Q$2="USD"), AG18*Transactions!$Z$12,
            AND(Y18="EUR", Transactions!$Q$2="GBP"), AG18*Transactions!$Z$13,
            AND(Y18="EUR", Transactions!$Q$2="HKD"), AG18*Transactions!$Z$14,
        ),
        0
    )
)</f>
        <v>5.4514000000000003E-3</v>
      </c>
      <c r="I18" s="2" cm="1">
        <f t="array" ref="I18">IF($A18="", "",
    IFERROR(
        _xlfn.SWITCH(
            TRUE,
            AND(Y18="USD", Transactions!$Q$2="USD"), AH18,
            AND(Y18="USD", Transactions!$Q$2="GBP"), AH18*Transactions!$Z$3,
            AND(Y18="USD", Transactions!$Q$2="HKD"), AH18*Transactions!$Z$4,
            AND(Y18="USD", Transactions!$Q$2="EUR"), AH18*Transactions!$Z$5,
            AND(Y18="GBP", Transactions!$Q$2="GBP"), AH18,
            AND(Y18="GBP", Transactions!$Q$2="USD"), AH18*Transactions!$Z$6,
            AND(Y18="GBP", Transactions!$Q$2="HKD"), AH18*Transactions!$Z$7,
            AND(Y18="HKG", Transactions!$Q$2="HKG"), AH18,
            AND(Y18="HKD", Transactions!$Q$2="USD"), AH18*Transactions!$Z$9,
            AND(Y18="HKD", Transactions!$Q$2="GBP"), AH18*Transactions!$Z$10,
            AND(Y18="HKD", Transactions!$Q$2="EUR"), AH18*Transactions!$Z$11,
            AND(Y18="EUR", Transactions!$Q$2="EUR"), AH18,
            AND(Y18="EUR", Transactions!$Q$2="USD"), AH18*Transactions!$Z$12,
            AND(Y18="EUR", Transactions!$Q$2="GBP"), AH18*Transactions!$Z$13,
            AND(Y18="EUR", Transactions!$Q$2="HKD"), AH18*Transactions!$Z$14,
        ),
        0
    )
)</f>
        <v>414.73052000000001</v>
      </c>
      <c r="J18" s="2" cm="1">
        <f t="array" ref="J18">IF($A18="", "",
    IFERROR(
        _xlfn.SWITCH(
            TRUE,
            AND(Y18="USD", Transactions!$Q$2="USD"), AI18,
            AND(Y18="USD", Transactions!$Q$2="GBP"), AI18*Transactions!$Z$3,
            AND(Y18="USD", Transactions!$Q$2="HKD"), AI18*Transactions!$Z$4,
            AND(Y18="USD", Transactions!$Q$2="EUR"), AI18*Transactions!$Z$5,
            AND(Y18="GBP", Transactions!$Q$2="GBP"), AI18,
            AND(Y18="GBP", Transactions!$Q$2="USD"), AI18*Transactions!$Z$6,
            AND(Y18="GBP", Transactions!$Q$2="HKD"), AI18*Transactions!$Z$7,
            AND(Y18="HKG", Transactions!$Q$2="HKG"), AI18,
            AND(Y18="HKD", Transactions!$Q$2="USD"), AI18*Transactions!$Z$9,
            AND(Y18="HKD", Transactions!$Q$2="GBP"), AI18*Transactions!$Z$10,
            AND(Y18="HKD", Transactions!$Q$2="EUR"), AI18*Transactions!$Z$11,
            AND(Y18="EUR", Transactions!$Q$2="EUR"), AI18,
            AND(Y18="EUR", Transactions!$Q$2="USD"), AI18*Transactions!$Z$12,
            AND(Y18="EUR", Transactions!$Q$2="GBP"), AI18*Transactions!$Z$13,
            AND(Y18="EUR", Transactions!$Q$2="HKD"), AI18*Transactions!$Z$14,
        ),
        0
    )
)</f>
        <v>355.666</v>
      </c>
      <c r="K18" s="41">
        <f t="shared" si="6"/>
        <v>-0.14241662272648759</v>
      </c>
      <c r="L18" s="2" cm="1">
        <f t="array" ref="L18">IF($A18="", "",
    IFERROR(
        _xlfn.SWITCH(
            TRUE,
            AND(Y18="USD", Transactions!$Q$2="USD"), AK18,
            AND(Y18="USD", Transactions!$Q$2="GBP"), AK18*Transactions!$Z$3,
            AND(Y18="USD", Transactions!$Q$2="HKD"), AK18*Transactions!$Z$4,
            AND(Y18="USD", Transactions!$Q$2="EUR"), AK18*Transactions!$Z$5,
            AND(Y18="GBP", Transactions!$Q$2="GBP"), AK18,
            AND(Y18="GBP", Transactions!$Q$2="USD"), AK18*Transactions!$Z$6,
            AND(Y18="GBP", Transactions!$Q$2="HKD"), AK18*Transactions!$Z$7,
            AND(Y18="HKG", Transactions!$Q$2="HKG"), AK18,
            AND(Y18="HKD", Transactions!$Q$2="USD"), AK18*Transactions!$Z$9,
            AND(Y18="HKD", Transactions!$Q$2="GBP"), AK18*Transactions!$Z$10,
            AND(Y18="HKD", Transactions!$Q$2="EUR"), AK18*Transactions!$Z$11,
            AND(Y18="EUR", Transactions!$Q$2="EUR"), AK18,
            AND(Y18="EUR", Transactions!$Q$2="USD"), AK18*Transactions!$Z$12,
            AND(Y18="EUR", Transactions!$Q$2="GBP"), AK18*Transactions!$Z$13,
            AND(Y18="EUR", Transactions!$Q$2="HKD"), AK18*Transactions!$Z$14,
        ),
        0
    )
)</f>
        <v>-59.064520000000016</v>
      </c>
      <c r="M18" s="119" cm="1">
        <f t="array" ref="M18">IF($A18="", "",
    IFERROR(
        _xlfn.SWITCH(
            TRUE,
            AND(Y18="USD", Transactions!$Q$2="USD"), AL18,
            AND(Y18="USD", Transactions!$Q$2="GBP"), AL18*Transactions!$Z$3,
            AND(Y18="USD", Transactions!$Q$2="HKD"), AL18*Transactions!$Z$4,
            AND(Y18="USD", Transactions!$Q$2="EUR"), AL18*Transactions!$Z$5,
            AND(Y18="GBP", Transactions!$Q$2="GBP"), AL18,
            AND(Y18="GBP", Transactions!$Q$2="USD"), AL18*Transactions!$Z$6,
            AND(Y18="GBP", Transactions!$Q$2="HKD"), AL18*Transactions!$Z$7,
            AND(Y18="HKG", Transactions!$Q$2="HKG"), AL18,
            AND(Y18="HKD", Transactions!$Q$2="USD"), AL18*Transactions!$Z$9,
            AND(Y18="HKD", Transactions!$Q$2="GBP"), AL18*Transactions!$Z$10,
            AND(Y18="HKD", Transactions!$Q$2="EUR"), AL18*Transactions!$Z$11,
            AND(Y18="EUR", Transactions!$Q$2="EUR"), AL18,
            AND(Y18="EUR", Transactions!$Q$2="USD"), AL18*Transactions!$Z$12,
            AND(Y18="EUR", Transactions!$Q$2="GBP"), AL18*Transactions!$Z$13,
            AND(Y18="EUR", Transactions!$Q$2="HKD"), AL18*Transactions!$Z$14,
        ),
        0
    )
)</f>
        <v>0</v>
      </c>
      <c r="N18" s="120" cm="1">
        <f t="array" ref="N18">IF($A18="", "",
    IFERROR(
        _xlfn.SWITCH(
            TRUE,
            AND(Y18="USD", Transactions!$Q$2="USD"), AM18,
            AND(Y18="USD", Transactions!$Q$2="GBP"), AM18*Transactions!$Z$3,
            AND(Y18="USD", Transactions!$Q$2="HKD"), AM18*Transactions!$Z$4,
            AND(Y18="USD", Transactions!$Q$2="EUR"), AM18*Transactions!$Z$5,
            AND(Y18="GBP", Transactions!$Q$2="GBP"), AM18,
            AND(Y18="GBP", Transactions!$Q$2="USD"), AM18*Transactions!$Z$6,
            AND(Y18="GBP", Transactions!$Q$2="HKD"), AM18*Transactions!$Z$7,
            AND(Y18="HKG", Transactions!$Q$2="HKG"), AM18,
            AND(Y18="HKD", Transactions!$Q$2="USD"), AM18*Transactions!$Z$9,
            AND(Y18="HKD", Transactions!$Q$2="GBP"), AM18*Transactions!$Z$10,
            AND(Y18="HKD", Transactions!$Q$2="EUR"), AM18*Transactions!$Z$11,
            AND(Y18="EUR", Transactions!$Q$2="EUR"), AM18,
            AND(Y18="EUR", Transactions!$Q$2="USD"), AM18*Transactions!$Z$12,
            AND(Y18="EUR", Transactions!$Q$2="GBP"), AM18*Transactions!$Z$13,
            AND(Y18="EUR", Transactions!$Q$2="HKD"), AM18*Transactions!$Z$14,
        ),
        0
    )
)</f>
        <v>-59.064520000000016</v>
      </c>
      <c r="O18" s="145"/>
      <c r="P18" s="145"/>
      <c r="Q18" s="41">
        <f t="shared" si="7"/>
        <v>2.2177321386523318E-3</v>
      </c>
      <c r="S18" s="41">
        <f t="shared" si="8"/>
        <v>2.2177321386523318E-3</v>
      </c>
      <c r="T18" s="1" t="str">
        <f t="shared" si="9"/>
        <v>Crypto</v>
      </c>
      <c r="U18" s="41">
        <f t="shared" si="10"/>
        <v>0.81515627319794193</v>
      </c>
      <c r="V18" s="41">
        <f t="shared" si="11"/>
        <v>0</v>
      </c>
      <c r="W18" s="41">
        <f t="shared" si="12"/>
        <v>0.81515627319794193</v>
      </c>
      <c r="X18" s="1" t="str">
        <f t="shared" si="0"/>
        <v>Meme</v>
      </c>
      <c r="Y18" s="17" t="str">
        <f>IFERROR(IF(ISBLANK(AA18), "", IF(VLOOKUP(AA18, Transactions!D:F, 3, FALSE) = "Stablecoin", AA18, INDEX(Transactions!$B$3:$B1022, MATCH(AA18, Transactions!$D$3:$D1022, 0)))), "")</f>
        <v>USD</v>
      </c>
      <c r="Z18" s="1" t="str">
        <f>_xlfn.XLOOKUP(AA18,Transactions!$D$3:$D$1007,Transactions!$E$3:$E$1007)</f>
        <v>Dogecoin</v>
      </c>
      <c r="AA18" s="1" t="str">
        <v>DOGE</v>
      </c>
      <c r="AB18" s="118" cm="1">
        <f t="array" ref="AB18">IF(ISBLANK(AA18), "",
    SUMPRODUCT(
        (Transactions!$D$3:$D$1007=AA18) *
        (Transactions!$H$3:$H$1007={"Cash Deposit","Crypto Deposit","Buy","Transfer Deposit","DRIP","Airdrop/Rewards"}) *
        Transactions!$I$3:$I$1007
    )
    - SUMPRODUCT(
        (Transactions!$D$3:$D$1007=AA18) *
        (Transactions!$H$3:$H$1007={"Sell","Transfer Send","Cash Withdrawal","Crypto Withdrawal"}) *
        Transactions!$I$3:$I$1007
    )
)</f>
        <v>2000</v>
      </c>
      <c r="AC18" s="2" cm="1">
        <f t="array" ref="AC18">IF(ISBLANK(AA18), "", LOOKUP(2, 1/(Transactions!D:D=AA18), Transactions!P:P))</f>
        <v>0.20736526</v>
      </c>
      <c r="AD18" s="2" cm="1">
        <f t="array" ref="AD18">IF(ISBLANK(AA18),"",IFERROR(_FV(AA18,"price"),INDEX('CoinGeko API'!E:E,MATCH(Portfolio_v2!AA18,'CoinGeko API'!C:C,0))))</f>
        <v>0.17783299999999999</v>
      </c>
      <c r="AF18" s="39" cm="1">
        <f t="array" ref="AF18">IF(ISBLANK(AA18),"",IFERROR(_FV(AA18,"Change (%)",TRUE),INDEX('CoinGeko API'!G:G,MATCH(Portfolio_v2!AA18,'CoinGeko API'!C:C,0))))</f>
        <v>3.1623899999999996E-2</v>
      </c>
      <c r="AG18" s="34" cm="1">
        <f t="array" ref="AG18">IF(ISBLANK(AA18),"",IFERROR(_FV(AA18,"change"),INDEX('CoinGeko API'!F:F,MATCH(Portfolio_v2!AA18,'CoinGeko API'!C:C,0))))</f>
        <v>5.4514000000000003E-3</v>
      </c>
      <c r="AH18" s="2">
        <f t="shared" si="13"/>
        <v>414.73052000000001</v>
      </c>
      <c r="AI18" s="2">
        <f t="shared" si="14"/>
        <v>355.666</v>
      </c>
      <c r="AJ18" s="40">
        <f t="shared" si="15"/>
        <v>-0.14241662272648759</v>
      </c>
      <c r="AK18" s="2">
        <f t="shared" si="16"/>
        <v>-59.064520000000016</v>
      </c>
      <c r="AL18" s="119">
        <f>IF(OR(ISBLANK(AA18), COUNTIFS(Transactions!$D$3:$D1022, AA18) = 0), "",
    SUMIFS(Transactions!$M$3:$M1022, Transactions!$H$3:$H1022, "Sell", Transactions!$D$3:$D1022, AA18) +
    SUMIFS(Transactions!$M$3:$M1022, Transactions!$H$3:$H1022, "Dividend", Transactions!$D$3:$D1022, AA18) -
    SUMIFS(Transactions!$M$3:$M1022, Transactions!$H$3:$H1022, "Buy", Transactions!$D$3:$D1022, AA18) -
    SUMIFS(Transactions!$M$3:$M1022, Transactions!$H$3:$H1022, "Crypto Deposit", Transactions!$D$3:$D1022, AA18) -
    SUMIFS(Transactions!$M$3:$M1022, Transactions!$H$3:$H1022, "DRIP", Transactions!$D$3:$D1022, AA18) +
    SUMIFS($AH$3:$AH1014, $AA$3:$AA1014, AA18) +
    SUMIFS(Transactions!$M$3:$M1022, Transactions!$L$3:$L1022, "Stablecoin", Transactions!$B$3:$B1022, AA18)
)</f>
        <v>0</v>
      </c>
      <c r="AM18" s="120">
        <f t="shared" si="17"/>
        <v>-59.064520000000016</v>
      </c>
      <c r="AN18" s="145"/>
      <c r="AO18" s="145"/>
      <c r="AP18" s="41">
        <f t="shared" si="1"/>
        <v>2.2177321386523318E-3</v>
      </c>
      <c r="AR18" s="41">
        <f t="shared" si="18"/>
        <v>2.2177321386523318E-3</v>
      </c>
      <c r="AS18" s="1" t="str">
        <f>_xlfn.XLOOKUP(AA18,Transactions!$D$3:$D$1007,Transactions!$F$3:$F$1007)</f>
        <v>Crypto</v>
      </c>
      <c r="AT18" s="41">
        <f t="shared" si="19"/>
        <v>0.81515627319794193</v>
      </c>
      <c r="AU18" s="41">
        <f t="shared" si="20"/>
        <v>0</v>
      </c>
      <c r="AV18" s="41">
        <f t="shared" si="21"/>
        <v>0.81515627319794193</v>
      </c>
      <c r="AW18" s="18" t="s">
        <v>19</v>
      </c>
    </row>
    <row r="19" spans="1:49" ht="18" customHeight="1">
      <c r="A19" s="17" t="str">
        <f t="shared" si="2"/>
        <v>Polkadot</v>
      </c>
      <c r="B19" s="1" t="str">
        <f t="shared" si="3"/>
        <v>DOT</v>
      </c>
      <c r="C19" s="118">
        <f t="shared" si="4"/>
        <v>5.0571941000000002</v>
      </c>
      <c r="D19" s="2" cm="1">
        <f t="array" ref="D19">IF($A19="", "",
    IFERROR(
        _xlfn.SWITCH(
            TRUE,
            AND(Y19="USD", Transactions!$Q$2="USD"), AC19,
            AND(Y19="USD", Transactions!$Q$2="GBP"), AC19*Transactions!$Z$3,
            AND(Y19="USD", Transactions!$Q$2="HKD"), AC19*Transactions!$Z$4,
            AND(Y19="USD", Transactions!$Q$2="EUR"), AC19*Transactions!$Z$5,
            AND(Y19="GBP", Transactions!$Q$2="GBP"), AC19,
            AND(Y19="GBP", Transactions!$Q$2="USD"), AC19*Transactions!$Z$6,
            AND(Y19="GBP", Transactions!$Q$2="HKD"), AC19*Transactions!$Z$7,
            AND(Y19="HKG", Transactions!$Q$2="HKG"), AC19,
            AND(Y19="HKD", Transactions!$Q$2="USD"), AC19*Transactions!$Z$9,
            AND(Y19="HKD", Transactions!$Q$2="GBP"), AC19*Transactions!$Z$10,
            AND(Y19="HKD", Transactions!$Q$2="EUR"), AC19*Transactions!$Z$11,
            AND(Y19="EUR", Transactions!$Q$2="EUR"), AC19,
            AND(Y19="EUR", Transactions!$Q$2="USD"), AC19*Transactions!$Z$12,
            AND(Y19="EUR", Transactions!$Q$2="GBP"), AC19*Transactions!$Z$13,
            AND(Y19="EUR", Transactions!$Q$2="HKD"), AC19*Transactions!$Z$14,
        ),
        0
    )
)</f>
        <v>29.17</v>
      </c>
      <c r="E19" s="2" cm="1">
        <f t="array" ref="E19">IF($A19="", "",
    IFERROR(
        _xlfn.SWITCH(
            TRUE,
            AND(Y19="USD", Transactions!$Q$2="USD"), AD19,
            AND(Y19="USD", Transactions!$Q$2="GBP"), AD19*Transactions!$Z$3,
            AND(Y19="USD", Transactions!$Q$2="HKD"), AD19*Transactions!$Z$4,
            AND(Y19="USD", Transactions!$Q$2="EUR"), AD19*Transactions!$Z$5,
            AND(Y19="GBP", Transactions!$Q$2="GBP"), AD19,
            AND(Y19="GBP", Transactions!$Q$2="USD"), AD19*Transactions!$Z$6,
            AND(Y19="GBP", Transactions!$Q$2="HKD"), AD19*Transactions!$Z$7,
            AND(Y19="HKG", Transactions!$Q$2="HKG"), AD19,
            AND(Y19="HKD", Transactions!$Q$2="USD"), AD19*Transactions!$Z$9,
            AND(Y19="HKD", Transactions!$Q$2="GBP"), AD19*Transactions!$Z$10,
            AND(Y19="HKD", Transactions!$Q$2="EUR"), AD19*Transactions!$Z$11,
            AND(Y19="EUR", Transactions!$Q$2="EUR"), AD19,
            AND(Y19="EUR", Transactions!$Q$2="USD"), AD19*Transactions!$Z$12,
            AND(Y19="EUR", Transactions!$Q$2="GBP"), AD19*Transactions!$Z$13,
            AND(Y19="EUR", Transactions!$Q$2="HKD"), AD19*Transactions!$Z$14,
        ),
        0
    )
)</f>
        <v>9.8800000000000008</v>
      </c>
      <c r="G19" s="121">
        <f t="shared" si="5"/>
        <v>5.4707600000000002E-2</v>
      </c>
      <c r="H19" s="34" cm="1">
        <f t="array" ref="H19">IF($A19="", "",
    IFERROR(
        _xlfn.SWITCH(
            TRUE,
            AND(Y19="USD", Transactions!$Q$2="USD"), AG19,
            AND(Y19="USD", Transactions!$Q$2="GBP"), AG19*Transactions!$Z$3,
            AND(Y19="USD", Transactions!$Q$2="HKD"), AG19*Transactions!$Z$4,
            AND(Y19="USD", Transactions!$Q$2="EUR"), AG19*Transactions!$Z$5,
            AND(Y19="GBP", Transactions!$Q$2="GBP"), AG19,
            AND(Y19="GBP", Transactions!$Q$2="USD"), AG19*Transactions!$Z$6,
            AND(Y19="GBP", Transactions!$Q$2="HKD"), AG19*Transactions!$Z$7,
            AND(Y19="HKG", Transactions!$Q$2="HKG"), AG19,
            AND(Y19="HKD", Transactions!$Q$2="USD"), AG19*Transactions!$Z$9,
            AND(Y19="HKD", Transactions!$Q$2="GBP"), AG19*Transactions!$Z$10,
            AND(Y19="HKD", Transactions!$Q$2="EUR"), AG19*Transactions!$Z$11,
            AND(Y19="EUR", Transactions!$Q$2="EUR"), AG19,
            AND(Y19="EUR", Transactions!$Q$2="USD"), AG19*Transactions!$Z$12,
            AND(Y19="EUR", Transactions!$Q$2="GBP"), AG19*Transactions!$Z$13,
            AND(Y19="EUR", Transactions!$Q$2="HKD"), AG19*Transactions!$Z$14,
        ),
        0
    )
)</f>
        <v>0.51259999999999994</v>
      </c>
      <c r="I19" s="2" cm="1">
        <f t="array" ref="I19">IF($A19="", "",
    IFERROR(
        _xlfn.SWITCH(
            TRUE,
            AND(Y19="USD", Transactions!$Q$2="USD"), AH19,
            AND(Y19="USD", Transactions!$Q$2="GBP"), AH19*Transactions!$Z$3,
            AND(Y19="USD", Transactions!$Q$2="HKD"), AH19*Transactions!$Z$4,
            AND(Y19="USD", Transactions!$Q$2="EUR"), AH19*Transactions!$Z$5,
            AND(Y19="GBP", Transactions!$Q$2="GBP"), AH19,
            AND(Y19="GBP", Transactions!$Q$2="USD"), AH19*Transactions!$Z$6,
            AND(Y19="GBP", Transactions!$Q$2="HKD"), AH19*Transactions!$Z$7,
            AND(Y19="HKG", Transactions!$Q$2="HKG"), AH19,
            AND(Y19="HKD", Transactions!$Q$2="USD"), AH19*Transactions!$Z$9,
            AND(Y19="HKD", Transactions!$Q$2="GBP"), AH19*Transactions!$Z$10,
            AND(Y19="HKD", Transactions!$Q$2="EUR"), AH19*Transactions!$Z$11,
            AND(Y19="EUR", Transactions!$Q$2="EUR"), AH19,
            AND(Y19="EUR", Transactions!$Q$2="USD"), AH19*Transactions!$Z$12,
            AND(Y19="EUR", Transactions!$Q$2="GBP"), AH19*Transactions!$Z$13,
            AND(Y19="EUR", Transactions!$Q$2="HKD"), AH19*Transactions!$Z$14,
        ),
        0
    )
)</f>
        <v>147.518351897</v>
      </c>
      <c r="J19" s="2" cm="1">
        <f t="array" ref="J19">IF($A19="", "",
    IFERROR(
        _xlfn.SWITCH(
            TRUE,
            AND(Y19="USD", Transactions!$Q$2="USD"), AI19,
            AND(Y19="USD", Transactions!$Q$2="GBP"), AI19*Transactions!$Z$3,
            AND(Y19="USD", Transactions!$Q$2="HKD"), AI19*Transactions!$Z$4,
            AND(Y19="USD", Transactions!$Q$2="EUR"), AI19*Transactions!$Z$5,
            AND(Y19="GBP", Transactions!$Q$2="GBP"), AI19,
            AND(Y19="GBP", Transactions!$Q$2="USD"), AI19*Transactions!$Z$6,
            AND(Y19="GBP", Transactions!$Q$2="HKD"), AI19*Transactions!$Z$7,
            AND(Y19="HKG", Transactions!$Q$2="HKG"), AI19,
            AND(Y19="HKD", Transactions!$Q$2="USD"), AI19*Transactions!$Z$9,
            AND(Y19="HKD", Transactions!$Q$2="GBP"), AI19*Transactions!$Z$10,
            AND(Y19="HKD", Transactions!$Q$2="EUR"), AI19*Transactions!$Z$11,
            AND(Y19="EUR", Transactions!$Q$2="EUR"), AI19,
            AND(Y19="EUR", Transactions!$Q$2="USD"), AI19*Transactions!$Z$12,
            AND(Y19="EUR", Transactions!$Q$2="GBP"), AI19*Transactions!$Z$13,
            AND(Y19="EUR", Transactions!$Q$2="HKD"), AI19*Transactions!$Z$14,
        ),
        0
    )
)</f>
        <v>49.96507770800001</v>
      </c>
      <c r="K19" s="41">
        <f t="shared" si="6"/>
        <v>-0.66129585190263962</v>
      </c>
      <c r="L19" s="2" cm="1">
        <f t="array" ref="L19">IF($A19="", "",
    IFERROR(
        _xlfn.SWITCH(
            TRUE,
            AND(Y19="USD", Transactions!$Q$2="USD"), AK19,
            AND(Y19="USD", Transactions!$Q$2="GBP"), AK19*Transactions!$Z$3,
            AND(Y19="USD", Transactions!$Q$2="HKD"), AK19*Transactions!$Z$4,
            AND(Y19="USD", Transactions!$Q$2="EUR"), AK19*Transactions!$Z$5,
            AND(Y19="GBP", Transactions!$Q$2="GBP"), AK19,
            AND(Y19="GBP", Transactions!$Q$2="USD"), AK19*Transactions!$Z$6,
            AND(Y19="GBP", Transactions!$Q$2="HKD"), AK19*Transactions!$Z$7,
            AND(Y19="HKG", Transactions!$Q$2="HKG"), AK19,
            AND(Y19="HKD", Transactions!$Q$2="USD"), AK19*Transactions!$Z$9,
            AND(Y19="HKD", Transactions!$Q$2="GBP"), AK19*Transactions!$Z$10,
            AND(Y19="HKD", Transactions!$Q$2="EUR"), AK19*Transactions!$Z$11,
            AND(Y19="EUR", Transactions!$Q$2="EUR"), AK19,
            AND(Y19="EUR", Transactions!$Q$2="USD"), AK19*Transactions!$Z$12,
            AND(Y19="EUR", Transactions!$Q$2="GBP"), AK19*Transactions!$Z$13,
            AND(Y19="EUR", Transactions!$Q$2="HKD"), AK19*Transactions!$Z$14,
        ),
        0
    )
)</f>
        <v>-97.553274188999993</v>
      </c>
      <c r="M19" s="119" cm="1">
        <f t="array" ref="M19">IF($A19="", "",
    IFERROR(
        _xlfn.SWITCH(
            TRUE,
            AND(Y19="USD", Transactions!$Q$2="USD"), AL19,
            AND(Y19="USD", Transactions!$Q$2="GBP"), AL19*Transactions!$Z$3,
            AND(Y19="USD", Transactions!$Q$2="HKD"), AL19*Transactions!$Z$4,
            AND(Y19="USD", Transactions!$Q$2="EUR"), AL19*Transactions!$Z$5,
            AND(Y19="GBP", Transactions!$Q$2="GBP"), AL19,
            AND(Y19="GBP", Transactions!$Q$2="USD"), AL19*Transactions!$Z$6,
            AND(Y19="GBP", Transactions!$Q$2="HKD"), AL19*Transactions!$Z$7,
            AND(Y19="HKG", Transactions!$Q$2="HKG"), AL19,
            AND(Y19="HKD", Transactions!$Q$2="USD"), AL19*Transactions!$Z$9,
            AND(Y19="HKD", Transactions!$Q$2="GBP"), AL19*Transactions!$Z$10,
            AND(Y19="HKD", Transactions!$Q$2="EUR"), AL19*Transactions!$Z$11,
            AND(Y19="EUR", Transactions!$Q$2="EUR"), AL19,
            AND(Y19="EUR", Transactions!$Q$2="USD"), AL19*Transactions!$Z$12,
            AND(Y19="EUR", Transactions!$Q$2="GBP"), AL19*Transactions!$Z$13,
            AND(Y19="EUR", Transactions!$Q$2="HKD"), AL19*Transactions!$Z$14,
        ),
        0
    )
)</f>
        <v>0</v>
      </c>
      <c r="N19" s="120" cm="1">
        <f t="array" ref="N19">IF($A19="", "",
    IFERROR(
        _xlfn.SWITCH(
            TRUE,
            AND(Y19="USD", Transactions!$Q$2="USD"), AM19,
            AND(Y19="USD", Transactions!$Q$2="GBP"), AM19*Transactions!$Z$3,
            AND(Y19="USD", Transactions!$Q$2="HKD"), AM19*Transactions!$Z$4,
            AND(Y19="USD", Transactions!$Q$2="EUR"), AM19*Transactions!$Z$5,
            AND(Y19="GBP", Transactions!$Q$2="GBP"), AM19,
            AND(Y19="GBP", Transactions!$Q$2="USD"), AM19*Transactions!$Z$6,
            AND(Y19="GBP", Transactions!$Q$2="HKD"), AM19*Transactions!$Z$7,
            AND(Y19="HKG", Transactions!$Q$2="HKG"), AM19,
            AND(Y19="HKD", Transactions!$Q$2="USD"), AM19*Transactions!$Z$9,
            AND(Y19="HKD", Transactions!$Q$2="GBP"), AM19*Transactions!$Z$10,
            AND(Y19="HKD", Transactions!$Q$2="EUR"), AM19*Transactions!$Z$11,
            AND(Y19="EUR", Transactions!$Q$2="EUR"), AM19,
            AND(Y19="EUR", Transactions!$Q$2="USD"), AM19*Transactions!$Z$12,
            AND(Y19="EUR", Transactions!$Q$2="GBP"), AM19*Transactions!$Z$13,
            AND(Y19="EUR", Transactions!$Q$2="HKD"), AM19*Transactions!$Z$14,
        ),
        0
    )
)</f>
        <v>-97.553274188999993</v>
      </c>
      <c r="O19" s="145"/>
      <c r="P19" s="145"/>
      <c r="Q19" s="41">
        <f t="shared" si="7"/>
        <v>3.1155398222853126E-4</v>
      </c>
      <c r="S19" s="41">
        <f t="shared" si="8"/>
        <v>3.1155398222853126E-4</v>
      </c>
      <c r="T19" s="1" t="str">
        <f t="shared" si="9"/>
        <v>Crypto</v>
      </c>
      <c r="U19" s="41">
        <f t="shared" si="10"/>
        <v>0.81515627319794193</v>
      </c>
      <c r="V19" s="41">
        <f t="shared" si="11"/>
        <v>0</v>
      </c>
      <c r="W19" s="41">
        <f t="shared" si="12"/>
        <v>0.81515627319794193</v>
      </c>
      <c r="X19" s="1" t="str">
        <f t="shared" si="12"/>
        <v>Layer 1</v>
      </c>
      <c r="Y19" s="17" t="str">
        <f>IFERROR(IF(ISBLANK(AA19), "", IF(VLOOKUP(AA19, Transactions!D:F, 3, FALSE) = "Stablecoin", AA19, INDEX(Transactions!$B$3:$B1023, MATCH(AA19, Transactions!$D$3:$D1023, 0)))), "")</f>
        <v>USD</v>
      </c>
      <c r="Z19" s="1" t="str">
        <f>_xlfn.XLOOKUP(AA19,Transactions!$D$3:$D$1007,Transactions!$E$3:$E$1007)</f>
        <v>Polkadot</v>
      </c>
      <c r="AA19" s="1" t="str">
        <v>DOT</v>
      </c>
      <c r="AB19" s="118" cm="1">
        <f t="array" ref="AB19">IF(ISBLANK(AA19), "",
    SUMPRODUCT(
        (Transactions!$D$3:$D$1007=AA19) *
        (Transactions!$H$3:$H$1007={"Cash Deposit","Crypto Deposit","Buy","Transfer Deposit","DRIP","Airdrop/Rewards"}) *
        Transactions!$I$3:$I$1007
    )
    - SUMPRODUCT(
        (Transactions!$D$3:$D$1007=AA19) *
        (Transactions!$H$3:$H$1007={"Sell","Transfer Send","Cash Withdrawal","Crypto Withdrawal"}) *
        Transactions!$I$3:$I$1007
    )
)</f>
        <v>5.0571941000000002</v>
      </c>
      <c r="AC19" s="2" cm="1">
        <f t="array" ref="AC19">IF(ISBLANK(AA19), "", LOOKUP(2, 1/(Transactions!D:D=AA19), Transactions!P:P))</f>
        <v>29.17</v>
      </c>
      <c r="AD19" s="2" cm="1">
        <f t="array" ref="AD19">IF(ISBLANK(AA19),"",IFERROR(_FV(AA19,"price"),INDEX('CoinGeko API'!E:E,MATCH(Portfolio_v2!AA19,'CoinGeko API'!C:C,0))))</f>
        <v>9.8800000000000008</v>
      </c>
      <c r="AF19" s="39" cm="1">
        <f t="array" ref="AF19">IF(ISBLANK(AA19),"",IFERROR(_FV(AA19,"Change (%)",TRUE),INDEX('CoinGeko API'!G:G,MATCH(Portfolio_v2!AA19,'CoinGeko API'!C:C,0))))</f>
        <v>5.4707600000000002E-2</v>
      </c>
      <c r="AG19" s="34" cm="1">
        <f t="array" ref="AG19">IF(ISBLANK(AA19),"",IFERROR(_FV(AA19,"change"),INDEX('CoinGeko API'!F:F,MATCH(Portfolio_v2!AA19,'CoinGeko API'!C:C,0))))</f>
        <v>0.51259999999999994</v>
      </c>
      <c r="AH19" s="2">
        <f t="shared" si="13"/>
        <v>147.518351897</v>
      </c>
      <c r="AI19" s="2">
        <f t="shared" si="14"/>
        <v>49.96507770800001</v>
      </c>
      <c r="AJ19" s="40">
        <f t="shared" si="15"/>
        <v>-0.66129585190263962</v>
      </c>
      <c r="AK19" s="2">
        <f t="shared" si="16"/>
        <v>-97.553274188999993</v>
      </c>
      <c r="AL19" s="119">
        <f>IF(OR(ISBLANK(AA19), COUNTIFS(Transactions!$D$3:$D1023, AA19) = 0), "",
    SUMIFS(Transactions!$M$3:$M1023, Transactions!$H$3:$H1023, "Sell", Transactions!$D$3:$D1023, AA19) +
    SUMIFS(Transactions!$M$3:$M1023, Transactions!$H$3:$H1023, "Dividend", Transactions!$D$3:$D1023, AA19) -
    SUMIFS(Transactions!$M$3:$M1023, Transactions!$H$3:$H1023, "Buy", Transactions!$D$3:$D1023, AA19) -
    SUMIFS(Transactions!$M$3:$M1023, Transactions!$H$3:$H1023, "Crypto Deposit", Transactions!$D$3:$D1023, AA19) -
    SUMIFS(Transactions!$M$3:$M1023, Transactions!$H$3:$H1023, "DRIP", Transactions!$D$3:$D1023, AA19) +
    SUMIFS($AH$3:$AH1015, $AA$3:$AA1015, AA19) +
    SUMIFS(Transactions!$M$3:$M1023, Transactions!$L$3:$L1023, "Stablecoin", Transactions!$B$3:$B1023, AA19)
)</f>
        <v>0</v>
      </c>
      <c r="AM19" s="120">
        <f t="shared" si="17"/>
        <v>-97.553274188999993</v>
      </c>
      <c r="AN19" s="145"/>
      <c r="AO19" s="145"/>
      <c r="AP19" s="41">
        <f t="shared" si="1"/>
        <v>3.1155398222853126E-4</v>
      </c>
      <c r="AR19" s="41">
        <f t="shared" si="18"/>
        <v>3.1155398222853126E-4</v>
      </c>
      <c r="AS19" s="1" t="str">
        <f>_xlfn.XLOOKUP(AA19,Transactions!$D$3:$D$1007,Transactions!$F$3:$F$1007)</f>
        <v>Crypto</v>
      </c>
      <c r="AT19" s="41">
        <f t="shared" si="19"/>
        <v>0.81515627319794193</v>
      </c>
      <c r="AU19" s="41">
        <f t="shared" si="20"/>
        <v>0</v>
      </c>
      <c r="AV19" s="41">
        <f t="shared" si="21"/>
        <v>0.81515627319794193</v>
      </c>
      <c r="AW19" s="18" t="s">
        <v>16</v>
      </c>
    </row>
    <row r="20" spans="1:49" ht="18" customHeight="1">
      <c r="A20" s="17" t="str">
        <f t="shared" si="2"/>
        <v>Dymension</v>
      </c>
      <c r="B20" s="1" t="str">
        <f t="shared" si="3"/>
        <v>DYM</v>
      </c>
      <c r="C20" s="118">
        <f t="shared" si="4"/>
        <v>107</v>
      </c>
      <c r="D20" s="2" cm="1">
        <f t="array" ref="D20">IF($A20="", "",
    IFERROR(
        _xlfn.SWITCH(
            TRUE,
            AND(Y20="USD", Transactions!$Q$2="USD"), AC20,
            AND(Y20="USD", Transactions!$Q$2="GBP"), AC20*Transactions!$Z$3,
            AND(Y20="USD", Transactions!$Q$2="HKD"), AC20*Transactions!$Z$4,
            AND(Y20="USD", Transactions!$Q$2="EUR"), AC20*Transactions!$Z$5,
            AND(Y20="GBP", Transactions!$Q$2="GBP"), AC20,
            AND(Y20="GBP", Transactions!$Q$2="USD"), AC20*Transactions!$Z$6,
            AND(Y20="GBP", Transactions!$Q$2="HKD"), AC20*Transactions!$Z$7,
            AND(Y20="HKG", Transactions!$Q$2="HKG"), AC20,
            AND(Y20="HKD", Transactions!$Q$2="USD"), AC20*Transactions!$Z$9,
            AND(Y20="HKD", Transactions!$Q$2="GBP"), AC20*Transactions!$Z$10,
            AND(Y20="HKD", Transactions!$Q$2="EUR"), AC20*Transactions!$Z$11,
            AND(Y20="EUR", Transactions!$Q$2="EUR"), AC20,
            AND(Y20="EUR", Transactions!$Q$2="USD"), AC20*Transactions!$Z$12,
            AND(Y20="EUR", Transactions!$Q$2="GBP"), AC20*Transactions!$Z$13,
            AND(Y20="EUR", Transactions!$Q$2="HKD"), AC20*Transactions!$Z$14,
        ),
        0
    )
)</f>
        <v>5</v>
      </c>
      <c r="E20" s="2" cm="1">
        <f t="array" ref="E20">IF($A20="", "",
    IFERROR(
        _xlfn.SWITCH(
            TRUE,
            AND(Y20="USD", Transactions!$Q$2="USD"), AD20,
            AND(Y20="USD", Transactions!$Q$2="GBP"), AD20*Transactions!$Z$3,
            AND(Y20="USD", Transactions!$Q$2="HKD"), AD20*Transactions!$Z$4,
            AND(Y20="USD", Transactions!$Q$2="EUR"), AD20*Transactions!$Z$5,
            AND(Y20="GBP", Transactions!$Q$2="GBP"), AD20,
            AND(Y20="GBP", Transactions!$Q$2="USD"), AD20*Transactions!$Z$6,
            AND(Y20="GBP", Transactions!$Q$2="HKD"), AD20*Transactions!$Z$7,
            AND(Y20="HKG", Transactions!$Q$2="HKG"), AD20,
            AND(Y20="HKD", Transactions!$Q$2="USD"), AD20*Transactions!$Z$9,
            AND(Y20="HKD", Transactions!$Q$2="GBP"), AD20*Transactions!$Z$10,
            AND(Y20="HKD", Transactions!$Q$2="EUR"), AD20*Transactions!$Z$11,
            AND(Y20="EUR", Transactions!$Q$2="EUR"), AD20,
            AND(Y20="EUR", Transactions!$Q$2="USD"), AD20*Transactions!$Z$12,
            AND(Y20="EUR", Transactions!$Q$2="GBP"), AD20*Transactions!$Z$13,
            AND(Y20="EUR", Transactions!$Q$2="HKD"), AD20*Transactions!$Z$14,
        ),
        0
    )
)</f>
        <v>6.06</v>
      </c>
      <c r="G20" s="121">
        <f t="shared" ref="G20:G38" si="22">AF20</f>
        <v>6.8090799999999993E-2</v>
      </c>
      <c r="H20" s="34" cm="1">
        <f t="array" ref="H20">IF($A20="", "",
    IFERROR(
        _xlfn.SWITCH(
            TRUE,
            AND(Y20="USD", Transactions!$Q$2="USD"), AG20,
            AND(Y20="USD", Transactions!$Q$2="GBP"), AG20*Transactions!$Z$3,
            AND(Y20="USD", Transactions!$Q$2="HKD"), AG20*Transactions!$Z$4,
            AND(Y20="USD", Transactions!$Q$2="EUR"), AG20*Transactions!$Z$5,
            AND(Y20="GBP", Transactions!$Q$2="GBP"), AG20,
            AND(Y20="GBP", Transactions!$Q$2="USD"), AG20*Transactions!$Z$6,
            AND(Y20="GBP", Transactions!$Q$2="HKD"), AG20*Transactions!$Z$7,
            AND(Y20="HKG", Transactions!$Q$2="HKG"), AG20,
            AND(Y20="HKD", Transactions!$Q$2="USD"), AG20*Transactions!$Z$9,
            AND(Y20="HKD", Transactions!$Q$2="GBP"), AG20*Transactions!$Z$10,
            AND(Y20="HKD", Transactions!$Q$2="EUR"), AG20*Transactions!$Z$11,
            AND(Y20="EUR", Transactions!$Q$2="EUR"), AG20,
            AND(Y20="EUR", Transactions!$Q$2="USD"), AG20*Transactions!$Z$12,
            AND(Y20="EUR", Transactions!$Q$2="GBP"), AG20*Transactions!$Z$13,
            AND(Y20="EUR", Transactions!$Q$2="HKD"), AG20*Transactions!$Z$14,
        ),
        0
    )
)</f>
        <v>0.38637700000000003</v>
      </c>
      <c r="I20" s="2" cm="1">
        <f t="array" ref="I20">IF($A20="", "",
    IFERROR(
        _xlfn.SWITCH(
            TRUE,
            AND(Y20="USD", Transactions!$Q$2="USD"), AH20,
            AND(Y20="USD", Transactions!$Q$2="GBP"), AH20*Transactions!$Z$3,
            AND(Y20="USD", Transactions!$Q$2="HKD"), AH20*Transactions!$Z$4,
            AND(Y20="USD", Transactions!$Q$2="EUR"), AH20*Transactions!$Z$5,
            AND(Y20="GBP", Transactions!$Q$2="GBP"), AH20,
            AND(Y20="GBP", Transactions!$Q$2="USD"), AH20*Transactions!$Z$6,
            AND(Y20="GBP", Transactions!$Q$2="HKD"), AH20*Transactions!$Z$7,
            AND(Y20="HKG", Transactions!$Q$2="HKG"), AH20,
            AND(Y20="HKD", Transactions!$Q$2="USD"), AH20*Transactions!$Z$9,
            AND(Y20="HKD", Transactions!$Q$2="GBP"), AH20*Transactions!$Z$10,
            AND(Y20="HKD", Transactions!$Q$2="EUR"), AH20*Transactions!$Z$11,
            AND(Y20="EUR", Transactions!$Q$2="EUR"), AH20,
            AND(Y20="EUR", Transactions!$Q$2="USD"), AH20*Transactions!$Z$12,
            AND(Y20="EUR", Transactions!$Q$2="GBP"), AH20*Transactions!$Z$13,
            AND(Y20="EUR", Transactions!$Q$2="HKD"), AH20*Transactions!$Z$14,
        ),
        0
    )
)</f>
        <v>535</v>
      </c>
      <c r="J20" s="2" cm="1">
        <f t="array" ref="J20">IF($A20="", "",
    IFERROR(
        _xlfn.SWITCH(
            TRUE,
            AND(Y20="USD", Transactions!$Q$2="USD"), AI20,
            AND(Y20="USD", Transactions!$Q$2="GBP"), AI20*Transactions!$Z$3,
            AND(Y20="USD", Transactions!$Q$2="HKD"), AI20*Transactions!$Z$4,
            AND(Y20="USD", Transactions!$Q$2="EUR"), AI20*Transactions!$Z$5,
            AND(Y20="GBP", Transactions!$Q$2="GBP"), AI20,
            AND(Y20="GBP", Transactions!$Q$2="USD"), AI20*Transactions!$Z$6,
            AND(Y20="GBP", Transactions!$Q$2="HKD"), AI20*Transactions!$Z$7,
            AND(Y20="HKG", Transactions!$Q$2="HKG"), AI20,
            AND(Y20="HKD", Transactions!$Q$2="USD"), AI20*Transactions!$Z$9,
            AND(Y20="HKD", Transactions!$Q$2="GBP"), AI20*Transactions!$Z$10,
            AND(Y20="HKD", Transactions!$Q$2="EUR"), AI20*Transactions!$Z$11,
            AND(Y20="EUR", Transactions!$Q$2="EUR"), AI20,
            AND(Y20="EUR", Transactions!$Q$2="USD"), AI20*Transactions!$Z$12,
            AND(Y20="EUR", Transactions!$Q$2="GBP"), AI20*Transactions!$Z$13,
            AND(Y20="EUR", Transactions!$Q$2="HKD"), AI20*Transactions!$Z$14,
        ),
        0
    )
)</f>
        <v>648.41999999999996</v>
      </c>
      <c r="K20" s="41">
        <f t="shared" ref="K20:K62" si="23">AJ20</f>
        <v>0.21199999999999991</v>
      </c>
      <c r="L20" s="2" cm="1">
        <f t="array" ref="L20">IF($A20="", "",
    IFERROR(
        _xlfn.SWITCH(
            TRUE,
            AND(Y20="USD", Transactions!$Q$2="USD"), AK20,
            AND(Y20="USD", Transactions!$Q$2="GBP"), AK20*Transactions!$Z$3,
            AND(Y20="USD", Transactions!$Q$2="HKD"), AK20*Transactions!$Z$4,
            AND(Y20="USD", Transactions!$Q$2="EUR"), AK20*Transactions!$Z$5,
            AND(Y20="GBP", Transactions!$Q$2="GBP"), AK20,
            AND(Y20="GBP", Transactions!$Q$2="USD"), AK20*Transactions!$Z$6,
            AND(Y20="GBP", Transactions!$Q$2="HKD"), AK20*Transactions!$Z$7,
            AND(Y20="HKG", Transactions!$Q$2="HKG"), AK20,
            AND(Y20="HKD", Transactions!$Q$2="USD"), AK20*Transactions!$Z$9,
            AND(Y20="HKD", Transactions!$Q$2="GBP"), AK20*Transactions!$Z$10,
            AND(Y20="HKD", Transactions!$Q$2="EUR"), AK20*Transactions!$Z$11,
            AND(Y20="EUR", Transactions!$Q$2="EUR"), AK20,
            AND(Y20="EUR", Transactions!$Q$2="USD"), AK20*Transactions!$Z$12,
            AND(Y20="EUR", Transactions!$Q$2="GBP"), AK20*Transactions!$Z$13,
            AND(Y20="EUR", Transactions!$Q$2="HKD"), AK20*Transactions!$Z$14,
        ),
        0
    )
)</f>
        <v>113.41999999999996</v>
      </c>
      <c r="M20" s="119" cm="1">
        <f t="array" ref="M20">IF($A20="", "",
    IFERROR(
        _xlfn.SWITCH(
            TRUE,
            AND(Y20="USD", Transactions!$Q$2="USD"), AL20,
            AND(Y20="USD", Transactions!$Q$2="GBP"), AL20*Transactions!$Z$3,
            AND(Y20="USD", Transactions!$Q$2="HKD"), AL20*Transactions!$Z$4,
            AND(Y20="USD", Transactions!$Q$2="EUR"), AL20*Transactions!$Z$5,
            AND(Y20="GBP", Transactions!$Q$2="GBP"), AL20,
            AND(Y20="GBP", Transactions!$Q$2="USD"), AL20*Transactions!$Z$6,
            AND(Y20="GBP", Transactions!$Q$2="HKD"), AL20*Transactions!$Z$7,
            AND(Y20="HKG", Transactions!$Q$2="HKG"), AL20,
            AND(Y20="HKD", Transactions!$Q$2="USD"), AL20*Transactions!$Z$9,
            AND(Y20="HKD", Transactions!$Q$2="GBP"), AL20*Transactions!$Z$10,
            AND(Y20="HKD", Transactions!$Q$2="EUR"), AL20*Transactions!$Z$11,
            AND(Y20="EUR", Transactions!$Q$2="EUR"), AL20,
            AND(Y20="EUR", Transactions!$Q$2="USD"), AL20*Transactions!$Z$12,
            AND(Y20="EUR", Transactions!$Q$2="GBP"), AL20*Transactions!$Z$13,
            AND(Y20="EUR", Transactions!$Q$2="HKD"), AL20*Transactions!$Z$14,
        ),
        0
    )
)</f>
        <v>871.16499999999996</v>
      </c>
      <c r="N20" s="120" cm="1">
        <f t="array" ref="N20">IF($A20="", "",
    IFERROR(
        _xlfn.SWITCH(
            TRUE,
            AND(Y20="USD", Transactions!$Q$2="USD"), AM20,
            AND(Y20="USD", Transactions!$Q$2="GBP"), AM20*Transactions!$Z$3,
            AND(Y20="USD", Transactions!$Q$2="HKD"), AM20*Transactions!$Z$4,
            AND(Y20="USD", Transactions!$Q$2="EUR"), AM20*Transactions!$Z$5,
            AND(Y20="GBP", Transactions!$Q$2="GBP"), AM20,
            AND(Y20="GBP", Transactions!$Q$2="USD"), AM20*Transactions!$Z$6,
            AND(Y20="GBP", Transactions!$Q$2="HKD"), AM20*Transactions!$Z$7,
            AND(Y20="HKG", Transactions!$Q$2="HKG"), AM20,
            AND(Y20="HKD", Transactions!$Q$2="USD"), AM20*Transactions!$Z$9,
            AND(Y20="HKD", Transactions!$Q$2="GBP"), AM20*Transactions!$Z$10,
            AND(Y20="HKD", Transactions!$Q$2="EUR"), AM20*Transactions!$Z$11,
            AND(Y20="EUR", Transactions!$Q$2="EUR"), AM20,
            AND(Y20="EUR", Transactions!$Q$2="USD"), AM20*Transactions!$Z$12,
            AND(Y20="EUR", Transactions!$Q$2="GBP"), AM20*Transactions!$Z$13,
            AND(Y20="EUR", Transactions!$Q$2="HKD"), AM20*Transactions!$Z$14,
        ),
        0
    )
)</f>
        <v>984.58499999999992</v>
      </c>
      <c r="O20" s="145"/>
      <c r="P20" s="145"/>
      <c r="Q20" s="41">
        <f t="shared" ref="Q20:Q62" si="24">AP20</f>
        <v>4.0431806058069788E-3</v>
      </c>
      <c r="S20" s="41">
        <f t="shared" ref="S20:S62" si="25">AR20</f>
        <v>4.0431806058069788E-3</v>
      </c>
      <c r="T20" s="1" t="str">
        <f t="shared" ref="T20:T62" si="26">AS20</f>
        <v>Crypto</v>
      </c>
      <c r="U20" s="41">
        <f t="shared" ref="U20:U62" si="27">AT20</f>
        <v>0.81515627319794193</v>
      </c>
      <c r="V20" s="41">
        <f t="shared" ref="V20:V62" si="28">AU20</f>
        <v>0</v>
      </c>
      <c r="W20" s="41">
        <f t="shared" ref="W20:X62" si="29">AV20</f>
        <v>0.81515627319794193</v>
      </c>
      <c r="X20" s="1" t="str">
        <f t="shared" si="29"/>
        <v>Luanchpool</v>
      </c>
      <c r="Y20" s="17" t="str">
        <f>IFERROR(IF(ISBLANK(AA20), "", IF(VLOOKUP(AA20, Transactions!D:F, 3, FALSE) = "Stablecoin", AA20, INDEX(Transactions!$B$3:$B1024, MATCH(AA20, Transactions!$D$3:$D1024, 0)))), "")</f>
        <v>USD</v>
      </c>
      <c r="Z20" s="1" t="str">
        <f>_xlfn.XLOOKUP(AA20,Transactions!$D$3:$D$1007,Transactions!$E$3:$E$1007)</f>
        <v>Dymension</v>
      </c>
      <c r="AA20" s="1" t="str">
        <v>DYM</v>
      </c>
      <c r="AB20" s="118" cm="1">
        <f t="array" ref="AB20">IF(ISBLANK(AA20), "",
    SUMPRODUCT(
        (Transactions!$D$3:$D$1007=AA20) *
        (Transactions!$H$3:$H$1007={"Cash Deposit","Crypto Deposit","Buy","Transfer Deposit","DRIP","Airdrop/Rewards"}) *
        Transactions!$I$3:$I$1007
    )
    - SUMPRODUCT(
        (Transactions!$D$3:$D$1007=AA20) *
        (Transactions!$H$3:$H$1007={"Sell","Transfer Send","Cash Withdrawal","Crypto Withdrawal"}) *
        Transactions!$I$3:$I$1007
    )
)</f>
        <v>107</v>
      </c>
      <c r="AC20" s="2" cm="1">
        <f t="array" ref="AC20">IF(ISBLANK(AA20), "", LOOKUP(2, 1/(Transactions!D:D=AA20), Transactions!P:P))</f>
        <v>5</v>
      </c>
      <c r="AD20" s="2" cm="1">
        <f t="array" ref="AD20">IF(ISBLANK(AA20),"",IFERROR(_FV(AA20,"price"),INDEX('CoinGeko API'!E:E,MATCH(Portfolio_v2!AA20,'CoinGeko API'!C:C,0))))</f>
        <v>6.06</v>
      </c>
      <c r="AF20" s="39" cm="1">
        <f t="array" ref="AF20">IF(ISBLANK(AA20),"",IFERROR(_FV(AA20,"Change (%)",TRUE),INDEX('CoinGeko API'!G:G,MATCH(Portfolio_v2!AA20,'CoinGeko API'!C:C,0))))</f>
        <v>6.8090799999999993E-2</v>
      </c>
      <c r="AG20" s="34" cm="1">
        <f t="array" ref="AG20">IF(ISBLANK(AA20),"",IFERROR(_FV(AA20,"change"),INDEX('CoinGeko API'!F:F,MATCH(Portfolio_v2!AA20,'CoinGeko API'!C:C,0))))</f>
        <v>0.38637700000000003</v>
      </c>
      <c r="AH20" s="2">
        <f t="shared" si="13"/>
        <v>535</v>
      </c>
      <c r="AI20" s="2">
        <f t="shared" si="14"/>
        <v>648.41999999999996</v>
      </c>
      <c r="AJ20" s="40">
        <f t="shared" si="15"/>
        <v>0.21199999999999991</v>
      </c>
      <c r="AK20" s="2">
        <f t="shared" si="16"/>
        <v>113.41999999999996</v>
      </c>
      <c r="AL20" s="119">
        <f>IF(OR(ISBLANK(AA20), COUNTIFS(Transactions!$D$3:$D1024, AA20) = 0), "",
    SUMIFS(Transactions!$M$3:$M1024, Transactions!$H$3:$H1024, "Sell", Transactions!$D$3:$D1024, AA20) +
    SUMIFS(Transactions!$M$3:$M1024, Transactions!$H$3:$H1024, "Dividend", Transactions!$D$3:$D1024, AA20) -
    SUMIFS(Transactions!$M$3:$M1024, Transactions!$H$3:$H1024, "Buy", Transactions!$D$3:$D1024, AA20) -
    SUMIFS(Transactions!$M$3:$M1024, Transactions!$H$3:$H1024, "Crypto Deposit", Transactions!$D$3:$D1024, AA20) -
    SUMIFS(Transactions!$M$3:$M1024, Transactions!$H$3:$H1024, "DRIP", Transactions!$D$3:$D1024, AA20) +
    SUMIFS($AH$3:$AH1016, $AA$3:$AA1016, AA20) +
    SUMIFS(Transactions!$M$3:$M1024, Transactions!$L$3:$L1024, "Stablecoin", Transactions!$B$3:$B1024, AA20)
)</f>
        <v>871.16499999999996</v>
      </c>
      <c r="AM20" s="120">
        <f t="shared" si="17"/>
        <v>984.58499999999992</v>
      </c>
      <c r="AN20" s="145"/>
      <c r="AO20" s="145"/>
      <c r="AP20" s="41">
        <f t="shared" si="1"/>
        <v>4.0431806058069788E-3</v>
      </c>
      <c r="AR20" s="41">
        <f t="shared" si="18"/>
        <v>4.0431806058069788E-3</v>
      </c>
      <c r="AS20" s="1" t="str">
        <f>_xlfn.XLOOKUP(AA20,Transactions!$D$3:$D$1007,Transactions!$F$3:$F$1007)</f>
        <v>Crypto</v>
      </c>
      <c r="AT20" s="41">
        <f t="shared" si="19"/>
        <v>0.81515627319794193</v>
      </c>
      <c r="AU20" s="41">
        <f t="shared" si="20"/>
        <v>0</v>
      </c>
      <c r="AV20" s="41">
        <f t="shared" si="21"/>
        <v>0.81515627319794193</v>
      </c>
      <c r="AW20" s="18" t="s">
        <v>478</v>
      </c>
    </row>
    <row r="21" spans="1:49" ht="18" customHeight="1">
      <c r="A21" s="17" t="str">
        <f t="shared" si="2"/>
        <v>Ethereum</v>
      </c>
      <c r="B21" s="1" t="str">
        <f t="shared" si="3"/>
        <v>ETH</v>
      </c>
      <c r="C21" s="118">
        <f t="shared" si="4"/>
        <v>10.47406211649793</v>
      </c>
      <c r="D21" s="2" cm="1">
        <f t="array" ref="D21">IF($A21="", "",
    IFERROR(
        _xlfn.SWITCH(
            TRUE,
            AND(Y21="USD", Transactions!$Q$2="USD"), AC21,
            AND(Y21="USD", Transactions!$Q$2="GBP"), AC21*Transactions!$Z$3,
            AND(Y21="USD", Transactions!$Q$2="HKD"), AC21*Transactions!$Z$4,
            AND(Y21="USD", Transactions!$Q$2="EUR"), AC21*Transactions!$Z$5,
            AND(Y21="GBP", Transactions!$Q$2="GBP"), AC21,
            AND(Y21="GBP", Transactions!$Q$2="USD"), AC21*Transactions!$Z$6,
            AND(Y21="GBP", Transactions!$Q$2="HKD"), AC21*Transactions!$Z$7,
            AND(Y21="HKG", Transactions!$Q$2="HKG"), AC21,
            AND(Y21="HKD", Transactions!$Q$2="USD"), AC21*Transactions!$Z$9,
            AND(Y21="HKD", Transactions!$Q$2="GBP"), AC21*Transactions!$Z$10,
            AND(Y21="HKD", Transactions!$Q$2="EUR"), AC21*Transactions!$Z$11,
            AND(Y21="EUR", Transactions!$Q$2="EUR"), AC21,
            AND(Y21="EUR", Transactions!$Q$2="USD"), AC21*Transactions!$Z$12,
            AND(Y21="EUR", Transactions!$Q$2="GBP"), AC21*Transactions!$Z$13,
            AND(Y21="EUR", Transactions!$Q$2="HKD"), AC21*Transactions!$Z$14,
        ),
        0
    )
)</f>
        <v>2331.5797609609203</v>
      </c>
      <c r="E21" s="2" cm="1">
        <f t="array" ref="E21">IF($A21="", "",
    IFERROR(
        _xlfn.SWITCH(
            TRUE,
            AND(Y21="USD", Transactions!$Q$2="USD"), AD21,
            AND(Y21="USD", Transactions!$Q$2="GBP"), AD21*Transactions!$Z$3,
            AND(Y21="USD", Transactions!$Q$2="HKD"), AD21*Transactions!$Z$4,
            AND(Y21="USD", Transactions!$Q$2="EUR"), AD21*Transactions!$Z$5,
            AND(Y21="GBP", Transactions!$Q$2="GBP"), AD21,
            AND(Y21="GBP", Transactions!$Q$2="USD"), AD21*Transactions!$Z$6,
            AND(Y21="GBP", Transactions!$Q$2="HKD"), AD21*Transactions!$Z$7,
            AND(Y21="HKG", Transactions!$Q$2="HKG"), AD21,
            AND(Y21="HKD", Transactions!$Q$2="USD"), AD21*Transactions!$Z$9,
            AND(Y21="HKD", Transactions!$Q$2="GBP"), AD21*Transactions!$Z$10,
            AND(Y21="HKD", Transactions!$Q$2="EUR"), AD21*Transactions!$Z$11,
            AND(Y21="EUR", Transactions!$Q$2="EUR"), AD21,
            AND(Y21="EUR", Transactions!$Q$2="USD"), AD21*Transactions!$Z$12,
            AND(Y21="EUR", Transactions!$Q$2="GBP"), AD21*Transactions!$Z$13,
            AND(Y21="EUR", Transactions!$Q$2="HKD"), AD21*Transactions!$Z$14,
        ),
        0
    )
)</f>
        <v>3610.03</v>
      </c>
      <c r="G21" s="121">
        <f t="shared" si="22"/>
        <v>5.1454899999999998E-2</v>
      </c>
      <c r="H21" s="34" cm="1">
        <f t="array" ref="H21">IF($A21="", "",
    IFERROR(
        _xlfn.SWITCH(
            TRUE,
            AND(Y21="USD", Transactions!$Q$2="USD"), AG21,
            AND(Y21="USD", Transactions!$Q$2="GBP"), AG21*Transactions!$Z$3,
            AND(Y21="USD", Transactions!$Q$2="HKD"), AG21*Transactions!$Z$4,
            AND(Y21="USD", Transactions!$Q$2="EUR"), AG21*Transactions!$Z$5,
            AND(Y21="GBP", Transactions!$Q$2="GBP"), AG21,
            AND(Y21="GBP", Transactions!$Q$2="USD"), AG21*Transactions!$Z$6,
            AND(Y21="GBP", Transactions!$Q$2="HKD"), AG21*Transactions!$Z$7,
            AND(Y21="HKG", Transactions!$Q$2="HKG"), AG21,
            AND(Y21="HKD", Transactions!$Q$2="USD"), AG21*Transactions!$Z$9,
            AND(Y21="HKD", Transactions!$Q$2="GBP"), AG21*Transactions!$Z$10,
            AND(Y21="HKD", Transactions!$Q$2="EUR"), AG21*Transactions!$Z$11,
            AND(Y21="EUR", Transactions!$Q$2="EUR"), AG21,
            AND(Y21="EUR", Transactions!$Q$2="USD"), AG21*Transactions!$Z$12,
            AND(Y21="EUR", Transactions!$Q$2="GBP"), AG21*Transactions!$Z$13,
            AND(Y21="EUR", Transactions!$Q$2="HKD"), AG21*Transactions!$Z$14,
        ),
        0
    )
)</f>
        <v>176.66</v>
      </c>
      <c r="I21" s="2" cm="1">
        <f t="array" ref="I21">IF($A21="", "",
    IFERROR(
        _xlfn.SWITCH(
            TRUE,
            AND(Y21="USD", Transactions!$Q$2="USD"), AH21,
            AND(Y21="USD", Transactions!$Q$2="GBP"), AH21*Transactions!$Z$3,
            AND(Y21="USD", Transactions!$Q$2="HKD"), AH21*Transactions!$Z$4,
            AND(Y21="USD", Transactions!$Q$2="EUR"), AH21*Transactions!$Z$5,
            AND(Y21="GBP", Transactions!$Q$2="GBP"), AH21,
            AND(Y21="GBP", Transactions!$Q$2="USD"), AH21*Transactions!$Z$6,
            AND(Y21="GBP", Transactions!$Q$2="HKD"), AH21*Transactions!$Z$7,
            AND(Y21="HKG", Transactions!$Q$2="HKG"), AH21,
            AND(Y21="HKD", Transactions!$Q$2="USD"), AH21*Transactions!$Z$9,
            AND(Y21="HKD", Transactions!$Q$2="GBP"), AH21*Transactions!$Z$10,
            AND(Y21="HKD", Transactions!$Q$2="EUR"), AH21*Transactions!$Z$11,
            AND(Y21="EUR", Transactions!$Q$2="EUR"), AH21,
            AND(Y21="EUR", Transactions!$Q$2="USD"), AH21*Transactions!$Z$12,
            AND(Y21="EUR", Transactions!$Q$2="GBP"), AH21*Transactions!$Z$13,
            AND(Y21="EUR", Transactions!$Q$2="HKD"), AH21*Transactions!$Z$14,
        ),
        0
    )
)</f>
        <v>24421.111245874075</v>
      </c>
      <c r="J21" s="2" cm="1">
        <f t="array" ref="J21">IF($A21="", "",
    IFERROR(
        _xlfn.SWITCH(
            TRUE,
            AND(Y21="USD", Transactions!$Q$2="USD"), AI21,
            AND(Y21="USD", Transactions!$Q$2="GBP"), AI21*Transactions!$Z$3,
            AND(Y21="USD", Transactions!$Q$2="HKD"), AI21*Transactions!$Z$4,
            AND(Y21="USD", Transactions!$Q$2="EUR"), AI21*Transactions!$Z$5,
            AND(Y21="GBP", Transactions!$Q$2="GBP"), AI21,
            AND(Y21="GBP", Transactions!$Q$2="USD"), AI21*Transactions!$Z$6,
            AND(Y21="GBP", Transactions!$Q$2="HKD"), AI21*Transactions!$Z$7,
            AND(Y21="HKG", Transactions!$Q$2="HKG"), AI21,
            AND(Y21="HKD", Transactions!$Q$2="USD"), AI21*Transactions!$Z$9,
            AND(Y21="HKD", Transactions!$Q$2="GBP"), AI21*Transactions!$Z$10,
            AND(Y21="HKD", Transactions!$Q$2="EUR"), AI21*Transactions!$Z$11,
            AND(Y21="EUR", Transactions!$Q$2="EUR"), AI21,
            AND(Y21="EUR", Transactions!$Q$2="USD"), AI21*Transactions!$Z$12,
            AND(Y21="EUR", Transactions!$Q$2="GBP"), AI21*Transactions!$Z$13,
            AND(Y21="EUR", Transactions!$Q$2="HKD"), AI21*Transactions!$Z$14,
        ),
        0
    )
)</f>
        <v>37811.67846242102</v>
      </c>
      <c r="K21" s="41">
        <f t="shared" si="23"/>
        <v>0.54831932428174279</v>
      </c>
      <c r="L21" s="2" cm="1">
        <f t="array" ref="L21">IF($A21="", "",
    IFERROR(
        _xlfn.SWITCH(
            TRUE,
            AND(Y21="USD", Transactions!$Q$2="USD"), AK21,
            AND(Y21="USD", Transactions!$Q$2="GBP"), AK21*Transactions!$Z$3,
            AND(Y21="USD", Transactions!$Q$2="HKD"), AK21*Transactions!$Z$4,
            AND(Y21="USD", Transactions!$Q$2="EUR"), AK21*Transactions!$Z$5,
            AND(Y21="GBP", Transactions!$Q$2="GBP"), AK21,
            AND(Y21="GBP", Transactions!$Q$2="USD"), AK21*Transactions!$Z$6,
            AND(Y21="GBP", Transactions!$Q$2="HKD"), AK21*Transactions!$Z$7,
            AND(Y21="HKG", Transactions!$Q$2="HKG"), AK21,
            AND(Y21="HKD", Transactions!$Q$2="USD"), AK21*Transactions!$Z$9,
            AND(Y21="HKD", Transactions!$Q$2="GBP"), AK21*Transactions!$Z$10,
            AND(Y21="HKD", Transactions!$Q$2="EUR"), AK21*Transactions!$Z$11,
            AND(Y21="EUR", Transactions!$Q$2="EUR"), AK21,
            AND(Y21="EUR", Transactions!$Q$2="USD"), AK21*Transactions!$Z$12,
            AND(Y21="EUR", Transactions!$Q$2="GBP"), AK21*Transactions!$Z$13,
            AND(Y21="EUR", Transactions!$Q$2="HKD"), AK21*Transactions!$Z$14,
        ),
        0
    )
)</f>
        <v>13390.567216546944</v>
      </c>
      <c r="M21" s="119" cm="1">
        <f t="array" ref="M21">IF($A21="", "",
    IFERROR(
        _xlfn.SWITCH(
            TRUE,
            AND(Y21="USD", Transactions!$Q$2="USD"), AL21,
            AND(Y21="USD", Transactions!$Q$2="GBP"), AL21*Transactions!$Z$3,
            AND(Y21="USD", Transactions!$Q$2="HKD"), AL21*Transactions!$Z$4,
            AND(Y21="USD", Transactions!$Q$2="EUR"), AL21*Transactions!$Z$5,
            AND(Y21="GBP", Transactions!$Q$2="GBP"), AL21,
            AND(Y21="GBP", Transactions!$Q$2="USD"), AL21*Transactions!$Z$6,
            AND(Y21="GBP", Transactions!$Q$2="HKD"), AL21*Transactions!$Z$7,
            AND(Y21="HKG", Transactions!$Q$2="HKG"), AL21,
            AND(Y21="HKD", Transactions!$Q$2="USD"), AL21*Transactions!$Z$9,
            AND(Y21="HKD", Transactions!$Q$2="GBP"), AL21*Transactions!$Z$10,
            AND(Y21="HKD", Transactions!$Q$2="EUR"), AL21*Transactions!$Z$11,
            AND(Y21="EUR", Transactions!$Q$2="EUR"), AL21,
            AND(Y21="EUR", Transactions!$Q$2="USD"), AL21*Transactions!$Z$12,
            AND(Y21="EUR", Transactions!$Q$2="GBP"), AL21*Transactions!$Z$13,
            AND(Y21="EUR", Transactions!$Q$2="HKD"), AL21*Transactions!$Z$14,
        ),
        0
    )
)</f>
        <v>3.637978807091713E-12</v>
      </c>
      <c r="N21" s="120" cm="1">
        <f t="array" ref="N21">IF($A21="", "",
    IFERROR(
        _xlfn.SWITCH(
            TRUE,
            AND(Y21="USD", Transactions!$Q$2="USD"), AM21,
            AND(Y21="USD", Transactions!$Q$2="GBP"), AM21*Transactions!$Z$3,
            AND(Y21="USD", Transactions!$Q$2="HKD"), AM21*Transactions!$Z$4,
            AND(Y21="USD", Transactions!$Q$2="EUR"), AM21*Transactions!$Z$5,
            AND(Y21="GBP", Transactions!$Q$2="GBP"), AM21,
            AND(Y21="GBP", Transactions!$Q$2="USD"), AM21*Transactions!$Z$6,
            AND(Y21="GBP", Transactions!$Q$2="HKD"), AM21*Transactions!$Z$7,
            AND(Y21="HKG", Transactions!$Q$2="HKG"), AM21,
            AND(Y21="HKD", Transactions!$Q$2="USD"), AM21*Transactions!$Z$9,
            AND(Y21="HKD", Transactions!$Q$2="GBP"), AM21*Transactions!$Z$10,
            AND(Y21="HKD", Transactions!$Q$2="EUR"), AM21*Transactions!$Z$11,
            AND(Y21="EUR", Transactions!$Q$2="EUR"), AM21,
            AND(Y21="EUR", Transactions!$Q$2="USD"), AM21*Transactions!$Z$12,
            AND(Y21="EUR", Transactions!$Q$2="GBP"), AM21*Transactions!$Z$13,
            AND(Y21="EUR", Transactions!$Q$2="HKD"), AM21*Transactions!$Z$14,
        ),
        0
    )
)</f>
        <v>13390.567216546948</v>
      </c>
      <c r="O21" s="145"/>
      <c r="P21" s="145"/>
      <c r="Q21" s="41">
        <f t="shared" si="24"/>
        <v>0.23577225414433564</v>
      </c>
      <c r="S21" s="41">
        <f t="shared" si="25"/>
        <v>0.23577225414433564</v>
      </c>
      <c r="T21" s="1" t="str">
        <f t="shared" si="26"/>
        <v>Crypto</v>
      </c>
      <c r="U21" s="41">
        <f t="shared" si="27"/>
        <v>0.81515627319794193</v>
      </c>
      <c r="V21" s="41">
        <f t="shared" si="28"/>
        <v>0</v>
      </c>
      <c r="W21" s="41">
        <f t="shared" si="29"/>
        <v>0.81515627319794193</v>
      </c>
      <c r="X21" s="1" t="str">
        <f t="shared" si="29"/>
        <v>Ethereum</v>
      </c>
      <c r="Y21" s="17" t="str">
        <f>IFERROR(IF(ISBLANK(AA21), "", IF(VLOOKUP(AA21, Transactions!D:F, 3, FALSE) = "Stablecoin", AA21, INDEX(Transactions!$B$3:$B1025, MATCH(AA21, Transactions!$D$3:$D1025, 0)))), "")</f>
        <v>USD</v>
      </c>
      <c r="Z21" s="1" t="str">
        <f>_xlfn.XLOOKUP(AA21,Transactions!$D$3:$D$1007,Transactions!$E$3:$E$1007)</f>
        <v>Ethereum</v>
      </c>
      <c r="AA21" s="1" t="str">
        <v>ETH</v>
      </c>
      <c r="AB21" s="118" cm="1">
        <f t="array" ref="AB21">IF(ISBLANK(AA21), "",
    SUMPRODUCT(
        (Transactions!$D$3:$D$1007=AA21) *
        (Transactions!$H$3:$H$1007={"Cash Deposit","Crypto Deposit","Buy","Transfer Deposit","DRIP","Airdrop/Rewards"}) *
        Transactions!$I$3:$I$1007
    )
    - SUMPRODUCT(
        (Transactions!$D$3:$D$1007=AA21) *
        (Transactions!$H$3:$H$1007={"Sell","Transfer Send","Cash Withdrawal","Crypto Withdrawal"}) *
        Transactions!$I$3:$I$1007
    )
)</f>
        <v>10.47406211649793</v>
      </c>
      <c r="AC21" s="2" cm="1">
        <f t="array" ref="AC21">IF(ISBLANK(AA21), "", LOOKUP(2, 1/(Transactions!D:D=AA21), Transactions!P:P))</f>
        <v>2331.5797609609203</v>
      </c>
      <c r="AD21" s="2" cm="1">
        <f t="array" ref="AD21">IF(ISBLANK(AA21),"",IFERROR(_FV(AA21,"price"),INDEX('CoinGeko API'!E:E,MATCH(Portfolio_v2!AA21,'CoinGeko API'!C:C,0))))</f>
        <v>3610.03</v>
      </c>
      <c r="AF21" s="39" cm="1">
        <f t="array" ref="AF21">IF(ISBLANK(AA21),"",IFERROR(_FV(AA21,"Change (%)",TRUE),INDEX('CoinGeko API'!G:G,MATCH(Portfolio_v2!AA21,'CoinGeko API'!C:C,0))))</f>
        <v>5.1454899999999998E-2</v>
      </c>
      <c r="AG21" s="34" cm="1">
        <f t="array" ref="AG21">IF(ISBLANK(AA21),"",IFERROR(_FV(AA21,"change"),INDEX('CoinGeko API'!F:F,MATCH(Portfolio_v2!AA21,'CoinGeko API'!C:C,0))))</f>
        <v>176.66</v>
      </c>
      <c r="AH21" s="2">
        <f t="shared" si="13"/>
        <v>24421.111245874075</v>
      </c>
      <c r="AI21" s="2">
        <f t="shared" si="14"/>
        <v>37811.67846242102</v>
      </c>
      <c r="AJ21" s="40">
        <f t="shared" si="15"/>
        <v>0.54831932428174279</v>
      </c>
      <c r="AK21" s="2">
        <f t="shared" si="16"/>
        <v>13390.567216546944</v>
      </c>
      <c r="AL21" s="119">
        <f>IF(OR(ISBLANK(AA21), COUNTIFS(Transactions!$D$3:$D1025, AA21) = 0), "",
    SUMIFS(Transactions!$M$3:$M1025, Transactions!$H$3:$H1025, "Sell", Transactions!$D$3:$D1025, AA21) +
    SUMIFS(Transactions!$M$3:$M1025, Transactions!$H$3:$H1025, "Dividend", Transactions!$D$3:$D1025, AA21) -
    SUMIFS(Transactions!$M$3:$M1025, Transactions!$H$3:$H1025, "Buy", Transactions!$D$3:$D1025, AA21) -
    SUMIFS(Transactions!$M$3:$M1025, Transactions!$H$3:$H1025, "Crypto Deposit", Transactions!$D$3:$D1025, AA21) -
    SUMIFS(Transactions!$M$3:$M1025, Transactions!$H$3:$H1025, "DRIP", Transactions!$D$3:$D1025, AA21) +
    SUMIFS($AH$3:$AH1017, $AA$3:$AA1017, AA21) +
    SUMIFS(Transactions!$M$3:$M1025, Transactions!$L$3:$L1025, "Stablecoin", Transactions!$B$3:$B1025, AA21)
)</f>
        <v>3.637978807091713E-12</v>
      </c>
      <c r="AM21" s="120">
        <f t="shared" si="17"/>
        <v>13390.567216546948</v>
      </c>
      <c r="AN21" s="145"/>
      <c r="AO21" s="145"/>
      <c r="AP21" s="41">
        <f t="shared" si="1"/>
        <v>0.23577225414433564</v>
      </c>
      <c r="AR21" s="41">
        <f t="shared" si="18"/>
        <v>0.23577225414433564</v>
      </c>
      <c r="AS21" s="1" t="str">
        <f>_xlfn.XLOOKUP(AA21,Transactions!$D$3:$D$1007,Transactions!$F$3:$F$1007)</f>
        <v>Crypto</v>
      </c>
      <c r="AT21" s="41">
        <f t="shared" si="19"/>
        <v>0.81515627319794193</v>
      </c>
      <c r="AU21" s="41">
        <f t="shared" si="20"/>
        <v>0</v>
      </c>
      <c r="AV21" s="41">
        <f t="shared" si="21"/>
        <v>0.81515627319794193</v>
      </c>
      <c r="AW21" s="18" t="s">
        <v>24</v>
      </c>
    </row>
    <row r="22" spans="1:49" ht="18" customHeight="1">
      <c r="A22" s="17" t="str">
        <f t="shared" si="2"/>
        <v>Filecoin</v>
      </c>
      <c r="B22" s="1" t="str">
        <f t="shared" si="3"/>
        <v>FIL</v>
      </c>
      <c r="C22" s="118">
        <f t="shared" si="4"/>
        <v>40</v>
      </c>
      <c r="D22" s="2" cm="1">
        <f t="array" ref="D22">IF($A22="", "",
    IFERROR(
        _xlfn.SWITCH(
            TRUE,
            AND(Y22="USD", Transactions!$Q$2="USD"), AC22,
            AND(Y22="USD", Transactions!$Q$2="GBP"), AC22*Transactions!$Z$3,
            AND(Y22="USD", Transactions!$Q$2="HKD"), AC22*Transactions!$Z$4,
            AND(Y22="USD", Transactions!$Q$2="EUR"), AC22*Transactions!$Z$5,
            AND(Y22="GBP", Transactions!$Q$2="GBP"), AC22,
            AND(Y22="GBP", Transactions!$Q$2="USD"), AC22*Transactions!$Z$6,
            AND(Y22="GBP", Transactions!$Q$2="HKD"), AC22*Transactions!$Z$7,
            AND(Y22="HKG", Transactions!$Q$2="HKG"), AC22,
            AND(Y22="HKD", Transactions!$Q$2="USD"), AC22*Transactions!$Z$9,
            AND(Y22="HKD", Transactions!$Q$2="GBP"), AC22*Transactions!$Z$10,
            AND(Y22="HKD", Transactions!$Q$2="EUR"), AC22*Transactions!$Z$11,
            AND(Y22="EUR", Transactions!$Q$2="EUR"), AC22,
            AND(Y22="EUR", Transactions!$Q$2="USD"), AC22*Transactions!$Z$12,
            AND(Y22="EUR", Transactions!$Q$2="GBP"), AC22*Transactions!$Z$13,
            AND(Y22="EUR", Transactions!$Q$2="HKD"), AC22*Transactions!$Z$14,
        ),
        0
    )
)</f>
        <v>7.3860000000000001</v>
      </c>
      <c r="E22" s="2" cm="1">
        <f t="array" ref="E22">IF($A22="", "",
    IFERROR(
        _xlfn.SWITCH(
            TRUE,
            AND(Y22="USD", Transactions!$Q$2="USD"), AD22,
            AND(Y22="USD", Transactions!$Q$2="GBP"), AD22*Transactions!$Z$3,
            AND(Y22="USD", Transactions!$Q$2="HKD"), AD22*Transactions!$Z$4,
            AND(Y22="USD", Transactions!$Q$2="EUR"), AD22*Transactions!$Z$5,
            AND(Y22="GBP", Transactions!$Q$2="GBP"), AD22,
            AND(Y22="GBP", Transactions!$Q$2="USD"), AD22*Transactions!$Z$6,
            AND(Y22="GBP", Transactions!$Q$2="HKD"), AD22*Transactions!$Z$7,
            AND(Y22="HKG", Transactions!$Q$2="HKG"), AD22,
            AND(Y22="HKD", Transactions!$Q$2="USD"), AD22*Transactions!$Z$9,
            AND(Y22="HKD", Transactions!$Q$2="GBP"), AD22*Transactions!$Z$10,
            AND(Y22="HKD", Transactions!$Q$2="EUR"), AD22*Transactions!$Z$11,
            AND(Y22="EUR", Transactions!$Q$2="EUR"), AD22,
            AND(Y22="EUR", Transactions!$Q$2="USD"), AD22*Transactions!$Z$12,
            AND(Y22="EUR", Transactions!$Q$2="GBP"), AD22*Transactions!$Z$13,
            AND(Y22="EUR", Transactions!$Q$2="HKD"), AD22*Transactions!$Z$14,
        ),
        0
    )
)</f>
        <v>9.4</v>
      </c>
      <c r="G22" s="121">
        <f t="shared" si="22"/>
        <v>3.7911500000000001E-2</v>
      </c>
      <c r="H22" s="34" cm="1">
        <f t="array" ref="H22">IF($A22="", "",
    IFERROR(
        _xlfn.SWITCH(
            TRUE,
            AND(Y22="USD", Transactions!$Q$2="USD"), AG22,
            AND(Y22="USD", Transactions!$Q$2="GBP"), AG22*Transactions!$Z$3,
            AND(Y22="USD", Transactions!$Q$2="HKD"), AG22*Transactions!$Z$4,
            AND(Y22="USD", Transactions!$Q$2="EUR"), AG22*Transactions!$Z$5,
            AND(Y22="GBP", Transactions!$Q$2="GBP"), AG22,
            AND(Y22="GBP", Transactions!$Q$2="USD"), AG22*Transactions!$Z$6,
            AND(Y22="GBP", Transactions!$Q$2="HKD"), AG22*Transactions!$Z$7,
            AND(Y22="HKG", Transactions!$Q$2="HKG"), AG22,
            AND(Y22="HKD", Transactions!$Q$2="USD"), AG22*Transactions!$Z$9,
            AND(Y22="HKD", Transactions!$Q$2="GBP"), AG22*Transactions!$Z$10,
            AND(Y22="HKD", Transactions!$Q$2="EUR"), AG22*Transactions!$Z$11,
            AND(Y22="EUR", Transactions!$Q$2="EUR"), AG22,
            AND(Y22="EUR", Transactions!$Q$2="USD"), AG22*Transactions!$Z$12,
            AND(Y22="EUR", Transactions!$Q$2="GBP"), AG22*Transactions!$Z$13,
            AND(Y22="EUR", Transactions!$Q$2="HKD"), AG22*Transactions!$Z$14,
        ),
        0
    )
)</f>
        <v>0.34334999999999999</v>
      </c>
      <c r="I22" s="2" cm="1">
        <f t="array" ref="I22">IF($A22="", "",
    IFERROR(
        _xlfn.SWITCH(
            TRUE,
            AND(Y22="USD", Transactions!$Q$2="USD"), AH22,
            AND(Y22="USD", Transactions!$Q$2="GBP"), AH22*Transactions!$Z$3,
            AND(Y22="USD", Transactions!$Q$2="HKD"), AH22*Transactions!$Z$4,
            AND(Y22="USD", Transactions!$Q$2="EUR"), AH22*Transactions!$Z$5,
            AND(Y22="GBP", Transactions!$Q$2="GBP"), AH22,
            AND(Y22="GBP", Transactions!$Q$2="USD"), AH22*Transactions!$Z$6,
            AND(Y22="GBP", Transactions!$Q$2="HKD"), AH22*Transactions!$Z$7,
            AND(Y22="HKG", Transactions!$Q$2="HKG"), AH22,
            AND(Y22="HKD", Transactions!$Q$2="USD"), AH22*Transactions!$Z$9,
            AND(Y22="HKD", Transactions!$Q$2="GBP"), AH22*Transactions!$Z$10,
            AND(Y22="HKD", Transactions!$Q$2="EUR"), AH22*Transactions!$Z$11,
            AND(Y22="EUR", Transactions!$Q$2="EUR"), AH22,
            AND(Y22="EUR", Transactions!$Q$2="USD"), AH22*Transactions!$Z$12,
            AND(Y22="EUR", Transactions!$Q$2="GBP"), AH22*Transactions!$Z$13,
            AND(Y22="EUR", Transactions!$Q$2="HKD"), AH22*Transactions!$Z$14,
        ),
        0
    )
)</f>
        <v>295.44</v>
      </c>
      <c r="J22" s="2" cm="1">
        <f t="array" ref="J22">IF($A22="", "",
    IFERROR(
        _xlfn.SWITCH(
            TRUE,
            AND(Y22="USD", Transactions!$Q$2="USD"), AI22,
            AND(Y22="USD", Transactions!$Q$2="GBP"), AI22*Transactions!$Z$3,
            AND(Y22="USD", Transactions!$Q$2="HKD"), AI22*Transactions!$Z$4,
            AND(Y22="USD", Transactions!$Q$2="EUR"), AI22*Transactions!$Z$5,
            AND(Y22="GBP", Transactions!$Q$2="GBP"), AI22,
            AND(Y22="GBP", Transactions!$Q$2="USD"), AI22*Transactions!$Z$6,
            AND(Y22="GBP", Transactions!$Q$2="HKD"), AI22*Transactions!$Z$7,
            AND(Y22="HKG", Transactions!$Q$2="HKG"), AI22,
            AND(Y22="HKD", Transactions!$Q$2="USD"), AI22*Transactions!$Z$9,
            AND(Y22="HKD", Transactions!$Q$2="GBP"), AI22*Transactions!$Z$10,
            AND(Y22="HKD", Transactions!$Q$2="EUR"), AI22*Transactions!$Z$11,
            AND(Y22="EUR", Transactions!$Q$2="EUR"), AI22,
            AND(Y22="EUR", Transactions!$Q$2="USD"), AI22*Transactions!$Z$12,
            AND(Y22="EUR", Transactions!$Q$2="GBP"), AI22*Transactions!$Z$13,
            AND(Y22="EUR", Transactions!$Q$2="HKD"), AI22*Transactions!$Z$14,
        ),
        0
    )
)</f>
        <v>376</v>
      </c>
      <c r="K22" s="41">
        <f t="shared" si="23"/>
        <v>0.27267803953425401</v>
      </c>
      <c r="L22" s="2" cm="1">
        <f t="array" ref="L22">IF($A22="", "",
    IFERROR(
        _xlfn.SWITCH(
            TRUE,
            AND(Y22="USD", Transactions!$Q$2="USD"), AK22,
            AND(Y22="USD", Transactions!$Q$2="GBP"), AK22*Transactions!$Z$3,
            AND(Y22="USD", Transactions!$Q$2="HKD"), AK22*Transactions!$Z$4,
            AND(Y22="USD", Transactions!$Q$2="EUR"), AK22*Transactions!$Z$5,
            AND(Y22="GBP", Transactions!$Q$2="GBP"), AK22,
            AND(Y22="GBP", Transactions!$Q$2="USD"), AK22*Transactions!$Z$6,
            AND(Y22="GBP", Transactions!$Q$2="HKD"), AK22*Transactions!$Z$7,
            AND(Y22="HKG", Transactions!$Q$2="HKG"), AK22,
            AND(Y22="HKD", Transactions!$Q$2="USD"), AK22*Transactions!$Z$9,
            AND(Y22="HKD", Transactions!$Q$2="GBP"), AK22*Transactions!$Z$10,
            AND(Y22="HKD", Transactions!$Q$2="EUR"), AK22*Transactions!$Z$11,
            AND(Y22="EUR", Transactions!$Q$2="EUR"), AK22,
            AND(Y22="EUR", Transactions!$Q$2="USD"), AK22*Transactions!$Z$12,
            AND(Y22="EUR", Transactions!$Q$2="GBP"), AK22*Transactions!$Z$13,
            AND(Y22="EUR", Transactions!$Q$2="HKD"), AK22*Transactions!$Z$14,
        ),
        0
    )
)</f>
        <v>80.56</v>
      </c>
      <c r="M22" s="119" cm="1">
        <f t="array" ref="M22">IF($A22="", "",
    IFERROR(
        _xlfn.SWITCH(
            TRUE,
            AND(Y22="USD", Transactions!$Q$2="USD"), AL22,
            AND(Y22="USD", Transactions!$Q$2="GBP"), AL22*Transactions!$Z$3,
            AND(Y22="USD", Transactions!$Q$2="HKD"), AL22*Transactions!$Z$4,
            AND(Y22="USD", Transactions!$Q$2="EUR"), AL22*Transactions!$Z$5,
            AND(Y22="GBP", Transactions!$Q$2="GBP"), AL22,
            AND(Y22="GBP", Transactions!$Q$2="USD"), AL22*Transactions!$Z$6,
            AND(Y22="GBP", Transactions!$Q$2="HKD"), AL22*Transactions!$Z$7,
            AND(Y22="HKG", Transactions!$Q$2="HKG"), AL22,
            AND(Y22="HKD", Transactions!$Q$2="USD"), AL22*Transactions!$Z$9,
            AND(Y22="HKD", Transactions!$Q$2="GBP"), AL22*Transactions!$Z$10,
            AND(Y22="HKD", Transactions!$Q$2="EUR"), AL22*Transactions!$Z$11,
            AND(Y22="EUR", Transactions!$Q$2="EUR"), AL22,
            AND(Y22="EUR", Transactions!$Q$2="USD"), AL22*Transactions!$Z$12,
            AND(Y22="EUR", Transactions!$Q$2="GBP"), AL22*Transactions!$Z$13,
            AND(Y22="EUR", Transactions!$Q$2="HKD"), AL22*Transactions!$Z$14,
        ),
        0
    )
)</f>
        <v>0</v>
      </c>
      <c r="N22" s="120" cm="1">
        <f t="array" ref="N22">IF($A22="", "",
    IFERROR(
        _xlfn.SWITCH(
            TRUE,
            AND(Y22="USD", Transactions!$Q$2="USD"), AM22,
            AND(Y22="USD", Transactions!$Q$2="GBP"), AM22*Transactions!$Z$3,
            AND(Y22="USD", Transactions!$Q$2="HKD"), AM22*Transactions!$Z$4,
            AND(Y22="USD", Transactions!$Q$2="EUR"), AM22*Transactions!$Z$5,
            AND(Y22="GBP", Transactions!$Q$2="GBP"), AM22,
            AND(Y22="GBP", Transactions!$Q$2="USD"), AM22*Transactions!$Z$6,
            AND(Y22="GBP", Transactions!$Q$2="HKD"), AM22*Transactions!$Z$7,
            AND(Y22="HKG", Transactions!$Q$2="HKG"), AM22,
            AND(Y22="HKD", Transactions!$Q$2="USD"), AM22*Transactions!$Z$9,
            AND(Y22="HKD", Transactions!$Q$2="GBP"), AM22*Transactions!$Z$10,
            AND(Y22="HKD", Transactions!$Q$2="EUR"), AM22*Transactions!$Z$11,
            AND(Y22="EUR", Transactions!$Q$2="EUR"), AM22,
            AND(Y22="EUR", Transactions!$Q$2="USD"), AM22*Transactions!$Z$12,
            AND(Y22="EUR", Transactions!$Q$2="GBP"), AM22*Transactions!$Z$13,
            AND(Y22="EUR", Transactions!$Q$2="HKD"), AM22*Transactions!$Z$14,
        ),
        0
    )
)</f>
        <v>80.56</v>
      </c>
      <c r="O22" s="145"/>
      <c r="P22" s="145"/>
      <c r="Q22" s="41">
        <f t="shared" si="24"/>
        <v>2.3445234690222757E-3</v>
      </c>
      <c r="S22" s="41">
        <f t="shared" si="25"/>
        <v>2.3445234690222757E-3</v>
      </c>
      <c r="T22" s="1" t="str">
        <f t="shared" si="26"/>
        <v>Crypto</v>
      </c>
      <c r="U22" s="41">
        <f t="shared" si="27"/>
        <v>0.81515627319794193</v>
      </c>
      <c r="V22" s="41">
        <f t="shared" si="28"/>
        <v>0</v>
      </c>
      <c r="W22" s="41">
        <f t="shared" si="29"/>
        <v>0.81515627319794193</v>
      </c>
      <c r="X22" s="1" t="str">
        <f t="shared" si="29"/>
        <v>Infrastructure</v>
      </c>
      <c r="Y22" s="17" t="str">
        <f>IFERROR(IF(ISBLANK(AA22), "", IF(VLOOKUP(AA22, Transactions!D:F, 3, FALSE) = "Stablecoin", AA22, INDEX(Transactions!$B$3:$B1026, MATCH(AA22, Transactions!$D$3:$D1026, 0)))), "")</f>
        <v>USD</v>
      </c>
      <c r="Z22" s="1" t="str">
        <f>_xlfn.XLOOKUP(AA22,Transactions!$D$3:$D$1007,Transactions!$E$3:$E$1007)</f>
        <v>Filecoin</v>
      </c>
      <c r="AA22" s="1" t="str">
        <v>FIL</v>
      </c>
      <c r="AB22" s="118" cm="1">
        <f t="array" ref="AB22">IF(ISBLANK(AA22), "",
    SUMPRODUCT(
        (Transactions!$D$3:$D$1007=AA22) *
        (Transactions!$H$3:$H$1007={"Cash Deposit","Crypto Deposit","Buy","Transfer Deposit","DRIP","Airdrop/Rewards"}) *
        Transactions!$I$3:$I$1007
    )
    - SUMPRODUCT(
        (Transactions!$D$3:$D$1007=AA22) *
        (Transactions!$H$3:$H$1007={"Sell","Transfer Send","Cash Withdrawal","Crypto Withdrawal"}) *
        Transactions!$I$3:$I$1007
    )
)</f>
        <v>40</v>
      </c>
      <c r="AC22" s="2" cm="1">
        <f t="array" ref="AC22">IF(ISBLANK(AA22), "", LOOKUP(2, 1/(Transactions!D:D=AA22), Transactions!P:P))</f>
        <v>7.3860000000000001</v>
      </c>
      <c r="AD22" s="2" cm="1">
        <f t="array" ref="AD22">IF(ISBLANK(AA22),"",IFERROR(_FV(AA22,"price"),INDEX('CoinGeko API'!E:E,MATCH(Portfolio_v2!AA22,'CoinGeko API'!C:C,0))))</f>
        <v>9.4</v>
      </c>
      <c r="AF22" s="39" cm="1">
        <f t="array" ref="AF22">IF(ISBLANK(AA22),"",IFERROR(_FV(AA22,"Change (%)",TRUE),INDEX('CoinGeko API'!G:G,MATCH(Portfolio_v2!AA22,'CoinGeko API'!C:C,0))))</f>
        <v>3.7911500000000001E-2</v>
      </c>
      <c r="AG22" s="34" cm="1">
        <f t="array" ref="AG22">IF(ISBLANK(AA22),"",IFERROR(_FV(AA22,"change"),INDEX('CoinGeko API'!F:F,MATCH(Portfolio_v2!AA22,'CoinGeko API'!C:C,0))))</f>
        <v>0.34334999999999999</v>
      </c>
      <c r="AH22" s="2">
        <f t="shared" si="13"/>
        <v>295.44</v>
      </c>
      <c r="AI22" s="2">
        <f t="shared" si="14"/>
        <v>376</v>
      </c>
      <c r="AJ22" s="40">
        <f t="shared" si="15"/>
        <v>0.27267803953425401</v>
      </c>
      <c r="AK22" s="2">
        <f t="shared" si="16"/>
        <v>80.56</v>
      </c>
      <c r="AL22" s="119">
        <f>IF(OR(ISBLANK(AA22), COUNTIFS(Transactions!$D$3:$D1026, AA22) = 0), "",
    SUMIFS(Transactions!$M$3:$M1026, Transactions!$H$3:$H1026, "Sell", Transactions!$D$3:$D1026, AA22) +
    SUMIFS(Transactions!$M$3:$M1026, Transactions!$H$3:$H1026, "Dividend", Transactions!$D$3:$D1026, AA22) -
    SUMIFS(Transactions!$M$3:$M1026, Transactions!$H$3:$H1026, "Buy", Transactions!$D$3:$D1026, AA22) -
    SUMIFS(Transactions!$M$3:$M1026, Transactions!$H$3:$H1026, "Crypto Deposit", Transactions!$D$3:$D1026, AA22) -
    SUMIFS(Transactions!$M$3:$M1026, Transactions!$H$3:$H1026, "DRIP", Transactions!$D$3:$D1026, AA22) +
    SUMIFS($AH$3:$AH1018, $AA$3:$AA1018, AA22) +
    SUMIFS(Transactions!$M$3:$M1026, Transactions!$L$3:$L1026, "Stablecoin", Transactions!$B$3:$B1026, AA22)
)</f>
        <v>0</v>
      </c>
      <c r="AM22" s="120">
        <f t="shared" si="17"/>
        <v>80.56</v>
      </c>
      <c r="AN22" s="145"/>
      <c r="AO22" s="145"/>
      <c r="AP22" s="41">
        <f t="shared" si="1"/>
        <v>2.3445234690222757E-3</v>
      </c>
      <c r="AR22" s="41">
        <f t="shared" si="18"/>
        <v>2.3445234690222757E-3</v>
      </c>
      <c r="AS22" s="1" t="str">
        <f>_xlfn.XLOOKUP(AA22,Transactions!$D$3:$D$1007,Transactions!$F$3:$F$1007)</f>
        <v>Crypto</v>
      </c>
      <c r="AT22" s="41">
        <f t="shared" si="19"/>
        <v>0.81515627319794193</v>
      </c>
      <c r="AU22" s="41">
        <f t="shared" si="20"/>
        <v>0</v>
      </c>
      <c r="AV22" s="41">
        <f t="shared" si="21"/>
        <v>0.81515627319794193</v>
      </c>
      <c r="AW22" s="18" t="s">
        <v>476</v>
      </c>
    </row>
    <row r="23" spans="1:49" ht="18" customHeight="1">
      <c r="A23" s="17" t="str">
        <f t="shared" si="2"/>
        <v>Fantom</v>
      </c>
      <c r="B23" s="1" t="str">
        <f t="shared" si="3"/>
        <v>FTM</v>
      </c>
      <c r="C23" s="118">
        <f t="shared" si="4"/>
        <v>95.65</v>
      </c>
      <c r="D23" s="2" cm="1">
        <f t="array" ref="D23">IF($A23="", "",
    IFERROR(
        _xlfn.SWITCH(
            TRUE,
            AND(Y23="USD", Transactions!$Q$2="USD"), AC23,
            AND(Y23="USD", Transactions!$Q$2="GBP"), AC23*Transactions!$Z$3,
            AND(Y23="USD", Transactions!$Q$2="HKD"), AC23*Transactions!$Z$4,
            AND(Y23="USD", Transactions!$Q$2="EUR"), AC23*Transactions!$Z$5,
            AND(Y23="GBP", Transactions!$Q$2="GBP"), AC23,
            AND(Y23="GBP", Transactions!$Q$2="USD"), AC23*Transactions!$Z$6,
            AND(Y23="GBP", Transactions!$Q$2="HKD"), AC23*Transactions!$Z$7,
            AND(Y23="HKG", Transactions!$Q$2="HKG"), AC23,
            AND(Y23="HKD", Transactions!$Q$2="USD"), AC23*Transactions!$Z$9,
            AND(Y23="HKD", Transactions!$Q$2="GBP"), AC23*Transactions!$Z$10,
            AND(Y23="HKD", Transactions!$Q$2="EUR"), AC23*Transactions!$Z$11,
            AND(Y23="EUR", Transactions!$Q$2="EUR"), AC23,
            AND(Y23="EUR", Transactions!$Q$2="USD"), AC23*Transactions!$Z$12,
            AND(Y23="EUR", Transactions!$Q$2="GBP"), AC23*Transactions!$Z$13,
            AND(Y23="EUR", Transactions!$Q$2="HKD"), AC23*Transactions!$Z$14,
        ),
        0
    )
)</f>
        <v>1.798</v>
      </c>
      <c r="E23" s="2" cm="1">
        <f t="array" ref="E23">IF($A23="", "",
    IFERROR(
        _xlfn.SWITCH(
            TRUE,
            AND(Y23="USD", Transactions!$Q$2="USD"), AD23,
            AND(Y23="USD", Transactions!$Q$2="GBP"), AD23*Transactions!$Z$3,
            AND(Y23="USD", Transactions!$Q$2="HKD"), AD23*Transactions!$Z$4,
            AND(Y23="USD", Transactions!$Q$2="EUR"), AD23*Transactions!$Z$5,
            AND(Y23="GBP", Transactions!$Q$2="GBP"), AD23,
            AND(Y23="GBP", Transactions!$Q$2="USD"), AD23*Transactions!$Z$6,
            AND(Y23="GBP", Transactions!$Q$2="HKD"), AD23*Transactions!$Z$7,
            AND(Y23="HKG", Transactions!$Q$2="HKG"), AD23,
            AND(Y23="HKD", Transactions!$Q$2="USD"), AD23*Transactions!$Z$9,
            AND(Y23="HKD", Transactions!$Q$2="GBP"), AD23*Transactions!$Z$10,
            AND(Y23="HKD", Transactions!$Q$2="EUR"), AD23*Transactions!$Z$11,
            AND(Y23="EUR", Transactions!$Q$2="EUR"), AD23,
            AND(Y23="EUR", Transactions!$Q$2="USD"), AD23*Transactions!$Z$12,
            AND(Y23="EUR", Transactions!$Q$2="GBP"), AD23*Transactions!$Z$13,
            AND(Y23="EUR", Transactions!$Q$2="HKD"), AD23*Transactions!$Z$14,
        ),
        0
    )
)</f>
        <v>1.1299999999999999</v>
      </c>
      <c r="G23" s="121">
        <f t="shared" si="22"/>
        <v>5.2011099999999998E-2</v>
      </c>
      <c r="H23" s="34" cm="1">
        <f t="array" ref="H23">IF($A23="", "",
    IFERROR(
        _xlfn.SWITCH(
            TRUE,
            AND(Y23="USD", Transactions!$Q$2="USD"), AG23,
            AND(Y23="USD", Transactions!$Q$2="GBP"), AG23*Transactions!$Z$3,
            AND(Y23="USD", Transactions!$Q$2="HKD"), AG23*Transactions!$Z$4,
            AND(Y23="USD", Transactions!$Q$2="EUR"), AG23*Transactions!$Z$5,
            AND(Y23="GBP", Transactions!$Q$2="GBP"), AG23,
            AND(Y23="GBP", Transactions!$Q$2="USD"), AG23*Transactions!$Z$6,
            AND(Y23="GBP", Transactions!$Q$2="HKD"), AG23*Transactions!$Z$7,
            AND(Y23="HKG", Transactions!$Q$2="HKG"), AG23,
            AND(Y23="HKD", Transactions!$Q$2="USD"), AG23*Transactions!$Z$9,
            AND(Y23="HKD", Transactions!$Q$2="GBP"), AG23*Transactions!$Z$10,
            AND(Y23="HKD", Transactions!$Q$2="EUR"), AG23*Transactions!$Z$11,
            AND(Y23="EUR", Transactions!$Q$2="EUR"), AG23,
            AND(Y23="EUR", Transactions!$Q$2="USD"), AG23*Transactions!$Z$12,
            AND(Y23="EUR", Transactions!$Q$2="GBP"), AG23*Transactions!$Z$13,
            AND(Y23="EUR", Transactions!$Q$2="HKD"), AG23*Transactions!$Z$14,
        ),
        0
    )
)</f>
        <v>5.6000000000000001E-2</v>
      </c>
      <c r="I23" s="2" cm="1">
        <f t="array" ref="I23">IF($A23="", "",
    IFERROR(
        _xlfn.SWITCH(
            TRUE,
            AND(Y23="USD", Transactions!$Q$2="USD"), AH23,
            AND(Y23="USD", Transactions!$Q$2="GBP"), AH23*Transactions!$Z$3,
            AND(Y23="USD", Transactions!$Q$2="HKD"), AH23*Transactions!$Z$4,
            AND(Y23="USD", Transactions!$Q$2="EUR"), AH23*Transactions!$Z$5,
            AND(Y23="GBP", Transactions!$Q$2="GBP"), AH23,
            AND(Y23="GBP", Transactions!$Q$2="USD"), AH23*Transactions!$Z$6,
            AND(Y23="GBP", Transactions!$Q$2="HKD"), AH23*Transactions!$Z$7,
            AND(Y23="HKG", Transactions!$Q$2="HKG"), AH23,
            AND(Y23="HKD", Transactions!$Q$2="USD"), AH23*Transactions!$Z$9,
            AND(Y23="HKD", Transactions!$Q$2="GBP"), AH23*Transactions!$Z$10,
            AND(Y23="HKD", Transactions!$Q$2="EUR"), AH23*Transactions!$Z$11,
            AND(Y23="EUR", Transactions!$Q$2="EUR"), AH23,
            AND(Y23="EUR", Transactions!$Q$2="USD"), AH23*Transactions!$Z$12,
            AND(Y23="EUR", Transactions!$Q$2="GBP"), AH23*Transactions!$Z$13,
            AND(Y23="EUR", Transactions!$Q$2="HKD"), AH23*Transactions!$Z$14,
        ),
        0
    )
)</f>
        <v>171.9787</v>
      </c>
      <c r="J23" s="2" cm="1">
        <f t="array" ref="J23">IF($A23="", "",
    IFERROR(
        _xlfn.SWITCH(
            TRUE,
            AND(Y23="USD", Transactions!$Q$2="USD"), AI23,
            AND(Y23="USD", Transactions!$Q$2="GBP"), AI23*Transactions!$Z$3,
            AND(Y23="USD", Transactions!$Q$2="HKD"), AI23*Transactions!$Z$4,
            AND(Y23="USD", Transactions!$Q$2="EUR"), AI23*Transactions!$Z$5,
            AND(Y23="GBP", Transactions!$Q$2="GBP"), AI23,
            AND(Y23="GBP", Transactions!$Q$2="USD"), AI23*Transactions!$Z$6,
            AND(Y23="GBP", Transactions!$Q$2="HKD"), AI23*Transactions!$Z$7,
            AND(Y23="HKG", Transactions!$Q$2="HKG"), AI23,
            AND(Y23="HKD", Transactions!$Q$2="USD"), AI23*Transactions!$Z$9,
            AND(Y23="HKD", Transactions!$Q$2="GBP"), AI23*Transactions!$Z$10,
            AND(Y23="HKD", Transactions!$Q$2="EUR"), AI23*Transactions!$Z$11,
            AND(Y23="EUR", Transactions!$Q$2="EUR"), AI23,
            AND(Y23="EUR", Transactions!$Q$2="USD"), AI23*Transactions!$Z$12,
            AND(Y23="EUR", Transactions!$Q$2="GBP"), AI23*Transactions!$Z$13,
            AND(Y23="EUR", Transactions!$Q$2="HKD"), AI23*Transactions!$Z$14,
        ),
        0
    )
)</f>
        <v>108.08449999999999</v>
      </c>
      <c r="K23" s="41">
        <f t="shared" si="23"/>
        <v>-0.37152391546162411</v>
      </c>
      <c r="L23" s="2" cm="1">
        <f t="array" ref="L23">IF($A23="", "",
    IFERROR(
        _xlfn.SWITCH(
            TRUE,
            AND(Y23="USD", Transactions!$Q$2="USD"), AK23,
            AND(Y23="USD", Transactions!$Q$2="GBP"), AK23*Transactions!$Z$3,
            AND(Y23="USD", Transactions!$Q$2="HKD"), AK23*Transactions!$Z$4,
            AND(Y23="USD", Transactions!$Q$2="EUR"), AK23*Transactions!$Z$5,
            AND(Y23="GBP", Transactions!$Q$2="GBP"), AK23,
            AND(Y23="GBP", Transactions!$Q$2="USD"), AK23*Transactions!$Z$6,
            AND(Y23="GBP", Transactions!$Q$2="HKD"), AK23*Transactions!$Z$7,
            AND(Y23="HKG", Transactions!$Q$2="HKG"), AK23,
            AND(Y23="HKD", Transactions!$Q$2="USD"), AK23*Transactions!$Z$9,
            AND(Y23="HKD", Transactions!$Q$2="GBP"), AK23*Transactions!$Z$10,
            AND(Y23="HKD", Transactions!$Q$2="EUR"), AK23*Transactions!$Z$11,
            AND(Y23="EUR", Transactions!$Q$2="EUR"), AK23,
            AND(Y23="EUR", Transactions!$Q$2="USD"), AK23*Transactions!$Z$12,
            AND(Y23="EUR", Transactions!$Q$2="GBP"), AK23*Transactions!$Z$13,
            AND(Y23="EUR", Transactions!$Q$2="HKD"), AK23*Transactions!$Z$14,
        ),
        0
    )
)</f>
        <v>-63.894200000000012</v>
      </c>
      <c r="M23" s="119" cm="1">
        <f t="array" ref="M23">IF($A23="", "",
    IFERROR(
        _xlfn.SWITCH(
            TRUE,
            AND(Y23="USD", Transactions!$Q$2="USD"), AL23,
            AND(Y23="USD", Transactions!$Q$2="GBP"), AL23*Transactions!$Z$3,
            AND(Y23="USD", Transactions!$Q$2="HKD"), AL23*Transactions!$Z$4,
            AND(Y23="USD", Transactions!$Q$2="EUR"), AL23*Transactions!$Z$5,
            AND(Y23="GBP", Transactions!$Q$2="GBP"), AL23,
            AND(Y23="GBP", Transactions!$Q$2="USD"), AL23*Transactions!$Z$6,
            AND(Y23="GBP", Transactions!$Q$2="HKD"), AL23*Transactions!$Z$7,
            AND(Y23="HKG", Transactions!$Q$2="HKG"), AL23,
            AND(Y23="HKD", Transactions!$Q$2="USD"), AL23*Transactions!$Z$9,
            AND(Y23="HKD", Transactions!$Q$2="GBP"), AL23*Transactions!$Z$10,
            AND(Y23="HKD", Transactions!$Q$2="EUR"), AL23*Transactions!$Z$11,
            AND(Y23="EUR", Transactions!$Q$2="EUR"), AL23,
            AND(Y23="EUR", Transactions!$Q$2="USD"), AL23*Transactions!$Z$12,
            AND(Y23="EUR", Transactions!$Q$2="GBP"), AL23*Transactions!$Z$13,
            AND(Y23="EUR", Transactions!$Q$2="HKD"), AL23*Transactions!$Z$14,
        ),
        0
    )
)</f>
        <v>0</v>
      </c>
      <c r="N23" s="120" cm="1">
        <f t="array" ref="N23">IF($A23="", "",
    IFERROR(
        _xlfn.SWITCH(
            TRUE,
            AND(Y23="USD", Transactions!$Q$2="USD"), AM23,
            AND(Y23="USD", Transactions!$Q$2="GBP"), AM23*Transactions!$Z$3,
            AND(Y23="USD", Transactions!$Q$2="HKD"), AM23*Transactions!$Z$4,
            AND(Y23="USD", Transactions!$Q$2="EUR"), AM23*Transactions!$Z$5,
            AND(Y23="GBP", Transactions!$Q$2="GBP"), AM23,
            AND(Y23="GBP", Transactions!$Q$2="USD"), AM23*Transactions!$Z$6,
            AND(Y23="GBP", Transactions!$Q$2="HKD"), AM23*Transactions!$Z$7,
            AND(Y23="HKG", Transactions!$Q$2="HKG"), AM23,
            AND(Y23="HKD", Transactions!$Q$2="USD"), AM23*Transactions!$Z$9,
            AND(Y23="HKD", Transactions!$Q$2="GBP"), AM23*Transactions!$Z$10,
            AND(Y23="HKD", Transactions!$Q$2="EUR"), AM23*Transactions!$Z$11,
            AND(Y23="EUR", Transactions!$Q$2="EUR"), AM23,
            AND(Y23="EUR", Transactions!$Q$2="USD"), AM23*Transactions!$Z$12,
            AND(Y23="EUR", Transactions!$Q$2="GBP"), AM23*Transactions!$Z$13,
            AND(Y23="EUR", Transactions!$Q$2="HKD"), AM23*Transactions!$Z$14,
        ),
        0
    )
)</f>
        <v>-63.894200000000012</v>
      </c>
      <c r="O23" s="145"/>
      <c r="P23" s="145"/>
      <c r="Q23" s="41">
        <f t="shared" si="24"/>
        <v>6.739538481051546E-4</v>
      </c>
      <c r="S23" s="41">
        <f t="shared" si="25"/>
        <v>6.739538481051546E-4</v>
      </c>
      <c r="T23" s="1" t="str">
        <f t="shared" si="26"/>
        <v>Crypto</v>
      </c>
      <c r="U23" s="41">
        <f t="shared" si="27"/>
        <v>0.81515627319794193</v>
      </c>
      <c r="V23" s="41">
        <f t="shared" si="28"/>
        <v>0</v>
      </c>
      <c r="W23" s="41">
        <f t="shared" si="29"/>
        <v>0.81515627319794193</v>
      </c>
      <c r="X23" s="1" t="str">
        <f t="shared" si="29"/>
        <v>Layer 1</v>
      </c>
      <c r="Y23" s="17" t="str">
        <f>IFERROR(IF(ISBLANK(AA23), "", IF(VLOOKUP(AA23, Transactions!D:F, 3, FALSE) = "Stablecoin", AA23, INDEX(Transactions!$B$3:$B1027, MATCH(AA23, Transactions!$D$3:$D1027, 0)))), "")</f>
        <v>USD</v>
      </c>
      <c r="Z23" s="1" t="str">
        <f>_xlfn.XLOOKUP(AA23,Transactions!$D$3:$D$1007,Transactions!$E$3:$E$1007)</f>
        <v>Fantom</v>
      </c>
      <c r="AA23" s="1" t="str">
        <v>FTM</v>
      </c>
      <c r="AB23" s="118" cm="1">
        <f t="array" ref="AB23">IF(ISBLANK(AA23), "",
    SUMPRODUCT(
        (Transactions!$D$3:$D$1007=AA23) *
        (Transactions!$H$3:$H$1007={"Cash Deposit","Crypto Deposit","Buy","Transfer Deposit","DRIP","Airdrop/Rewards"}) *
        Transactions!$I$3:$I$1007
    )
    - SUMPRODUCT(
        (Transactions!$D$3:$D$1007=AA23) *
        (Transactions!$H$3:$H$1007={"Sell","Transfer Send","Cash Withdrawal","Crypto Withdrawal"}) *
        Transactions!$I$3:$I$1007
    )
)</f>
        <v>95.65</v>
      </c>
      <c r="AC23" s="2" cm="1">
        <f t="array" ref="AC23">IF(ISBLANK(AA23), "", LOOKUP(2, 1/(Transactions!D:D=AA23), Transactions!P:P))</f>
        <v>1.798</v>
      </c>
      <c r="AD23" s="2" cm="1">
        <f t="array" ref="AD23">IF(ISBLANK(AA23),"",IFERROR(_FV(AA23,"price"),INDEX('CoinGeko API'!E:E,MATCH(Portfolio_v2!AA23,'CoinGeko API'!C:C,0))))</f>
        <v>1.1299999999999999</v>
      </c>
      <c r="AF23" s="39" cm="1">
        <f t="array" ref="AF23">IF(ISBLANK(AA23),"",IFERROR(_FV(AA23,"Change (%)",TRUE),INDEX('CoinGeko API'!G:G,MATCH(Portfolio_v2!AA23,'CoinGeko API'!C:C,0))))</f>
        <v>5.2011099999999998E-2</v>
      </c>
      <c r="AG23" s="34" cm="1">
        <f t="array" ref="AG23">IF(ISBLANK(AA23),"",IFERROR(_FV(AA23,"change"),INDEX('CoinGeko API'!F:F,MATCH(Portfolio_v2!AA23,'CoinGeko API'!C:C,0))))</f>
        <v>5.6000000000000001E-2</v>
      </c>
      <c r="AH23" s="2">
        <f t="shared" si="13"/>
        <v>171.9787</v>
      </c>
      <c r="AI23" s="2">
        <f t="shared" si="14"/>
        <v>108.08449999999999</v>
      </c>
      <c r="AJ23" s="40">
        <f t="shared" si="15"/>
        <v>-0.37152391546162411</v>
      </c>
      <c r="AK23" s="2">
        <f t="shared" si="16"/>
        <v>-63.894200000000012</v>
      </c>
      <c r="AL23" s="119">
        <f>IF(OR(ISBLANK(AA23), COUNTIFS(Transactions!$D$3:$D1027, AA23) = 0), "",
    SUMIFS(Transactions!$M$3:$M1027, Transactions!$H$3:$H1027, "Sell", Transactions!$D$3:$D1027, AA23) +
    SUMIFS(Transactions!$M$3:$M1027, Transactions!$H$3:$H1027, "Dividend", Transactions!$D$3:$D1027, AA23) -
    SUMIFS(Transactions!$M$3:$M1027, Transactions!$H$3:$H1027, "Buy", Transactions!$D$3:$D1027, AA23) -
    SUMIFS(Transactions!$M$3:$M1027, Transactions!$H$3:$H1027, "Crypto Deposit", Transactions!$D$3:$D1027, AA23) -
    SUMIFS(Transactions!$M$3:$M1027, Transactions!$H$3:$H1027, "DRIP", Transactions!$D$3:$D1027, AA23) +
    SUMIFS($AH$3:$AH1019, $AA$3:$AA1019, AA23) +
    SUMIFS(Transactions!$M$3:$M1027, Transactions!$L$3:$L1027, "Stablecoin", Transactions!$B$3:$B1027, AA23)
)</f>
        <v>0</v>
      </c>
      <c r="AM23" s="120">
        <f t="shared" si="17"/>
        <v>-63.894200000000012</v>
      </c>
      <c r="AN23" s="145"/>
      <c r="AO23" s="145"/>
      <c r="AP23" s="41">
        <f t="shared" si="1"/>
        <v>6.739538481051546E-4</v>
      </c>
      <c r="AR23" s="41">
        <f t="shared" si="18"/>
        <v>6.739538481051546E-4</v>
      </c>
      <c r="AS23" s="1" t="str">
        <f>_xlfn.XLOOKUP(AA23,Transactions!$D$3:$D$1007,Transactions!$F$3:$F$1007)</f>
        <v>Crypto</v>
      </c>
      <c r="AT23" s="41">
        <f t="shared" si="19"/>
        <v>0.81515627319794193</v>
      </c>
      <c r="AU23" s="41">
        <f t="shared" si="20"/>
        <v>0</v>
      </c>
      <c r="AV23" s="41">
        <f t="shared" si="21"/>
        <v>0.81515627319794193</v>
      </c>
      <c r="AW23" s="18" t="s">
        <v>16</v>
      </c>
    </row>
    <row r="24" spans="1:49" ht="18" customHeight="1">
      <c r="A24" s="17" t="str">
        <f t="shared" si="2"/>
        <v>GALA</v>
      </c>
      <c r="B24" s="1" t="str">
        <f t="shared" si="3"/>
        <v>GALA</v>
      </c>
      <c r="C24" s="118">
        <f t="shared" si="4"/>
        <v>1811</v>
      </c>
      <c r="D24" s="2" cm="1">
        <f t="array" ref="D24">IF($A24="", "",
    IFERROR(
        _xlfn.SWITCH(
            TRUE,
            AND(Y24="USD", Transactions!$Q$2="USD"), AC24,
            AND(Y24="USD", Transactions!$Q$2="GBP"), AC24*Transactions!$Z$3,
            AND(Y24="USD", Transactions!$Q$2="HKD"), AC24*Transactions!$Z$4,
            AND(Y24="USD", Transactions!$Q$2="EUR"), AC24*Transactions!$Z$5,
            AND(Y24="GBP", Transactions!$Q$2="GBP"), AC24,
            AND(Y24="GBP", Transactions!$Q$2="USD"), AC24*Transactions!$Z$6,
            AND(Y24="GBP", Transactions!$Q$2="HKD"), AC24*Transactions!$Z$7,
            AND(Y24="HKG", Transactions!$Q$2="HKG"), AC24,
            AND(Y24="HKD", Transactions!$Q$2="USD"), AC24*Transactions!$Z$9,
            AND(Y24="HKD", Transactions!$Q$2="GBP"), AC24*Transactions!$Z$10,
            AND(Y24="HKD", Transactions!$Q$2="EUR"), AC24*Transactions!$Z$11,
            AND(Y24="EUR", Transactions!$Q$2="EUR"), AC24,
            AND(Y24="EUR", Transactions!$Q$2="USD"), AC24*Transactions!$Z$12,
            AND(Y24="EUR", Transactions!$Q$2="GBP"), AC24*Transactions!$Z$13,
            AND(Y24="EUR", Transactions!$Q$2="HKD"), AC24*Transactions!$Z$14,
        ),
        0
    )
)</f>
        <v>7.1421890000000002E-2</v>
      </c>
      <c r="E24" s="2" cm="1">
        <f t="array" ref="E24">IF($A24="", "",
    IFERROR(
        _xlfn.SWITCH(
            TRUE,
            AND(Y24="USD", Transactions!$Q$2="USD"), AD24,
            AND(Y24="USD", Transactions!$Q$2="GBP"), AD24*Transactions!$Z$3,
            AND(Y24="USD", Transactions!$Q$2="HKD"), AD24*Transactions!$Z$4,
            AND(Y24="USD", Transactions!$Q$2="EUR"), AD24*Transactions!$Z$5,
            AND(Y24="GBP", Transactions!$Q$2="GBP"), AD24,
            AND(Y24="GBP", Transactions!$Q$2="USD"), AD24*Transactions!$Z$6,
            AND(Y24="GBP", Transactions!$Q$2="HKD"), AD24*Transactions!$Z$7,
            AND(Y24="HKG", Transactions!$Q$2="HKG"), AD24,
            AND(Y24="HKD", Transactions!$Q$2="USD"), AD24*Transactions!$Z$9,
            AND(Y24="HKD", Transactions!$Q$2="GBP"), AD24*Transactions!$Z$10,
            AND(Y24="HKD", Transactions!$Q$2="EUR"), AD24*Transactions!$Z$11,
            AND(Y24="EUR", Transactions!$Q$2="EUR"), AD24,
            AND(Y24="EUR", Transactions!$Q$2="USD"), AD24*Transactions!$Z$12,
            AND(Y24="EUR", Transactions!$Q$2="GBP"), AD24*Transactions!$Z$13,
            AND(Y24="EUR", Transactions!$Q$2="HKD"), AD24*Transactions!$Z$14,
        ),
        0
    )
)</f>
        <v>7.0740999999999998E-2</v>
      </c>
      <c r="G24" s="121">
        <f t="shared" si="22"/>
        <v>3.7868400000000003E-2</v>
      </c>
      <c r="H24" s="34" cm="1">
        <f t="array" ref="H24">IF($A24="", "",
    IFERROR(
        _xlfn.SWITCH(
            TRUE,
            AND(Y24="USD", Transactions!$Q$2="USD"), AG24,
            AND(Y24="USD", Transactions!$Q$2="GBP"), AG24*Transactions!$Z$3,
            AND(Y24="USD", Transactions!$Q$2="HKD"), AG24*Transactions!$Z$4,
            AND(Y24="USD", Transactions!$Q$2="EUR"), AG24*Transactions!$Z$5,
            AND(Y24="GBP", Transactions!$Q$2="GBP"), AG24,
            AND(Y24="GBP", Transactions!$Q$2="USD"), AG24*Transactions!$Z$6,
            AND(Y24="GBP", Transactions!$Q$2="HKD"), AG24*Transactions!$Z$7,
            AND(Y24="HKG", Transactions!$Q$2="HKG"), AG24,
            AND(Y24="HKD", Transactions!$Q$2="USD"), AG24*Transactions!$Z$9,
            AND(Y24="HKD", Transactions!$Q$2="GBP"), AG24*Transactions!$Z$10,
            AND(Y24="HKD", Transactions!$Q$2="EUR"), AG24*Transactions!$Z$11,
            AND(Y24="EUR", Transactions!$Q$2="EUR"), AG24,
            AND(Y24="EUR", Transactions!$Q$2="USD"), AG24*Transactions!$Z$12,
            AND(Y24="EUR", Transactions!$Q$2="GBP"), AG24*Transactions!$Z$13,
            AND(Y24="EUR", Transactions!$Q$2="HKD"), AG24*Transactions!$Z$14,
        ),
        0
    )
)</f>
        <v>2.5810999999999998E-3</v>
      </c>
      <c r="I24" s="2" cm="1">
        <f t="array" ref="I24">IF($A24="", "",
    IFERROR(
        _xlfn.SWITCH(
            TRUE,
            AND(Y24="USD", Transactions!$Q$2="USD"), AH24,
            AND(Y24="USD", Transactions!$Q$2="GBP"), AH24*Transactions!$Z$3,
            AND(Y24="USD", Transactions!$Q$2="HKD"), AH24*Transactions!$Z$4,
            AND(Y24="USD", Transactions!$Q$2="EUR"), AH24*Transactions!$Z$5,
            AND(Y24="GBP", Transactions!$Q$2="GBP"), AH24,
            AND(Y24="GBP", Transactions!$Q$2="USD"), AH24*Transactions!$Z$6,
            AND(Y24="GBP", Transactions!$Q$2="HKD"), AH24*Transactions!$Z$7,
            AND(Y24="HKG", Transactions!$Q$2="HKG"), AH24,
            AND(Y24="HKD", Transactions!$Q$2="USD"), AH24*Transactions!$Z$9,
            AND(Y24="HKD", Transactions!$Q$2="GBP"), AH24*Transactions!$Z$10,
            AND(Y24="HKD", Transactions!$Q$2="EUR"), AH24*Transactions!$Z$11,
            AND(Y24="EUR", Transactions!$Q$2="EUR"), AH24,
            AND(Y24="EUR", Transactions!$Q$2="USD"), AH24*Transactions!$Z$12,
            AND(Y24="EUR", Transactions!$Q$2="GBP"), AH24*Transactions!$Z$13,
            AND(Y24="EUR", Transactions!$Q$2="HKD"), AH24*Transactions!$Z$14,
        ),
        0
    )
)</f>
        <v>129.34504279000001</v>
      </c>
      <c r="J24" s="2" cm="1">
        <f t="array" ref="J24">IF($A24="", "",
    IFERROR(
        _xlfn.SWITCH(
            TRUE,
            AND(Y24="USD", Transactions!$Q$2="USD"), AI24,
            AND(Y24="USD", Transactions!$Q$2="GBP"), AI24*Transactions!$Z$3,
            AND(Y24="USD", Transactions!$Q$2="HKD"), AI24*Transactions!$Z$4,
            AND(Y24="USD", Transactions!$Q$2="EUR"), AI24*Transactions!$Z$5,
            AND(Y24="GBP", Transactions!$Q$2="GBP"), AI24,
            AND(Y24="GBP", Transactions!$Q$2="USD"), AI24*Transactions!$Z$6,
            AND(Y24="GBP", Transactions!$Q$2="HKD"), AI24*Transactions!$Z$7,
            AND(Y24="HKG", Transactions!$Q$2="HKG"), AI24,
            AND(Y24="HKD", Transactions!$Q$2="USD"), AI24*Transactions!$Z$9,
            AND(Y24="HKD", Transactions!$Q$2="GBP"), AI24*Transactions!$Z$10,
            AND(Y24="HKD", Transactions!$Q$2="EUR"), AI24*Transactions!$Z$11,
            AND(Y24="EUR", Transactions!$Q$2="EUR"), AI24,
            AND(Y24="EUR", Transactions!$Q$2="USD"), AI24*Transactions!$Z$12,
            AND(Y24="EUR", Transactions!$Q$2="GBP"), AI24*Transactions!$Z$13,
            AND(Y24="EUR", Transactions!$Q$2="HKD"), AI24*Transactions!$Z$14,
        ),
        0
    )
)</f>
        <v>128.111951</v>
      </c>
      <c r="K24" s="41">
        <f t="shared" si="23"/>
        <v>-9.5333517497226926E-3</v>
      </c>
      <c r="L24" s="2" cm="1">
        <f t="array" ref="L24">IF($A24="", "",
    IFERROR(
        _xlfn.SWITCH(
            TRUE,
            AND(Y24="USD", Transactions!$Q$2="USD"), AK24,
            AND(Y24="USD", Transactions!$Q$2="GBP"), AK24*Transactions!$Z$3,
            AND(Y24="USD", Transactions!$Q$2="HKD"), AK24*Transactions!$Z$4,
            AND(Y24="USD", Transactions!$Q$2="EUR"), AK24*Transactions!$Z$5,
            AND(Y24="GBP", Transactions!$Q$2="GBP"), AK24,
            AND(Y24="GBP", Transactions!$Q$2="USD"), AK24*Transactions!$Z$6,
            AND(Y24="GBP", Transactions!$Q$2="HKD"), AK24*Transactions!$Z$7,
            AND(Y24="HKG", Transactions!$Q$2="HKG"), AK24,
            AND(Y24="HKD", Transactions!$Q$2="USD"), AK24*Transactions!$Z$9,
            AND(Y24="HKD", Transactions!$Q$2="GBP"), AK24*Transactions!$Z$10,
            AND(Y24="HKD", Transactions!$Q$2="EUR"), AK24*Transactions!$Z$11,
            AND(Y24="EUR", Transactions!$Q$2="EUR"), AK24,
            AND(Y24="EUR", Transactions!$Q$2="USD"), AK24*Transactions!$Z$12,
            AND(Y24="EUR", Transactions!$Q$2="GBP"), AK24*Transactions!$Z$13,
            AND(Y24="EUR", Transactions!$Q$2="HKD"), AK24*Transactions!$Z$14,
        ),
        0
    )
)</f>
        <v>-1.2330917900000031</v>
      </c>
      <c r="M24" s="119" cm="1">
        <f t="array" ref="M24">IF($A24="", "",
    IFERROR(
        _xlfn.SWITCH(
            TRUE,
            AND(Y24="USD", Transactions!$Q$2="USD"), AL24,
            AND(Y24="USD", Transactions!$Q$2="GBP"), AL24*Transactions!$Z$3,
            AND(Y24="USD", Transactions!$Q$2="HKD"), AL24*Transactions!$Z$4,
            AND(Y24="USD", Transactions!$Q$2="EUR"), AL24*Transactions!$Z$5,
            AND(Y24="GBP", Transactions!$Q$2="GBP"), AL24,
            AND(Y24="GBP", Transactions!$Q$2="USD"), AL24*Transactions!$Z$6,
            AND(Y24="GBP", Transactions!$Q$2="HKD"), AL24*Transactions!$Z$7,
            AND(Y24="HKG", Transactions!$Q$2="HKG"), AL24,
            AND(Y24="HKD", Transactions!$Q$2="USD"), AL24*Transactions!$Z$9,
            AND(Y24="HKD", Transactions!$Q$2="GBP"), AL24*Transactions!$Z$10,
            AND(Y24="HKD", Transactions!$Q$2="EUR"), AL24*Transactions!$Z$11,
            AND(Y24="EUR", Transactions!$Q$2="EUR"), AL24,
            AND(Y24="EUR", Transactions!$Q$2="USD"), AL24*Transactions!$Z$12,
            AND(Y24="EUR", Transactions!$Q$2="GBP"), AL24*Transactions!$Z$13,
            AND(Y24="EUR", Transactions!$Q$2="HKD"), AL24*Transactions!$Z$14,
        ),
        0
    )
)</f>
        <v>0</v>
      </c>
      <c r="N24" s="120" cm="1">
        <f t="array" ref="N24">IF($A24="", "",
    IFERROR(
        _xlfn.SWITCH(
            TRUE,
            AND(Y24="USD", Transactions!$Q$2="USD"), AM24,
            AND(Y24="USD", Transactions!$Q$2="GBP"), AM24*Transactions!$Z$3,
            AND(Y24="USD", Transactions!$Q$2="HKD"), AM24*Transactions!$Z$4,
            AND(Y24="USD", Transactions!$Q$2="EUR"), AM24*Transactions!$Z$5,
            AND(Y24="GBP", Transactions!$Q$2="GBP"), AM24,
            AND(Y24="GBP", Transactions!$Q$2="USD"), AM24*Transactions!$Z$6,
            AND(Y24="GBP", Transactions!$Q$2="HKD"), AM24*Transactions!$Z$7,
            AND(Y24="HKG", Transactions!$Q$2="HKG"), AM24,
            AND(Y24="HKD", Transactions!$Q$2="USD"), AM24*Transactions!$Z$9,
            AND(Y24="HKD", Transactions!$Q$2="GBP"), AM24*Transactions!$Z$10,
            AND(Y24="HKD", Transactions!$Q$2="EUR"), AM24*Transactions!$Z$11,
            AND(Y24="EUR", Transactions!$Q$2="EUR"), AM24,
            AND(Y24="EUR", Transactions!$Q$2="USD"), AM24*Transactions!$Z$12,
            AND(Y24="EUR", Transactions!$Q$2="GBP"), AM24*Transactions!$Z$13,
            AND(Y24="EUR", Transactions!$Q$2="HKD"), AM24*Transactions!$Z$14,
        ),
        0
    )
)</f>
        <v>-1.2330917900000031</v>
      </c>
      <c r="O24" s="145"/>
      <c r="P24" s="145"/>
      <c r="Q24" s="41">
        <f t="shared" si="24"/>
        <v>7.9883371218545697E-4</v>
      </c>
      <c r="S24" s="41">
        <f t="shared" si="25"/>
        <v>7.9883371218545697E-4</v>
      </c>
      <c r="T24" s="1" t="str">
        <f t="shared" si="26"/>
        <v>Crypto</v>
      </c>
      <c r="U24" s="41">
        <f t="shared" si="27"/>
        <v>0.81515627319794193</v>
      </c>
      <c r="V24" s="41">
        <f t="shared" si="28"/>
        <v>0</v>
      </c>
      <c r="W24" s="41">
        <f t="shared" si="29"/>
        <v>0.81515627319794193</v>
      </c>
      <c r="X24" s="1" t="str">
        <f t="shared" si="29"/>
        <v>Gamefi</v>
      </c>
      <c r="Y24" s="17" t="str">
        <f>IFERROR(IF(ISBLANK(AA24), "", IF(VLOOKUP(AA24, Transactions!D:F, 3, FALSE) = "Stablecoin", AA24, INDEX(Transactions!$B$3:$B1028, MATCH(AA24, Transactions!$D$3:$D1028, 0)))), "")</f>
        <v>USD</v>
      </c>
      <c r="Z24" s="1" t="str">
        <f>_xlfn.XLOOKUP(AA24,Transactions!$D$3:$D$1007,Transactions!$E$3:$E$1007)</f>
        <v>GALA</v>
      </c>
      <c r="AA24" s="1" t="str">
        <v>GALA</v>
      </c>
      <c r="AB24" s="118" cm="1">
        <f t="array" ref="AB24">IF(ISBLANK(AA24), "",
    SUMPRODUCT(
        (Transactions!$D$3:$D$1007=AA24) *
        (Transactions!$H$3:$H$1007={"Cash Deposit","Crypto Deposit","Buy","Transfer Deposit","DRIP","Airdrop/Rewards"}) *
        Transactions!$I$3:$I$1007
    )
    - SUMPRODUCT(
        (Transactions!$D$3:$D$1007=AA24) *
        (Transactions!$H$3:$H$1007={"Sell","Transfer Send","Cash Withdrawal","Crypto Withdrawal"}) *
        Transactions!$I$3:$I$1007
    )
)</f>
        <v>1811</v>
      </c>
      <c r="AC24" s="2" cm="1">
        <f t="array" ref="AC24">IF(ISBLANK(AA24), "", LOOKUP(2, 1/(Transactions!D:D=AA24), Transactions!P:P))</f>
        <v>7.1421890000000002E-2</v>
      </c>
      <c r="AD24" s="2" cm="1">
        <f t="array" ref="AD24">IF(ISBLANK(AA24),"",IFERROR(_FV(AA24,"price"),INDEX('CoinGeko API'!E:E,MATCH(Portfolio_v2!AA24,'CoinGeko API'!C:C,0))))</f>
        <v>7.0740999999999998E-2</v>
      </c>
      <c r="AF24" s="39" cm="1">
        <f t="array" ref="AF24">IF(ISBLANK(AA24),"",IFERROR(_FV(AA24,"Change (%)",TRUE),INDEX('CoinGeko API'!G:G,MATCH(Portfolio_v2!AA24,'CoinGeko API'!C:C,0))))</f>
        <v>3.7868400000000003E-2</v>
      </c>
      <c r="AG24" s="34" cm="1">
        <f t="array" ref="AG24">IF(ISBLANK(AA24),"",IFERROR(_FV(AA24,"change"),INDEX('CoinGeko API'!F:F,MATCH(Portfolio_v2!AA24,'CoinGeko API'!C:C,0))))</f>
        <v>2.5810999999999998E-3</v>
      </c>
      <c r="AH24" s="2">
        <f t="shared" si="13"/>
        <v>129.34504279000001</v>
      </c>
      <c r="AI24" s="2">
        <f t="shared" si="14"/>
        <v>128.111951</v>
      </c>
      <c r="AJ24" s="40">
        <f t="shared" si="15"/>
        <v>-9.5333517497226926E-3</v>
      </c>
      <c r="AK24" s="2">
        <f t="shared" si="16"/>
        <v>-1.2330917900000031</v>
      </c>
      <c r="AL24" s="119">
        <f>IF(OR(ISBLANK(AA24), COUNTIFS(Transactions!$D$3:$D1028, AA24) = 0), "",
    SUMIFS(Transactions!$M$3:$M1028, Transactions!$H$3:$H1028, "Sell", Transactions!$D$3:$D1028, AA24) +
    SUMIFS(Transactions!$M$3:$M1028, Transactions!$H$3:$H1028, "Dividend", Transactions!$D$3:$D1028, AA24) -
    SUMIFS(Transactions!$M$3:$M1028, Transactions!$H$3:$H1028, "Buy", Transactions!$D$3:$D1028, AA24) -
    SUMIFS(Transactions!$M$3:$M1028, Transactions!$H$3:$H1028, "Crypto Deposit", Transactions!$D$3:$D1028, AA24) -
    SUMIFS(Transactions!$M$3:$M1028, Transactions!$H$3:$H1028, "DRIP", Transactions!$D$3:$D1028, AA24) +
    SUMIFS($AH$3:$AH1020, $AA$3:$AA1020, AA24) +
    SUMIFS(Transactions!$M$3:$M1028, Transactions!$L$3:$L1028, "Stablecoin", Transactions!$B$3:$B1028, AA24)
)</f>
        <v>0</v>
      </c>
      <c r="AM24" s="120">
        <f t="shared" si="17"/>
        <v>-1.2330917900000031</v>
      </c>
      <c r="AN24" s="145"/>
      <c r="AO24" s="145"/>
      <c r="AP24" s="41">
        <f t="shared" si="1"/>
        <v>7.9883371218545697E-4</v>
      </c>
      <c r="AR24" s="41">
        <f t="shared" si="18"/>
        <v>7.9883371218545697E-4</v>
      </c>
      <c r="AS24" s="1" t="str">
        <f>_xlfn.XLOOKUP(AA24,Transactions!$D$3:$D$1007,Transactions!$F$3:$F$1007)</f>
        <v>Crypto</v>
      </c>
      <c r="AT24" s="41">
        <f t="shared" si="19"/>
        <v>0.81515627319794193</v>
      </c>
      <c r="AU24" s="41">
        <f t="shared" si="20"/>
        <v>0</v>
      </c>
      <c r="AV24" s="41">
        <f t="shared" si="21"/>
        <v>0.81515627319794193</v>
      </c>
      <c r="AW24" s="18" t="s">
        <v>20</v>
      </c>
    </row>
    <row r="25" spans="1:49" ht="18" customHeight="1">
      <c r="A25" s="17" t="str">
        <f t="shared" si="2"/>
        <v>Gains Network gDAI</v>
      </c>
      <c r="B25" s="1" t="str">
        <f t="shared" si="3"/>
        <v>gDAI</v>
      </c>
      <c r="C25" s="118">
        <f t="shared" si="4"/>
        <v>746.79</v>
      </c>
      <c r="D25" s="2" cm="1">
        <f t="array" ref="D25">IF($A25="", "",
    IFERROR(
        _xlfn.SWITCH(
            TRUE,
            AND(Y25="USD", Transactions!$Q$2="USD"), AC25,
            AND(Y25="USD", Transactions!$Q$2="GBP"), AC25*Transactions!$Z$3,
            AND(Y25="USD", Transactions!$Q$2="HKD"), AC25*Transactions!$Z$4,
            AND(Y25="USD", Transactions!$Q$2="EUR"), AC25*Transactions!$Z$5,
            AND(Y25="GBP", Transactions!$Q$2="GBP"), AC25,
            AND(Y25="GBP", Transactions!$Q$2="USD"), AC25*Transactions!$Z$6,
            AND(Y25="GBP", Transactions!$Q$2="HKD"), AC25*Transactions!$Z$7,
            AND(Y25="HKG", Transactions!$Q$2="HKG"), AC25,
            AND(Y25="HKD", Transactions!$Q$2="USD"), AC25*Transactions!$Z$9,
            AND(Y25="HKD", Transactions!$Q$2="GBP"), AC25*Transactions!$Z$10,
            AND(Y25="HKD", Transactions!$Q$2="EUR"), AC25*Transactions!$Z$11,
            AND(Y25="EUR", Transactions!$Q$2="EUR"), AC25,
            AND(Y25="EUR", Transactions!$Q$2="USD"), AC25*Transactions!$Z$12,
            AND(Y25="EUR", Transactions!$Q$2="GBP"), AC25*Transactions!$Z$13,
            AND(Y25="EUR", Transactions!$Q$2="HKD"), AC25*Transactions!$Z$14,
        ),
        0
    )
)</f>
        <v>2.1558899999999999</v>
      </c>
      <c r="E25" s="2" cm="1">
        <f t="array" ref="E25">IF($A25="", "",
    IFERROR(
        _xlfn.SWITCH(
            TRUE,
            AND(Y25="USD", Transactions!$Q$2="USD"), AD25,
            AND(Y25="USD", Transactions!$Q$2="GBP"), AD25*Transactions!$Z$3,
            AND(Y25="USD", Transactions!$Q$2="HKD"), AD25*Transactions!$Z$4,
            AND(Y25="USD", Transactions!$Q$2="EUR"), AD25*Transactions!$Z$5,
            AND(Y25="GBP", Transactions!$Q$2="GBP"), AD25,
            AND(Y25="GBP", Transactions!$Q$2="USD"), AD25*Transactions!$Z$6,
            AND(Y25="GBP", Transactions!$Q$2="HKD"), AD25*Transactions!$Z$7,
            AND(Y25="HKG", Transactions!$Q$2="HKG"), AD25,
            AND(Y25="HKD", Transactions!$Q$2="USD"), AD25*Transactions!$Z$9,
            AND(Y25="HKD", Transactions!$Q$2="GBP"), AD25*Transactions!$Z$10,
            AND(Y25="HKD", Transactions!$Q$2="EUR"), AD25*Transactions!$Z$11,
            AND(Y25="EUR", Transactions!$Q$2="EUR"), AD25,
            AND(Y25="EUR", Transactions!$Q$2="USD"), AD25*Transactions!$Z$12,
            AND(Y25="EUR", Transactions!$Q$2="GBP"), AD25*Transactions!$Z$13,
            AND(Y25="EUR", Transactions!$Q$2="HKD"), AD25*Transactions!$Z$14,
        ),
        0
    )
)</f>
        <v>2.16</v>
      </c>
      <c r="G25" s="121">
        <f t="shared" si="22"/>
        <v>0</v>
      </c>
      <c r="H25" s="34" cm="1">
        <f t="array" ref="H25">IF($A25="", "",
    IFERROR(
        _xlfn.SWITCH(
            TRUE,
            AND(Y25="USD", Transactions!$Q$2="USD"), AG25,
            AND(Y25="USD", Transactions!$Q$2="GBP"), AG25*Transactions!$Z$3,
            AND(Y25="USD", Transactions!$Q$2="HKD"), AG25*Transactions!$Z$4,
            AND(Y25="USD", Transactions!$Q$2="EUR"), AG25*Transactions!$Z$5,
            AND(Y25="GBP", Transactions!$Q$2="GBP"), AG25,
            AND(Y25="GBP", Transactions!$Q$2="USD"), AG25*Transactions!$Z$6,
            AND(Y25="GBP", Transactions!$Q$2="HKD"), AG25*Transactions!$Z$7,
            AND(Y25="HKG", Transactions!$Q$2="HKG"), AG25,
            AND(Y25="HKD", Transactions!$Q$2="USD"), AG25*Transactions!$Z$9,
            AND(Y25="HKD", Transactions!$Q$2="GBP"), AG25*Transactions!$Z$10,
            AND(Y25="HKD", Transactions!$Q$2="EUR"), AG25*Transactions!$Z$11,
            AND(Y25="EUR", Transactions!$Q$2="EUR"), AG25,
            AND(Y25="EUR", Transactions!$Q$2="USD"), AG25*Transactions!$Z$12,
            AND(Y25="EUR", Transactions!$Q$2="GBP"), AG25*Transactions!$Z$13,
            AND(Y25="EUR", Transactions!$Q$2="HKD"), AG25*Transactions!$Z$14,
        ),
        0
    )
)</f>
        <v>0</v>
      </c>
      <c r="I25" s="2" cm="1">
        <f t="array" ref="I25">IF($A25="", "",
    IFERROR(
        _xlfn.SWITCH(
            TRUE,
            AND(Y25="USD", Transactions!$Q$2="USD"), AH25,
            AND(Y25="USD", Transactions!$Q$2="GBP"), AH25*Transactions!$Z$3,
            AND(Y25="USD", Transactions!$Q$2="HKD"), AH25*Transactions!$Z$4,
            AND(Y25="USD", Transactions!$Q$2="EUR"), AH25*Transactions!$Z$5,
            AND(Y25="GBP", Transactions!$Q$2="GBP"), AH25,
            AND(Y25="GBP", Transactions!$Q$2="USD"), AH25*Transactions!$Z$6,
            AND(Y25="GBP", Transactions!$Q$2="HKD"), AH25*Transactions!$Z$7,
            AND(Y25="HKG", Transactions!$Q$2="HKG"), AH25,
            AND(Y25="HKD", Transactions!$Q$2="USD"), AH25*Transactions!$Z$9,
            AND(Y25="HKD", Transactions!$Q$2="GBP"), AH25*Transactions!$Z$10,
            AND(Y25="HKD", Transactions!$Q$2="EUR"), AH25*Transactions!$Z$11,
            AND(Y25="EUR", Transactions!$Q$2="EUR"), AH25,
            AND(Y25="EUR", Transactions!$Q$2="USD"), AH25*Transactions!$Z$12,
            AND(Y25="EUR", Transactions!$Q$2="GBP"), AH25*Transactions!$Z$13,
            AND(Y25="EUR", Transactions!$Q$2="HKD"), AH25*Transactions!$Z$14,
        ),
        0
    )
)</f>
        <v>1609.9970930999998</v>
      </c>
      <c r="J25" s="2" cm="1">
        <f t="array" ref="J25">IF($A25="", "",
    IFERROR(
        _xlfn.SWITCH(
            TRUE,
            AND(Y25="USD", Transactions!$Q$2="USD"), AI25,
            AND(Y25="USD", Transactions!$Q$2="GBP"), AI25*Transactions!$Z$3,
            AND(Y25="USD", Transactions!$Q$2="HKD"), AI25*Transactions!$Z$4,
            AND(Y25="USD", Transactions!$Q$2="EUR"), AI25*Transactions!$Z$5,
            AND(Y25="GBP", Transactions!$Q$2="GBP"), AI25,
            AND(Y25="GBP", Transactions!$Q$2="USD"), AI25*Transactions!$Z$6,
            AND(Y25="GBP", Transactions!$Q$2="HKD"), AI25*Transactions!$Z$7,
            AND(Y25="HKG", Transactions!$Q$2="HKG"), AI25,
            AND(Y25="HKD", Transactions!$Q$2="USD"), AI25*Transactions!$Z$9,
            AND(Y25="HKD", Transactions!$Q$2="GBP"), AI25*Transactions!$Z$10,
            AND(Y25="HKD", Transactions!$Q$2="EUR"), AI25*Transactions!$Z$11,
            AND(Y25="EUR", Transactions!$Q$2="EUR"), AI25,
            AND(Y25="EUR", Transactions!$Q$2="USD"), AI25*Transactions!$Z$12,
            AND(Y25="EUR", Transactions!$Q$2="GBP"), AI25*Transactions!$Z$13,
            AND(Y25="EUR", Transactions!$Q$2="HKD"), AI25*Transactions!$Z$14,
        ),
        0
    )
)</f>
        <v>1613.0663999999999</v>
      </c>
      <c r="K25" s="41">
        <f t="shared" si="23"/>
        <v>1.9064052433102677E-3</v>
      </c>
      <c r="L25" s="2" cm="1">
        <f t="array" ref="L25">IF($A25="", "",
    IFERROR(
        _xlfn.SWITCH(
            TRUE,
            AND(Y25="USD", Transactions!$Q$2="USD"), AK25,
            AND(Y25="USD", Transactions!$Q$2="GBP"), AK25*Transactions!$Z$3,
            AND(Y25="USD", Transactions!$Q$2="HKD"), AK25*Transactions!$Z$4,
            AND(Y25="USD", Transactions!$Q$2="EUR"), AK25*Transactions!$Z$5,
            AND(Y25="GBP", Transactions!$Q$2="GBP"), AK25,
            AND(Y25="GBP", Transactions!$Q$2="USD"), AK25*Transactions!$Z$6,
            AND(Y25="GBP", Transactions!$Q$2="HKD"), AK25*Transactions!$Z$7,
            AND(Y25="HKG", Transactions!$Q$2="HKG"), AK25,
            AND(Y25="HKD", Transactions!$Q$2="USD"), AK25*Transactions!$Z$9,
            AND(Y25="HKD", Transactions!$Q$2="GBP"), AK25*Transactions!$Z$10,
            AND(Y25="HKD", Transactions!$Q$2="EUR"), AK25*Transactions!$Z$11,
            AND(Y25="EUR", Transactions!$Q$2="EUR"), AK25,
            AND(Y25="EUR", Transactions!$Q$2="USD"), AK25*Transactions!$Z$12,
            AND(Y25="EUR", Transactions!$Q$2="GBP"), AK25*Transactions!$Z$13,
            AND(Y25="EUR", Transactions!$Q$2="HKD"), AK25*Transactions!$Z$14,
        ),
        0
    )
)</f>
        <v>3.0693069000001287</v>
      </c>
      <c r="M25" s="119" cm="1">
        <f t="array" ref="M25">IF($A25="", "",
    IFERROR(
        _xlfn.SWITCH(
            TRUE,
            AND(Y25="USD", Transactions!$Q$2="USD"), AL25,
            AND(Y25="USD", Transactions!$Q$2="GBP"), AL25*Transactions!$Z$3,
            AND(Y25="USD", Transactions!$Q$2="HKD"), AL25*Transactions!$Z$4,
            AND(Y25="USD", Transactions!$Q$2="EUR"), AL25*Transactions!$Z$5,
            AND(Y25="GBP", Transactions!$Q$2="GBP"), AL25,
            AND(Y25="GBP", Transactions!$Q$2="USD"), AL25*Transactions!$Z$6,
            AND(Y25="GBP", Transactions!$Q$2="HKD"), AL25*Transactions!$Z$7,
            AND(Y25="HKG", Transactions!$Q$2="HKG"), AL25,
            AND(Y25="HKD", Transactions!$Q$2="USD"), AL25*Transactions!$Z$9,
            AND(Y25="HKD", Transactions!$Q$2="GBP"), AL25*Transactions!$Z$10,
            AND(Y25="HKD", Transactions!$Q$2="EUR"), AL25*Transactions!$Z$11,
            AND(Y25="EUR", Transactions!$Q$2="EUR"), AL25,
            AND(Y25="EUR", Transactions!$Q$2="USD"), AL25*Transactions!$Z$12,
            AND(Y25="EUR", Transactions!$Q$2="GBP"), AL25*Transactions!$Z$13,
            AND(Y25="EUR", Transactions!$Q$2="HKD"), AL25*Transactions!$Z$14,
        ),
        0
    )
)</f>
        <v>0</v>
      </c>
      <c r="N25" s="120" cm="1">
        <f t="array" ref="N25">IF($A25="", "",
    IFERROR(
        _xlfn.SWITCH(
            TRUE,
            AND(Y25="USD", Transactions!$Q$2="USD"), AM25,
            AND(Y25="USD", Transactions!$Q$2="GBP"), AM25*Transactions!$Z$3,
            AND(Y25="USD", Transactions!$Q$2="HKD"), AM25*Transactions!$Z$4,
            AND(Y25="USD", Transactions!$Q$2="EUR"), AM25*Transactions!$Z$5,
            AND(Y25="GBP", Transactions!$Q$2="GBP"), AM25,
            AND(Y25="GBP", Transactions!$Q$2="USD"), AM25*Transactions!$Z$6,
            AND(Y25="GBP", Transactions!$Q$2="HKD"), AM25*Transactions!$Z$7,
            AND(Y25="HKG", Transactions!$Q$2="HKG"), AM25,
            AND(Y25="HKD", Transactions!$Q$2="USD"), AM25*Transactions!$Z$9,
            AND(Y25="HKD", Transactions!$Q$2="GBP"), AM25*Transactions!$Z$10,
            AND(Y25="HKD", Transactions!$Q$2="EUR"), AM25*Transactions!$Z$11,
            AND(Y25="EUR", Transactions!$Q$2="EUR"), AM25,
            AND(Y25="EUR", Transactions!$Q$2="USD"), AM25*Transactions!$Z$12,
            AND(Y25="EUR", Transactions!$Q$2="GBP"), AM25*Transactions!$Z$13,
            AND(Y25="EUR", Transactions!$Q$2="HKD"), AM25*Transactions!$Z$14,
        ),
        0
    )
)</f>
        <v>3.0693069000001287</v>
      </c>
      <c r="O25" s="145"/>
      <c r="P25" s="145"/>
      <c r="Q25" s="41">
        <f t="shared" si="24"/>
        <v>1.0058170297583175E-2</v>
      </c>
      <c r="S25" s="41">
        <f t="shared" si="25"/>
        <v>1.0058170297583175E-2</v>
      </c>
      <c r="T25" s="1" t="str">
        <f t="shared" si="26"/>
        <v>Crypto</v>
      </c>
      <c r="U25" s="41">
        <f t="shared" si="27"/>
        <v>0.81515627319794193</v>
      </c>
      <c r="V25" s="41">
        <f t="shared" si="28"/>
        <v>0</v>
      </c>
      <c r="W25" s="41">
        <f t="shared" si="29"/>
        <v>0.81515627319794193</v>
      </c>
      <c r="X25" s="1" t="str">
        <f t="shared" si="29"/>
        <v>LP Token</v>
      </c>
      <c r="Y25" s="17" t="str">
        <f>IFERROR(IF(ISBLANK(AA25), "", IF(VLOOKUP(AA25, Transactions!D:F, 3, FALSE) = "Stablecoin", AA25, INDEX(Transactions!$B$3:$B1029, MATCH(AA25, Transactions!$D$3:$D1029, 0)))), "")</f>
        <v>USD</v>
      </c>
      <c r="Z25" s="1" t="str">
        <f>_xlfn.XLOOKUP(AA25,Transactions!$D$3:$D$1007,Transactions!$E$3:$E$1007)</f>
        <v>Gains Network gDAI</v>
      </c>
      <c r="AA25" s="124" t="str">
        <v>gDAI</v>
      </c>
      <c r="AB25" s="118" cm="1">
        <f t="array" ref="AB25">IF(ISBLANK(AA25), "",
    SUMPRODUCT(
        (Transactions!$D$3:$D$1007=AA25) *
        (Transactions!$H$3:$H$1007={"Cash Deposit","Crypto Deposit","Buy","Transfer Deposit","DRIP","Airdrop/Rewards"}) *
        Transactions!$I$3:$I$1007
    )
    - SUMPRODUCT(
        (Transactions!$D$3:$D$1007=AA25) *
        (Transactions!$H$3:$H$1007={"Sell","Transfer Send","Cash Withdrawal","Crypto Withdrawal"}) *
        Transactions!$I$3:$I$1007
    )
)</f>
        <v>746.79</v>
      </c>
      <c r="AC25" s="2" cm="1">
        <f t="array" ref="AC25">IF(ISBLANK(AA25), "", LOOKUP(2, 1/(Transactions!D:D=AA25), Transactions!P:P))</f>
        <v>2.1558899999999999</v>
      </c>
      <c r="AD25" s="2">
        <v>2.16</v>
      </c>
      <c r="AF25" s="39">
        <v>0</v>
      </c>
      <c r="AG25" s="34">
        <v>0</v>
      </c>
      <c r="AH25" s="2">
        <f t="shared" si="13"/>
        <v>1609.9970930999998</v>
      </c>
      <c r="AI25" s="2">
        <f t="shared" si="14"/>
        <v>1613.0663999999999</v>
      </c>
      <c r="AJ25" s="40">
        <f t="shared" si="15"/>
        <v>1.9064052433102677E-3</v>
      </c>
      <c r="AK25" s="2">
        <f t="shared" si="16"/>
        <v>3.0693069000001287</v>
      </c>
      <c r="AL25" s="119">
        <f>IF(OR(ISBLANK(AA25), COUNTIFS(Transactions!$D$3:$D1029, AA25) = 0), "",
    SUMIFS(Transactions!$M$3:$M1029, Transactions!$H$3:$H1029, "Sell", Transactions!$D$3:$D1029, AA25) +
    SUMIFS(Transactions!$M$3:$M1029, Transactions!$H$3:$H1029, "Dividend", Transactions!$D$3:$D1029, AA25) -
    SUMIFS(Transactions!$M$3:$M1029, Transactions!$H$3:$H1029, "Buy", Transactions!$D$3:$D1029, AA25) -
    SUMIFS(Transactions!$M$3:$M1029, Transactions!$H$3:$H1029, "Crypto Deposit", Transactions!$D$3:$D1029, AA25) -
    SUMIFS(Transactions!$M$3:$M1029, Transactions!$H$3:$H1029, "DRIP", Transactions!$D$3:$D1029, AA25) +
    SUMIFS($AH$3:$AH1021, $AA$3:$AA1021, AA25) +
    SUMIFS(Transactions!$M$3:$M1029, Transactions!$L$3:$L1029, "Stablecoin", Transactions!$B$3:$B1029, AA25)
)</f>
        <v>0</v>
      </c>
      <c r="AM25" s="120">
        <f t="shared" si="17"/>
        <v>3.0693069000001287</v>
      </c>
      <c r="AN25" s="145"/>
      <c r="AO25" s="145"/>
      <c r="AP25" s="41">
        <f t="shared" si="1"/>
        <v>1.0058170297583175E-2</v>
      </c>
      <c r="AR25" s="41">
        <f t="shared" si="18"/>
        <v>1.0058170297583175E-2</v>
      </c>
      <c r="AS25" s="1" t="str">
        <f>_xlfn.XLOOKUP(AA25,Transactions!$D$3:$D$1007,Transactions!$F$3:$F$1007)</f>
        <v>Crypto</v>
      </c>
      <c r="AT25" s="41">
        <f t="shared" si="19"/>
        <v>0.81515627319794193</v>
      </c>
      <c r="AU25" s="41">
        <f t="shared" si="20"/>
        <v>0</v>
      </c>
      <c r="AV25" s="41">
        <f t="shared" si="21"/>
        <v>0.81515627319794193</v>
      </c>
      <c r="AW25" s="18" t="s">
        <v>505</v>
      </c>
    </row>
    <row r="26" spans="1:49" ht="18" customHeight="1">
      <c r="A26" s="17" t="str">
        <f t="shared" si="2"/>
        <v>GLP</v>
      </c>
      <c r="B26" s="1" t="str">
        <f t="shared" si="3"/>
        <v>GLP</v>
      </c>
      <c r="C26" s="118">
        <f t="shared" si="4"/>
        <v>2779.13</v>
      </c>
      <c r="D26" s="2" cm="1">
        <f t="array" ref="D26">IF($A26="", "",
    IFERROR(
        _xlfn.SWITCH(
            TRUE,
            AND(Y26="USD", Transactions!$Q$2="USD"), AC26,
            AND(Y26="USD", Transactions!$Q$2="GBP"), AC26*Transactions!$Z$3,
            AND(Y26="USD", Transactions!$Q$2="HKD"), AC26*Transactions!$Z$4,
            AND(Y26="USD", Transactions!$Q$2="EUR"), AC26*Transactions!$Z$5,
            AND(Y26="GBP", Transactions!$Q$2="GBP"), AC26,
            AND(Y26="GBP", Transactions!$Q$2="USD"), AC26*Transactions!$Z$6,
            AND(Y26="GBP", Transactions!$Q$2="HKD"), AC26*Transactions!$Z$7,
            AND(Y26="HKG", Transactions!$Q$2="HKG"), AC26,
            AND(Y26="HKD", Transactions!$Q$2="USD"), AC26*Transactions!$Z$9,
            AND(Y26="HKD", Transactions!$Q$2="GBP"), AC26*Transactions!$Z$10,
            AND(Y26="HKD", Transactions!$Q$2="EUR"), AC26*Transactions!$Z$11,
            AND(Y26="EUR", Transactions!$Q$2="EUR"), AC26,
            AND(Y26="EUR", Transactions!$Q$2="USD"), AC26*Transactions!$Z$12,
            AND(Y26="EUR", Transactions!$Q$2="GBP"), AC26*Transactions!$Z$13,
            AND(Y26="EUR", Transactions!$Q$2="HKD"), AC26*Transactions!$Z$14,
        ),
        0
    )
)</f>
        <v>0.8</v>
      </c>
      <c r="E26" s="2" cm="1">
        <f t="array" ref="E26">IF($A26="", "",
    IFERROR(
        _xlfn.SWITCH(
            TRUE,
            AND(Y26="USD", Transactions!$Q$2="USD"), AD26,
            AND(Y26="USD", Transactions!$Q$2="GBP"), AD26*Transactions!$Z$3,
            AND(Y26="USD", Transactions!$Q$2="HKD"), AD26*Transactions!$Z$4,
            AND(Y26="USD", Transactions!$Q$2="EUR"), AD26*Transactions!$Z$5,
            AND(Y26="GBP", Transactions!$Q$2="GBP"), AD26,
            AND(Y26="GBP", Transactions!$Q$2="USD"), AD26*Transactions!$Z$6,
            AND(Y26="GBP", Transactions!$Q$2="HKD"), AD26*Transactions!$Z$7,
            AND(Y26="HKG", Transactions!$Q$2="HKG"), AD26,
            AND(Y26="HKD", Transactions!$Q$2="USD"), AD26*Transactions!$Z$9,
            AND(Y26="HKD", Transactions!$Q$2="GBP"), AD26*Transactions!$Z$10,
            AND(Y26="HKD", Transactions!$Q$2="EUR"), AD26*Transactions!$Z$11,
            AND(Y26="EUR", Transactions!$Q$2="EUR"), AD26,
            AND(Y26="EUR", Transactions!$Q$2="USD"), AD26*Transactions!$Z$12,
            AND(Y26="EUR", Transactions!$Q$2="GBP"), AD26*Transactions!$Z$13,
            AND(Y26="EUR", Transactions!$Q$2="HKD"), AD26*Transactions!$Z$14,
        ),
        0
    )
)</f>
        <v>0.95</v>
      </c>
      <c r="G26" s="121">
        <f t="shared" si="22"/>
        <v>0</v>
      </c>
      <c r="H26" s="34" cm="1">
        <f t="array" ref="H26">IF($A26="", "",
    IFERROR(
        _xlfn.SWITCH(
            TRUE,
            AND(Y26="USD", Transactions!$Q$2="USD"), AG26,
            AND(Y26="USD", Transactions!$Q$2="GBP"), AG26*Transactions!$Z$3,
            AND(Y26="USD", Transactions!$Q$2="HKD"), AG26*Transactions!$Z$4,
            AND(Y26="USD", Transactions!$Q$2="EUR"), AG26*Transactions!$Z$5,
            AND(Y26="GBP", Transactions!$Q$2="GBP"), AG26,
            AND(Y26="GBP", Transactions!$Q$2="USD"), AG26*Transactions!$Z$6,
            AND(Y26="GBP", Transactions!$Q$2="HKD"), AG26*Transactions!$Z$7,
            AND(Y26="HKG", Transactions!$Q$2="HKG"), AG26,
            AND(Y26="HKD", Transactions!$Q$2="USD"), AG26*Transactions!$Z$9,
            AND(Y26="HKD", Transactions!$Q$2="GBP"), AG26*Transactions!$Z$10,
            AND(Y26="HKD", Transactions!$Q$2="EUR"), AG26*Transactions!$Z$11,
            AND(Y26="EUR", Transactions!$Q$2="EUR"), AG26,
            AND(Y26="EUR", Transactions!$Q$2="USD"), AG26*Transactions!$Z$12,
            AND(Y26="EUR", Transactions!$Q$2="GBP"), AG26*Transactions!$Z$13,
            AND(Y26="EUR", Transactions!$Q$2="HKD"), AG26*Transactions!$Z$14,
        ),
        0
    )
)</f>
        <v>0</v>
      </c>
      <c r="I26" s="2" cm="1">
        <f t="array" ref="I26">IF($A26="", "",
    IFERROR(
        _xlfn.SWITCH(
            TRUE,
            AND(Y26="USD", Transactions!$Q$2="USD"), AH26,
            AND(Y26="USD", Transactions!$Q$2="GBP"), AH26*Transactions!$Z$3,
            AND(Y26="USD", Transactions!$Q$2="HKD"), AH26*Transactions!$Z$4,
            AND(Y26="USD", Transactions!$Q$2="EUR"), AH26*Transactions!$Z$5,
            AND(Y26="GBP", Transactions!$Q$2="GBP"), AH26,
            AND(Y26="GBP", Transactions!$Q$2="USD"), AH26*Transactions!$Z$6,
            AND(Y26="GBP", Transactions!$Q$2="HKD"), AH26*Transactions!$Z$7,
            AND(Y26="HKG", Transactions!$Q$2="HKG"), AH26,
            AND(Y26="HKD", Transactions!$Q$2="USD"), AH26*Transactions!$Z$9,
            AND(Y26="HKD", Transactions!$Q$2="GBP"), AH26*Transactions!$Z$10,
            AND(Y26="HKD", Transactions!$Q$2="EUR"), AH26*Transactions!$Z$11,
            AND(Y26="EUR", Transactions!$Q$2="EUR"), AH26,
            AND(Y26="EUR", Transactions!$Q$2="USD"), AH26*Transactions!$Z$12,
            AND(Y26="EUR", Transactions!$Q$2="GBP"), AH26*Transactions!$Z$13,
            AND(Y26="EUR", Transactions!$Q$2="HKD"), AH26*Transactions!$Z$14,
        ),
        0
    )
)</f>
        <v>2223.3040000000001</v>
      </c>
      <c r="J26" s="2" cm="1">
        <f t="array" ref="J26">IF($A26="", "",
    IFERROR(
        _xlfn.SWITCH(
            TRUE,
            AND(Y26="USD", Transactions!$Q$2="USD"), AI26,
            AND(Y26="USD", Transactions!$Q$2="GBP"), AI26*Transactions!$Z$3,
            AND(Y26="USD", Transactions!$Q$2="HKD"), AI26*Transactions!$Z$4,
            AND(Y26="USD", Transactions!$Q$2="EUR"), AI26*Transactions!$Z$5,
            AND(Y26="GBP", Transactions!$Q$2="GBP"), AI26,
            AND(Y26="GBP", Transactions!$Q$2="USD"), AI26*Transactions!$Z$6,
            AND(Y26="GBP", Transactions!$Q$2="HKD"), AI26*Transactions!$Z$7,
            AND(Y26="HKG", Transactions!$Q$2="HKG"), AI26,
            AND(Y26="HKD", Transactions!$Q$2="USD"), AI26*Transactions!$Z$9,
            AND(Y26="HKD", Transactions!$Q$2="GBP"), AI26*Transactions!$Z$10,
            AND(Y26="HKD", Transactions!$Q$2="EUR"), AI26*Transactions!$Z$11,
            AND(Y26="EUR", Transactions!$Q$2="EUR"), AI26,
            AND(Y26="EUR", Transactions!$Q$2="USD"), AI26*Transactions!$Z$12,
            AND(Y26="EUR", Transactions!$Q$2="GBP"), AI26*Transactions!$Z$13,
            AND(Y26="EUR", Transactions!$Q$2="HKD"), AI26*Transactions!$Z$14,
        ),
        0
    )
)</f>
        <v>2640.1734999999999</v>
      </c>
      <c r="K26" s="41">
        <f t="shared" si="23"/>
        <v>0.18749999999999989</v>
      </c>
      <c r="L26" s="2" cm="1">
        <f t="array" ref="L26">IF($A26="", "",
    IFERROR(
        _xlfn.SWITCH(
            TRUE,
            AND(Y26="USD", Transactions!$Q$2="USD"), AK26,
            AND(Y26="USD", Transactions!$Q$2="GBP"), AK26*Transactions!$Z$3,
            AND(Y26="USD", Transactions!$Q$2="HKD"), AK26*Transactions!$Z$4,
            AND(Y26="USD", Transactions!$Q$2="EUR"), AK26*Transactions!$Z$5,
            AND(Y26="GBP", Transactions!$Q$2="GBP"), AK26,
            AND(Y26="GBP", Transactions!$Q$2="USD"), AK26*Transactions!$Z$6,
            AND(Y26="GBP", Transactions!$Q$2="HKD"), AK26*Transactions!$Z$7,
            AND(Y26="HKG", Transactions!$Q$2="HKG"), AK26,
            AND(Y26="HKD", Transactions!$Q$2="USD"), AK26*Transactions!$Z$9,
            AND(Y26="HKD", Transactions!$Q$2="GBP"), AK26*Transactions!$Z$10,
            AND(Y26="HKD", Transactions!$Q$2="EUR"), AK26*Transactions!$Z$11,
            AND(Y26="EUR", Transactions!$Q$2="EUR"), AK26,
            AND(Y26="EUR", Transactions!$Q$2="USD"), AK26*Transactions!$Z$12,
            AND(Y26="EUR", Transactions!$Q$2="GBP"), AK26*Transactions!$Z$13,
            AND(Y26="EUR", Transactions!$Q$2="HKD"), AK26*Transactions!$Z$14,
        ),
        0
    )
)</f>
        <v>416.86949999999979</v>
      </c>
      <c r="M26" s="119" cm="1">
        <f t="array" ref="M26">IF($A26="", "",
    IFERROR(
        _xlfn.SWITCH(
            TRUE,
            AND(Y26="USD", Transactions!$Q$2="USD"), AL26,
            AND(Y26="USD", Transactions!$Q$2="GBP"), AL26*Transactions!$Z$3,
            AND(Y26="USD", Transactions!$Q$2="HKD"), AL26*Transactions!$Z$4,
            AND(Y26="USD", Transactions!$Q$2="EUR"), AL26*Transactions!$Z$5,
            AND(Y26="GBP", Transactions!$Q$2="GBP"), AL26,
            AND(Y26="GBP", Transactions!$Q$2="USD"), AL26*Transactions!$Z$6,
            AND(Y26="GBP", Transactions!$Q$2="HKD"), AL26*Transactions!$Z$7,
            AND(Y26="HKG", Transactions!$Q$2="HKG"), AL26,
            AND(Y26="HKD", Transactions!$Q$2="USD"), AL26*Transactions!$Z$9,
            AND(Y26="HKD", Transactions!$Q$2="GBP"), AL26*Transactions!$Z$10,
            AND(Y26="HKD", Transactions!$Q$2="EUR"), AL26*Transactions!$Z$11,
            AND(Y26="EUR", Transactions!$Q$2="EUR"), AL26,
            AND(Y26="EUR", Transactions!$Q$2="USD"), AL26*Transactions!$Z$12,
            AND(Y26="EUR", Transactions!$Q$2="GBP"), AL26*Transactions!$Z$13,
            AND(Y26="EUR", Transactions!$Q$2="HKD"), AL26*Transactions!$Z$14,
        ),
        0
    )
)</f>
        <v>0</v>
      </c>
      <c r="N26" s="120" cm="1">
        <f t="array" ref="N26">IF($A26="", "",
    IFERROR(
        _xlfn.SWITCH(
            TRUE,
            AND(Y26="USD", Transactions!$Q$2="USD"), AM26,
            AND(Y26="USD", Transactions!$Q$2="GBP"), AM26*Transactions!$Z$3,
            AND(Y26="USD", Transactions!$Q$2="HKD"), AM26*Transactions!$Z$4,
            AND(Y26="USD", Transactions!$Q$2="EUR"), AM26*Transactions!$Z$5,
            AND(Y26="GBP", Transactions!$Q$2="GBP"), AM26,
            AND(Y26="GBP", Transactions!$Q$2="USD"), AM26*Transactions!$Z$6,
            AND(Y26="GBP", Transactions!$Q$2="HKD"), AM26*Transactions!$Z$7,
            AND(Y26="HKG", Transactions!$Q$2="HKG"), AM26,
            AND(Y26="HKD", Transactions!$Q$2="USD"), AM26*Transactions!$Z$9,
            AND(Y26="HKD", Transactions!$Q$2="GBP"), AM26*Transactions!$Z$10,
            AND(Y26="HKD", Transactions!$Q$2="EUR"), AM26*Transactions!$Z$11,
            AND(Y26="EUR", Transactions!$Q$2="EUR"), AM26,
            AND(Y26="EUR", Transactions!$Q$2="USD"), AM26*Transactions!$Z$12,
            AND(Y26="EUR", Transactions!$Q$2="GBP"), AM26*Transactions!$Z$13,
            AND(Y26="EUR", Transactions!$Q$2="HKD"), AM26*Transactions!$Z$14,
        ),
        0
    )
)</f>
        <v>416.86949999999979</v>
      </c>
      <c r="O26" s="145"/>
      <c r="P26" s="145"/>
      <c r="Q26" s="41">
        <f t="shared" si="24"/>
        <v>1.6462629609150754E-2</v>
      </c>
      <c r="S26" s="41">
        <f t="shared" si="25"/>
        <v>1.6462629609150754E-2</v>
      </c>
      <c r="T26" s="1" t="str">
        <f t="shared" si="26"/>
        <v>Crypto</v>
      </c>
      <c r="U26" s="41">
        <f t="shared" si="27"/>
        <v>0.81515627319794193</v>
      </c>
      <c r="V26" s="41">
        <f t="shared" si="28"/>
        <v>0</v>
      </c>
      <c r="W26" s="41">
        <f t="shared" si="29"/>
        <v>0.81515627319794193</v>
      </c>
      <c r="X26" s="1" t="str">
        <f t="shared" si="29"/>
        <v>LP Token</v>
      </c>
      <c r="Y26" s="17" t="str">
        <f>IFERROR(IF(ISBLANK(AA26), "", IF(VLOOKUP(AA26, Transactions!D:F, 3, FALSE) = "Stablecoin", AA26, INDEX(Transactions!$B$3:$B1030, MATCH(AA26, Transactions!$D$3:$D1030, 0)))), "")</f>
        <v>USD</v>
      </c>
      <c r="Z26" s="1" t="str">
        <f>_xlfn.XLOOKUP(AA26,Transactions!$D$3:$D$1007,Transactions!$E$3:$E$1007)</f>
        <v>GLP</v>
      </c>
      <c r="AA26" s="124" t="str">
        <v>GLP</v>
      </c>
      <c r="AB26" s="118" cm="1">
        <f t="array" ref="AB26">IF(ISBLANK(AA26), "",
    SUMPRODUCT(
        (Transactions!$D$3:$D$1007=AA26) *
        (Transactions!$H$3:$H$1007={"Cash Deposit","Crypto Deposit","Buy","Transfer Deposit","DRIP","Airdrop/Rewards"}) *
        Transactions!$I$3:$I$1007
    )
    - SUMPRODUCT(
        (Transactions!$D$3:$D$1007=AA26) *
        (Transactions!$H$3:$H$1007={"Sell","Transfer Send","Cash Withdrawal","Crypto Withdrawal"}) *
        Transactions!$I$3:$I$1007
    )
)</f>
        <v>2779.13</v>
      </c>
      <c r="AC26" s="2" cm="1">
        <f t="array" ref="AC26">IF(ISBLANK(AA26), "", LOOKUP(2, 1/(Transactions!D:D=AA26), Transactions!P:P))</f>
        <v>0.8</v>
      </c>
      <c r="AD26" s="2">
        <v>0.95</v>
      </c>
      <c r="AF26" s="39">
        <v>0</v>
      </c>
      <c r="AG26" s="34">
        <v>0</v>
      </c>
      <c r="AH26" s="2">
        <f t="shared" si="13"/>
        <v>2223.3040000000001</v>
      </c>
      <c r="AI26" s="2">
        <f t="shared" si="14"/>
        <v>2640.1734999999999</v>
      </c>
      <c r="AJ26" s="40">
        <f t="shared" si="15"/>
        <v>0.18749999999999989</v>
      </c>
      <c r="AK26" s="2">
        <f t="shared" si="16"/>
        <v>416.86949999999979</v>
      </c>
      <c r="AL26" s="119">
        <f>IF(OR(ISBLANK(AA26), COUNTIFS(Transactions!$D$3:$D1030, AA26) = 0), "",
    SUMIFS(Transactions!$M$3:$M1030, Transactions!$H$3:$H1030, "Sell", Transactions!$D$3:$D1030, AA26) +
    SUMIFS(Transactions!$M$3:$M1030, Transactions!$H$3:$H1030, "Dividend", Transactions!$D$3:$D1030, AA26) -
    SUMIFS(Transactions!$M$3:$M1030, Transactions!$H$3:$H1030, "Buy", Transactions!$D$3:$D1030, AA26) -
    SUMIFS(Transactions!$M$3:$M1030, Transactions!$H$3:$H1030, "Crypto Deposit", Transactions!$D$3:$D1030, AA26) -
    SUMIFS(Transactions!$M$3:$M1030, Transactions!$H$3:$H1030, "DRIP", Transactions!$D$3:$D1030, AA26) +
    SUMIFS($AH$3:$AH1022, $AA$3:$AA1022, AA26) +
    SUMIFS(Transactions!$M$3:$M1030, Transactions!$L$3:$L1030, "Stablecoin", Transactions!$B$3:$B1030, AA26)
)</f>
        <v>0</v>
      </c>
      <c r="AM26" s="120">
        <f t="shared" si="17"/>
        <v>416.86949999999979</v>
      </c>
      <c r="AN26" s="145"/>
      <c r="AO26" s="145"/>
      <c r="AP26" s="41">
        <f t="shared" si="1"/>
        <v>1.6462629609150754E-2</v>
      </c>
      <c r="AR26" s="41">
        <f t="shared" si="18"/>
        <v>1.6462629609150754E-2</v>
      </c>
      <c r="AS26" s="1" t="str">
        <f>_xlfn.XLOOKUP(AA26,Transactions!$D$3:$D$1007,Transactions!$F$3:$F$1007)</f>
        <v>Crypto</v>
      </c>
      <c r="AT26" s="41">
        <f t="shared" si="19"/>
        <v>0.81515627319794193</v>
      </c>
      <c r="AU26" s="41">
        <f t="shared" si="20"/>
        <v>0</v>
      </c>
      <c r="AV26" s="41">
        <f t="shared" si="21"/>
        <v>0.81515627319794193</v>
      </c>
      <c r="AW26" s="18" t="s">
        <v>505</v>
      </c>
    </row>
    <row r="27" spans="1:49" ht="18" customHeight="1">
      <c r="A27" s="17" t="str">
        <f t="shared" si="2"/>
        <v>Highstreet</v>
      </c>
      <c r="B27" s="1" t="str">
        <f t="shared" si="3"/>
        <v>HIGH</v>
      </c>
      <c r="C27" s="118">
        <f t="shared" si="4"/>
        <v>49.968211029999999</v>
      </c>
      <c r="D27" s="2" cm="1">
        <f t="array" ref="D27">IF($A27="", "",
    IFERROR(
        _xlfn.SWITCH(
            TRUE,
            AND(Y27="USD", Transactions!$Q$2="USD"), AC27,
            AND(Y27="USD", Transactions!$Q$2="GBP"), AC27*Transactions!$Z$3,
            AND(Y27="USD", Transactions!$Q$2="HKD"), AC27*Transactions!$Z$4,
            AND(Y27="USD", Transactions!$Q$2="EUR"), AC27*Transactions!$Z$5,
            AND(Y27="GBP", Transactions!$Q$2="GBP"), AC27,
            AND(Y27="GBP", Transactions!$Q$2="USD"), AC27*Transactions!$Z$6,
            AND(Y27="GBP", Transactions!$Q$2="HKD"), AC27*Transactions!$Z$7,
            AND(Y27="HKG", Transactions!$Q$2="HKG"), AC27,
            AND(Y27="HKD", Transactions!$Q$2="USD"), AC27*Transactions!$Z$9,
            AND(Y27="HKD", Transactions!$Q$2="GBP"), AC27*Transactions!$Z$10,
            AND(Y27="HKD", Transactions!$Q$2="EUR"), AC27*Transactions!$Z$11,
            AND(Y27="EUR", Transactions!$Q$2="EUR"), AC27,
            AND(Y27="EUR", Transactions!$Q$2="USD"), AC27*Transactions!$Z$12,
            AND(Y27="EUR", Transactions!$Q$2="GBP"), AC27*Transactions!$Z$13,
            AND(Y27="EUR", Transactions!$Q$2="HKD"), AC27*Transactions!$Z$14,
        ),
        0
    )
)</f>
        <v>6.06</v>
      </c>
      <c r="E27" s="2" cm="1">
        <f t="array" ref="E27">IF($A27="", "",
    IFERROR(
        _xlfn.SWITCH(
            TRUE,
            AND(Y27="USD", Transactions!$Q$2="USD"), AD27,
            AND(Y27="USD", Transactions!$Q$2="GBP"), AD27*Transactions!$Z$3,
            AND(Y27="USD", Transactions!$Q$2="HKD"), AD27*Transactions!$Z$4,
            AND(Y27="USD", Transactions!$Q$2="EUR"), AD27*Transactions!$Z$5,
            AND(Y27="GBP", Transactions!$Q$2="GBP"), AD27,
            AND(Y27="GBP", Transactions!$Q$2="USD"), AD27*Transactions!$Z$6,
            AND(Y27="GBP", Transactions!$Q$2="HKD"), AD27*Transactions!$Z$7,
            AND(Y27="HKG", Transactions!$Q$2="HKG"), AD27,
            AND(Y27="HKD", Transactions!$Q$2="USD"), AD27*Transactions!$Z$9,
            AND(Y27="HKD", Transactions!$Q$2="GBP"), AD27*Transactions!$Z$10,
            AND(Y27="HKD", Transactions!$Q$2="EUR"), AD27*Transactions!$Z$11,
            AND(Y27="EUR", Transactions!$Q$2="EUR"), AD27,
            AND(Y27="EUR", Transactions!$Q$2="USD"), AD27*Transactions!$Z$12,
            AND(Y27="EUR", Transactions!$Q$2="GBP"), AD27*Transactions!$Z$13,
            AND(Y27="EUR", Transactions!$Q$2="HKD"), AD27*Transactions!$Z$14,
        ),
        0
    )
)</f>
        <v>2.08</v>
      </c>
      <c r="G27" s="121">
        <f t="shared" si="22"/>
        <v>4.0259099999999999E-2</v>
      </c>
      <c r="H27" s="34" cm="1">
        <f t="array" ref="H27">IF($A27="", "",
    IFERROR(
        _xlfn.SWITCH(
            TRUE,
            AND(Y27="USD", Transactions!$Q$2="USD"), AG27,
            AND(Y27="USD", Transactions!$Q$2="GBP"), AG27*Transactions!$Z$3,
            AND(Y27="USD", Transactions!$Q$2="HKD"), AG27*Transactions!$Z$4,
            AND(Y27="USD", Transactions!$Q$2="EUR"), AG27*Transactions!$Z$5,
            AND(Y27="GBP", Transactions!$Q$2="GBP"), AG27,
            AND(Y27="GBP", Transactions!$Q$2="USD"), AG27*Transactions!$Z$6,
            AND(Y27="GBP", Transactions!$Q$2="HKD"), AG27*Transactions!$Z$7,
            AND(Y27="HKG", Transactions!$Q$2="HKG"), AG27,
            AND(Y27="HKD", Transactions!$Q$2="USD"), AG27*Transactions!$Z$9,
            AND(Y27="HKD", Transactions!$Q$2="GBP"), AG27*Transactions!$Z$10,
            AND(Y27="HKD", Transactions!$Q$2="EUR"), AG27*Transactions!$Z$11,
            AND(Y27="EUR", Transactions!$Q$2="EUR"), AG27,
            AND(Y27="EUR", Transactions!$Q$2="USD"), AG27*Transactions!$Z$12,
            AND(Y27="EUR", Transactions!$Q$2="GBP"), AG27*Transactions!$Z$13,
            AND(Y27="EUR", Transactions!$Q$2="HKD"), AG27*Transactions!$Z$14,
        ),
        0
    )
)</f>
        <v>8.0429E-2</v>
      </c>
      <c r="I27" s="2" cm="1">
        <f t="array" ref="I27">IF($A27="", "",
    IFERROR(
        _xlfn.SWITCH(
            TRUE,
            AND(Y27="USD", Transactions!$Q$2="USD"), AH27,
            AND(Y27="USD", Transactions!$Q$2="GBP"), AH27*Transactions!$Z$3,
            AND(Y27="USD", Transactions!$Q$2="HKD"), AH27*Transactions!$Z$4,
            AND(Y27="USD", Transactions!$Q$2="EUR"), AH27*Transactions!$Z$5,
            AND(Y27="GBP", Transactions!$Q$2="GBP"), AH27,
            AND(Y27="GBP", Transactions!$Q$2="USD"), AH27*Transactions!$Z$6,
            AND(Y27="GBP", Transactions!$Q$2="HKD"), AH27*Transactions!$Z$7,
            AND(Y27="HKG", Transactions!$Q$2="HKG"), AH27,
            AND(Y27="HKD", Transactions!$Q$2="USD"), AH27*Transactions!$Z$9,
            AND(Y27="HKD", Transactions!$Q$2="GBP"), AH27*Transactions!$Z$10,
            AND(Y27="HKD", Transactions!$Q$2="EUR"), AH27*Transactions!$Z$11,
            AND(Y27="EUR", Transactions!$Q$2="EUR"), AH27,
            AND(Y27="EUR", Transactions!$Q$2="USD"), AH27*Transactions!$Z$12,
            AND(Y27="EUR", Transactions!$Q$2="GBP"), AH27*Transactions!$Z$13,
            AND(Y27="EUR", Transactions!$Q$2="HKD"), AH27*Transactions!$Z$14,
        ),
        0
    )
)</f>
        <v>302.80735884179995</v>
      </c>
      <c r="J27" s="2" cm="1">
        <f t="array" ref="J27">IF($A27="", "",
    IFERROR(
        _xlfn.SWITCH(
            TRUE,
            AND(Y27="USD", Transactions!$Q$2="USD"), AI27,
            AND(Y27="USD", Transactions!$Q$2="GBP"), AI27*Transactions!$Z$3,
            AND(Y27="USD", Transactions!$Q$2="HKD"), AI27*Transactions!$Z$4,
            AND(Y27="USD", Transactions!$Q$2="EUR"), AI27*Transactions!$Z$5,
            AND(Y27="GBP", Transactions!$Q$2="GBP"), AI27,
            AND(Y27="GBP", Transactions!$Q$2="USD"), AI27*Transactions!$Z$6,
            AND(Y27="GBP", Transactions!$Q$2="HKD"), AI27*Transactions!$Z$7,
            AND(Y27="HKG", Transactions!$Q$2="HKG"), AI27,
            AND(Y27="HKD", Transactions!$Q$2="USD"), AI27*Transactions!$Z$9,
            AND(Y27="HKD", Transactions!$Q$2="GBP"), AI27*Transactions!$Z$10,
            AND(Y27="HKD", Transactions!$Q$2="EUR"), AI27*Transactions!$Z$11,
            AND(Y27="EUR", Transactions!$Q$2="EUR"), AI27,
            AND(Y27="EUR", Transactions!$Q$2="USD"), AI27*Transactions!$Z$12,
            AND(Y27="EUR", Transactions!$Q$2="GBP"), AI27*Transactions!$Z$13,
            AND(Y27="EUR", Transactions!$Q$2="HKD"), AI27*Transactions!$Z$14,
        ),
        0
    )
)</f>
        <v>103.9338789424</v>
      </c>
      <c r="K27" s="41">
        <f t="shared" si="23"/>
        <v>-0.65676567656765672</v>
      </c>
      <c r="L27" s="2" cm="1">
        <f t="array" ref="L27">IF($A27="", "",
    IFERROR(
        _xlfn.SWITCH(
            TRUE,
            AND(Y27="USD", Transactions!$Q$2="USD"), AK27,
            AND(Y27="USD", Transactions!$Q$2="GBP"), AK27*Transactions!$Z$3,
            AND(Y27="USD", Transactions!$Q$2="HKD"), AK27*Transactions!$Z$4,
            AND(Y27="USD", Transactions!$Q$2="EUR"), AK27*Transactions!$Z$5,
            AND(Y27="GBP", Transactions!$Q$2="GBP"), AK27,
            AND(Y27="GBP", Transactions!$Q$2="USD"), AK27*Transactions!$Z$6,
            AND(Y27="GBP", Transactions!$Q$2="HKD"), AK27*Transactions!$Z$7,
            AND(Y27="HKG", Transactions!$Q$2="HKG"), AK27,
            AND(Y27="HKD", Transactions!$Q$2="USD"), AK27*Transactions!$Z$9,
            AND(Y27="HKD", Transactions!$Q$2="GBP"), AK27*Transactions!$Z$10,
            AND(Y27="HKD", Transactions!$Q$2="EUR"), AK27*Transactions!$Z$11,
            AND(Y27="EUR", Transactions!$Q$2="EUR"), AK27,
            AND(Y27="EUR", Transactions!$Q$2="USD"), AK27*Transactions!$Z$12,
            AND(Y27="EUR", Transactions!$Q$2="GBP"), AK27*Transactions!$Z$13,
            AND(Y27="EUR", Transactions!$Q$2="HKD"), AK27*Transactions!$Z$14,
        ),
        0
    )
)</f>
        <v>-198.87347989939997</v>
      </c>
      <c r="M27" s="119" cm="1">
        <f t="array" ref="M27">IF($A27="", "",
    IFERROR(
        _xlfn.SWITCH(
            TRUE,
            AND(Y27="USD", Transactions!$Q$2="USD"), AL27,
            AND(Y27="USD", Transactions!$Q$2="GBP"), AL27*Transactions!$Z$3,
            AND(Y27="USD", Transactions!$Q$2="HKD"), AL27*Transactions!$Z$4,
            AND(Y27="USD", Transactions!$Q$2="EUR"), AL27*Transactions!$Z$5,
            AND(Y27="GBP", Transactions!$Q$2="GBP"), AL27,
            AND(Y27="GBP", Transactions!$Q$2="USD"), AL27*Transactions!$Z$6,
            AND(Y27="GBP", Transactions!$Q$2="HKD"), AL27*Transactions!$Z$7,
            AND(Y27="HKG", Transactions!$Q$2="HKG"), AL27,
            AND(Y27="HKD", Transactions!$Q$2="USD"), AL27*Transactions!$Z$9,
            AND(Y27="HKD", Transactions!$Q$2="GBP"), AL27*Transactions!$Z$10,
            AND(Y27="HKD", Transactions!$Q$2="EUR"), AL27*Transactions!$Z$11,
            AND(Y27="EUR", Transactions!$Q$2="EUR"), AL27,
            AND(Y27="EUR", Transactions!$Q$2="USD"), AL27*Transactions!$Z$12,
            AND(Y27="EUR", Transactions!$Q$2="GBP"), AL27*Transactions!$Z$13,
            AND(Y27="EUR", Transactions!$Q$2="HKD"), AL27*Transactions!$Z$14,
        ),
        0
    )
)</f>
        <v>0</v>
      </c>
      <c r="N27" s="120" cm="1">
        <f t="array" ref="N27">IF($A27="", "",
    IFERROR(
        _xlfn.SWITCH(
            TRUE,
            AND(Y27="USD", Transactions!$Q$2="USD"), AM27,
            AND(Y27="USD", Transactions!$Q$2="GBP"), AM27*Transactions!$Z$3,
            AND(Y27="USD", Transactions!$Q$2="HKD"), AM27*Transactions!$Z$4,
            AND(Y27="USD", Transactions!$Q$2="EUR"), AM27*Transactions!$Z$5,
            AND(Y27="GBP", Transactions!$Q$2="GBP"), AM27,
            AND(Y27="GBP", Transactions!$Q$2="USD"), AM27*Transactions!$Z$6,
            AND(Y27="GBP", Transactions!$Q$2="HKD"), AM27*Transactions!$Z$7,
            AND(Y27="HKG", Transactions!$Q$2="HKG"), AM27,
            AND(Y27="HKD", Transactions!$Q$2="USD"), AM27*Transactions!$Z$9,
            AND(Y27="HKD", Transactions!$Q$2="GBP"), AM27*Transactions!$Z$10,
            AND(Y27="HKD", Transactions!$Q$2="EUR"), AM27*Transactions!$Z$11,
            AND(Y27="EUR", Transactions!$Q$2="EUR"), AM27,
            AND(Y27="EUR", Transactions!$Q$2="USD"), AM27*Transactions!$Z$12,
            AND(Y27="EUR", Transactions!$Q$2="GBP"), AM27*Transactions!$Z$13,
            AND(Y27="EUR", Transactions!$Q$2="HKD"), AM27*Transactions!$Z$14,
        ),
        0
    )
)</f>
        <v>-198.87347989939997</v>
      </c>
      <c r="O27" s="145"/>
      <c r="P27" s="145"/>
      <c r="Q27" s="41">
        <f t="shared" si="24"/>
        <v>6.4807292129515136E-4</v>
      </c>
      <c r="S27" s="41">
        <f t="shared" si="25"/>
        <v>6.4807292129515136E-4</v>
      </c>
      <c r="T27" s="1" t="str">
        <f t="shared" si="26"/>
        <v>Crypto</v>
      </c>
      <c r="U27" s="41">
        <f t="shared" si="27"/>
        <v>0.81515627319794193</v>
      </c>
      <c r="V27" s="41">
        <f t="shared" si="28"/>
        <v>0</v>
      </c>
      <c r="W27" s="41">
        <f t="shared" si="29"/>
        <v>0.81515627319794193</v>
      </c>
      <c r="X27" s="1" t="str">
        <f t="shared" si="29"/>
        <v>Defi/Crosschain</v>
      </c>
      <c r="Y27" s="17" t="str">
        <f>IFERROR(IF(ISBLANK(AA27), "", IF(VLOOKUP(AA27, Transactions!D:F, 3, FALSE) = "Stablecoin", AA27, INDEX(Transactions!$B$3:$B1031, MATCH(AA27, Transactions!$D$3:$D1031, 0)))), "")</f>
        <v>USD</v>
      </c>
      <c r="Z27" s="1" t="str">
        <f>_xlfn.XLOOKUP(AA27,Transactions!$D$3:$D$1007,Transactions!$E$3:$E$1007)</f>
        <v>Highstreet</v>
      </c>
      <c r="AA27" s="1" t="str">
        <v>HIGH</v>
      </c>
      <c r="AB27" s="118" cm="1">
        <f t="array" ref="AB27">IF(ISBLANK(AA27), "",
    SUMPRODUCT(
        (Transactions!$D$3:$D$1007=AA27) *
        (Transactions!$H$3:$H$1007={"Cash Deposit","Crypto Deposit","Buy","Transfer Deposit","DRIP","Airdrop/Rewards"}) *
        Transactions!$I$3:$I$1007
    )
    - SUMPRODUCT(
        (Transactions!$D$3:$D$1007=AA27) *
        (Transactions!$H$3:$H$1007={"Sell","Transfer Send","Cash Withdrawal","Crypto Withdrawal"}) *
        Transactions!$I$3:$I$1007
    )
)</f>
        <v>49.968211029999999</v>
      </c>
      <c r="AC27" s="2" cm="1">
        <f t="array" ref="AC27">IF(ISBLANK(AA27), "", LOOKUP(2, 1/(Transactions!D:D=AA27), Transactions!P:P))</f>
        <v>6.06</v>
      </c>
      <c r="AD27" s="2" cm="1">
        <f t="array" ref="AD27">IF(ISBLANK(AA27),"",IFERROR(_FV(AA27,"price"),INDEX('CoinGeko API'!E:E,MATCH(Portfolio_v2!AA27,'CoinGeko API'!C:C,0))))</f>
        <v>2.08</v>
      </c>
      <c r="AF27" s="39" cm="1">
        <f t="array" ref="AF27">IF(ISBLANK(AA27),"",IFERROR(_FV(AA27,"Change (%)",TRUE),INDEX('CoinGeko API'!G:G,MATCH(Portfolio_v2!AA27,'CoinGeko API'!C:C,0))))</f>
        <v>4.0259099999999999E-2</v>
      </c>
      <c r="AG27" s="34" cm="1">
        <f t="array" ref="AG27">IF(ISBLANK(AA27),"",IFERROR(_FV(AA27,"change"),INDEX('CoinGeko API'!F:F,MATCH(Portfolio_v2!AA27,'CoinGeko API'!C:C,0))))</f>
        <v>8.0429E-2</v>
      </c>
      <c r="AH27" s="2">
        <f t="shared" si="13"/>
        <v>302.80735884179995</v>
      </c>
      <c r="AI27" s="2">
        <f t="shared" si="14"/>
        <v>103.9338789424</v>
      </c>
      <c r="AJ27" s="40">
        <f t="shared" si="15"/>
        <v>-0.65676567656765672</v>
      </c>
      <c r="AK27" s="2">
        <f t="shared" si="16"/>
        <v>-198.87347989939997</v>
      </c>
      <c r="AL27" s="119">
        <f>IF(OR(ISBLANK(AA27), COUNTIFS(Transactions!$D$3:$D1031, AA27) = 0), "",
    SUMIFS(Transactions!$M$3:$M1031, Transactions!$H$3:$H1031, "Sell", Transactions!$D$3:$D1031, AA27) +
    SUMIFS(Transactions!$M$3:$M1031, Transactions!$H$3:$H1031, "Dividend", Transactions!$D$3:$D1031, AA27) -
    SUMIFS(Transactions!$M$3:$M1031, Transactions!$H$3:$H1031, "Buy", Transactions!$D$3:$D1031, AA27) -
    SUMIFS(Transactions!$M$3:$M1031, Transactions!$H$3:$H1031, "Crypto Deposit", Transactions!$D$3:$D1031, AA27) -
    SUMIFS(Transactions!$M$3:$M1031, Transactions!$H$3:$H1031, "DRIP", Transactions!$D$3:$D1031, AA27) +
    SUMIFS($AH$3:$AH1023, $AA$3:$AA1023, AA27) +
    SUMIFS(Transactions!$M$3:$M1031, Transactions!$L$3:$L1031, "Stablecoin", Transactions!$B$3:$B1031, AA27)
)</f>
        <v>0</v>
      </c>
      <c r="AM27" s="120">
        <f t="shared" si="17"/>
        <v>-198.87347989939997</v>
      </c>
      <c r="AN27" s="145"/>
      <c r="AO27" s="145"/>
      <c r="AP27" s="41">
        <f t="shared" si="1"/>
        <v>6.4807292129515136E-4</v>
      </c>
      <c r="AR27" s="41">
        <f t="shared" si="18"/>
        <v>6.4807292129515136E-4</v>
      </c>
      <c r="AS27" s="1" t="str">
        <f>_xlfn.XLOOKUP(AA27,Transactions!$D$3:$D$1007,Transactions!$F$3:$F$1007)</f>
        <v>Crypto</v>
      </c>
      <c r="AT27" s="41">
        <f t="shared" si="19"/>
        <v>0.81515627319794193</v>
      </c>
      <c r="AU27" s="41">
        <f t="shared" si="20"/>
        <v>0</v>
      </c>
      <c r="AV27" s="41">
        <f t="shared" si="21"/>
        <v>0.81515627319794193</v>
      </c>
      <c r="AW27" s="18" t="s">
        <v>18</v>
      </c>
    </row>
    <row r="28" spans="1:49" ht="18" customHeight="1">
      <c r="A28" s="17" t="str">
        <f t="shared" si="2"/>
        <v>Internet Computer</v>
      </c>
      <c r="B28" s="1" t="str">
        <f t="shared" si="3"/>
        <v>ICP</v>
      </c>
      <c r="C28" s="118">
        <f t="shared" si="4"/>
        <v>20.009999999999998</v>
      </c>
      <c r="D28" s="2" cm="1">
        <f t="array" ref="D28">IF($A28="", "",
    IFERROR(
        _xlfn.SWITCH(
            TRUE,
            AND(Y28="USD", Transactions!$Q$2="USD"), AC28,
            AND(Y28="USD", Transactions!$Q$2="GBP"), AC28*Transactions!$Z$3,
            AND(Y28="USD", Transactions!$Q$2="HKD"), AC28*Transactions!$Z$4,
            AND(Y28="USD", Transactions!$Q$2="EUR"), AC28*Transactions!$Z$5,
            AND(Y28="GBP", Transactions!$Q$2="GBP"), AC28,
            AND(Y28="GBP", Transactions!$Q$2="USD"), AC28*Transactions!$Z$6,
            AND(Y28="GBP", Transactions!$Q$2="HKD"), AC28*Transactions!$Z$7,
            AND(Y28="HKG", Transactions!$Q$2="HKG"), AC28,
            AND(Y28="HKD", Transactions!$Q$2="USD"), AC28*Transactions!$Z$9,
            AND(Y28="HKD", Transactions!$Q$2="GBP"), AC28*Transactions!$Z$10,
            AND(Y28="HKD", Transactions!$Q$2="EUR"), AC28*Transactions!$Z$11,
            AND(Y28="EUR", Transactions!$Q$2="EUR"), AC28,
            AND(Y28="EUR", Transactions!$Q$2="USD"), AC28*Transactions!$Z$12,
            AND(Y28="EUR", Transactions!$Q$2="GBP"), AC28*Transactions!$Z$13,
            AND(Y28="EUR", Transactions!$Q$2="HKD"), AC28*Transactions!$Z$14,
        ),
        0
    )
)</f>
        <v>12.211004497751125</v>
      </c>
      <c r="E28" s="2" cm="1">
        <f t="array" ref="E28">IF($A28="", "",
    IFERROR(
        _xlfn.SWITCH(
            TRUE,
            AND(Y28="USD", Transactions!$Q$2="USD"), AD28,
            AND(Y28="USD", Transactions!$Q$2="GBP"), AD28*Transactions!$Z$3,
            AND(Y28="USD", Transactions!$Q$2="HKD"), AD28*Transactions!$Z$4,
            AND(Y28="USD", Transactions!$Q$2="EUR"), AD28*Transactions!$Z$5,
            AND(Y28="GBP", Transactions!$Q$2="GBP"), AD28,
            AND(Y28="GBP", Transactions!$Q$2="USD"), AD28*Transactions!$Z$6,
            AND(Y28="GBP", Transactions!$Q$2="HKD"), AD28*Transactions!$Z$7,
            AND(Y28="HKG", Transactions!$Q$2="HKG"), AD28,
            AND(Y28="HKD", Transactions!$Q$2="USD"), AD28*Transactions!$Z$9,
            AND(Y28="HKD", Transactions!$Q$2="GBP"), AD28*Transactions!$Z$10,
            AND(Y28="HKD", Transactions!$Q$2="EUR"), AD28*Transactions!$Z$11,
            AND(Y28="EUR", Transactions!$Q$2="EUR"), AD28,
            AND(Y28="EUR", Transactions!$Q$2="USD"), AD28*Transactions!$Z$12,
            AND(Y28="EUR", Transactions!$Q$2="GBP"), AD28*Transactions!$Z$13,
            AND(Y28="EUR", Transactions!$Q$2="HKD"), AD28*Transactions!$Z$14,
        ),
        0
    )
)</f>
        <v>18.350000000000001</v>
      </c>
      <c r="G28" s="121">
        <f t="shared" si="22"/>
        <v>0.11981070000000001</v>
      </c>
      <c r="H28" s="34" cm="1">
        <f t="array" ref="H28">IF($A28="", "",
    IFERROR(
        _xlfn.SWITCH(
            TRUE,
            AND(Y28="USD", Transactions!$Q$2="USD"), AG28,
            AND(Y28="USD", Transactions!$Q$2="GBP"), AG28*Transactions!$Z$3,
            AND(Y28="USD", Transactions!$Q$2="HKD"), AG28*Transactions!$Z$4,
            AND(Y28="USD", Transactions!$Q$2="EUR"), AG28*Transactions!$Z$5,
            AND(Y28="GBP", Transactions!$Q$2="GBP"), AG28,
            AND(Y28="GBP", Transactions!$Q$2="USD"), AG28*Transactions!$Z$6,
            AND(Y28="GBP", Transactions!$Q$2="HKD"), AG28*Transactions!$Z$7,
            AND(Y28="HKG", Transactions!$Q$2="HKG"), AG28,
            AND(Y28="HKD", Transactions!$Q$2="USD"), AG28*Transactions!$Z$9,
            AND(Y28="HKD", Transactions!$Q$2="GBP"), AG28*Transactions!$Z$10,
            AND(Y28="HKD", Transactions!$Q$2="EUR"), AG28*Transactions!$Z$11,
            AND(Y28="EUR", Transactions!$Q$2="EUR"), AG28,
            AND(Y28="EUR", Transactions!$Q$2="USD"), AG28*Transactions!$Z$12,
            AND(Y28="EUR", Transactions!$Q$2="GBP"), AG28*Transactions!$Z$13,
            AND(Y28="EUR", Transactions!$Q$2="HKD"), AG28*Transactions!$Z$14,
        ),
        0
    )
)</f>
        <v>1.96</v>
      </c>
      <c r="I28" s="2" cm="1">
        <f t="array" ref="I28">IF($A28="", "",
    IFERROR(
        _xlfn.SWITCH(
            TRUE,
            AND(Y28="USD", Transactions!$Q$2="USD"), AH28,
            AND(Y28="USD", Transactions!$Q$2="GBP"), AH28*Transactions!$Z$3,
            AND(Y28="USD", Transactions!$Q$2="HKD"), AH28*Transactions!$Z$4,
            AND(Y28="USD", Transactions!$Q$2="EUR"), AH28*Transactions!$Z$5,
            AND(Y28="GBP", Transactions!$Q$2="GBP"), AH28,
            AND(Y28="GBP", Transactions!$Q$2="USD"), AH28*Transactions!$Z$6,
            AND(Y28="GBP", Transactions!$Q$2="HKD"), AH28*Transactions!$Z$7,
            AND(Y28="HKG", Transactions!$Q$2="HKG"), AH28,
            AND(Y28="HKD", Transactions!$Q$2="USD"), AH28*Transactions!$Z$9,
            AND(Y28="HKD", Transactions!$Q$2="GBP"), AH28*Transactions!$Z$10,
            AND(Y28="HKD", Transactions!$Q$2="EUR"), AH28*Transactions!$Z$11,
            AND(Y28="EUR", Transactions!$Q$2="EUR"), AH28,
            AND(Y28="EUR", Transactions!$Q$2="USD"), AH28*Transactions!$Z$12,
            AND(Y28="EUR", Transactions!$Q$2="GBP"), AH28*Transactions!$Z$13,
            AND(Y28="EUR", Transactions!$Q$2="HKD"), AH28*Transactions!$Z$14,
        ),
        0
    )
)</f>
        <v>244.34219999999999</v>
      </c>
      <c r="J28" s="2" cm="1">
        <f t="array" ref="J28">IF($A28="", "",
    IFERROR(
        _xlfn.SWITCH(
            TRUE,
            AND(Y28="USD", Transactions!$Q$2="USD"), AI28,
            AND(Y28="USD", Transactions!$Q$2="GBP"), AI28*Transactions!$Z$3,
            AND(Y28="USD", Transactions!$Q$2="HKD"), AI28*Transactions!$Z$4,
            AND(Y28="USD", Transactions!$Q$2="EUR"), AI28*Transactions!$Z$5,
            AND(Y28="GBP", Transactions!$Q$2="GBP"), AI28,
            AND(Y28="GBP", Transactions!$Q$2="USD"), AI28*Transactions!$Z$6,
            AND(Y28="GBP", Transactions!$Q$2="HKD"), AI28*Transactions!$Z$7,
            AND(Y28="HKG", Transactions!$Q$2="HKG"), AI28,
            AND(Y28="HKD", Transactions!$Q$2="USD"), AI28*Transactions!$Z$9,
            AND(Y28="HKD", Transactions!$Q$2="GBP"), AI28*Transactions!$Z$10,
            AND(Y28="HKD", Transactions!$Q$2="EUR"), AI28*Transactions!$Z$11,
            AND(Y28="EUR", Transactions!$Q$2="EUR"), AI28,
            AND(Y28="EUR", Transactions!$Q$2="USD"), AI28*Transactions!$Z$12,
            AND(Y28="EUR", Transactions!$Q$2="GBP"), AI28*Transactions!$Z$13,
            AND(Y28="EUR", Transactions!$Q$2="HKD"), AI28*Transactions!$Z$14,
        ),
        0
    )
)</f>
        <v>367.18349999999998</v>
      </c>
      <c r="K28" s="41">
        <f t="shared" si="23"/>
        <v>0.50274287454234268</v>
      </c>
      <c r="L28" s="2" cm="1">
        <f t="array" ref="L28">IF($A28="", "",
    IFERROR(
        _xlfn.SWITCH(
            TRUE,
            AND(Y28="USD", Transactions!$Q$2="USD"), AK28,
            AND(Y28="USD", Transactions!$Q$2="GBP"), AK28*Transactions!$Z$3,
            AND(Y28="USD", Transactions!$Q$2="HKD"), AK28*Transactions!$Z$4,
            AND(Y28="USD", Transactions!$Q$2="EUR"), AK28*Transactions!$Z$5,
            AND(Y28="GBP", Transactions!$Q$2="GBP"), AK28,
            AND(Y28="GBP", Transactions!$Q$2="USD"), AK28*Transactions!$Z$6,
            AND(Y28="GBP", Transactions!$Q$2="HKD"), AK28*Transactions!$Z$7,
            AND(Y28="HKG", Transactions!$Q$2="HKG"), AK28,
            AND(Y28="HKD", Transactions!$Q$2="USD"), AK28*Transactions!$Z$9,
            AND(Y28="HKD", Transactions!$Q$2="GBP"), AK28*Transactions!$Z$10,
            AND(Y28="HKD", Transactions!$Q$2="EUR"), AK28*Transactions!$Z$11,
            AND(Y28="EUR", Transactions!$Q$2="EUR"), AK28,
            AND(Y28="EUR", Transactions!$Q$2="USD"), AK28*Transactions!$Z$12,
            AND(Y28="EUR", Transactions!$Q$2="GBP"), AK28*Transactions!$Z$13,
            AND(Y28="EUR", Transactions!$Q$2="HKD"), AK28*Transactions!$Z$14,
        ),
        0
    )
)</f>
        <v>122.84129999999999</v>
      </c>
      <c r="M28" s="119" cm="1">
        <f t="array" ref="M28">IF($A28="", "",
    IFERROR(
        _xlfn.SWITCH(
            TRUE,
            AND(Y28="USD", Transactions!$Q$2="USD"), AL28,
            AND(Y28="USD", Transactions!$Q$2="GBP"), AL28*Transactions!$Z$3,
            AND(Y28="USD", Transactions!$Q$2="HKD"), AL28*Transactions!$Z$4,
            AND(Y28="USD", Transactions!$Q$2="EUR"), AL28*Transactions!$Z$5,
            AND(Y28="GBP", Transactions!$Q$2="GBP"), AL28,
            AND(Y28="GBP", Transactions!$Q$2="USD"), AL28*Transactions!$Z$6,
            AND(Y28="GBP", Transactions!$Q$2="HKD"), AL28*Transactions!$Z$7,
            AND(Y28="HKG", Transactions!$Q$2="HKG"), AL28,
            AND(Y28="HKD", Transactions!$Q$2="USD"), AL28*Transactions!$Z$9,
            AND(Y28="HKD", Transactions!$Q$2="GBP"), AL28*Transactions!$Z$10,
            AND(Y28="HKD", Transactions!$Q$2="EUR"), AL28*Transactions!$Z$11,
            AND(Y28="EUR", Transactions!$Q$2="EUR"), AL28,
            AND(Y28="EUR", Transactions!$Q$2="USD"), AL28*Transactions!$Z$12,
            AND(Y28="EUR", Transactions!$Q$2="GBP"), AL28*Transactions!$Z$13,
            AND(Y28="EUR", Transactions!$Q$2="HKD"), AL28*Transactions!$Z$14,
        ),
        0
    )
)</f>
        <v>0</v>
      </c>
      <c r="N28" s="120" cm="1">
        <f t="array" ref="N28">IF($A28="", "",
    IFERROR(
        _xlfn.SWITCH(
            TRUE,
            AND(Y28="USD", Transactions!$Q$2="USD"), AM28,
            AND(Y28="USD", Transactions!$Q$2="GBP"), AM28*Transactions!$Z$3,
            AND(Y28="USD", Transactions!$Q$2="HKD"), AM28*Transactions!$Z$4,
            AND(Y28="USD", Transactions!$Q$2="EUR"), AM28*Transactions!$Z$5,
            AND(Y28="GBP", Transactions!$Q$2="GBP"), AM28,
            AND(Y28="GBP", Transactions!$Q$2="USD"), AM28*Transactions!$Z$6,
            AND(Y28="GBP", Transactions!$Q$2="HKD"), AM28*Transactions!$Z$7,
            AND(Y28="HKG", Transactions!$Q$2="HKG"), AM28,
            AND(Y28="HKD", Transactions!$Q$2="USD"), AM28*Transactions!$Z$9,
            AND(Y28="HKD", Transactions!$Q$2="GBP"), AM28*Transactions!$Z$10,
            AND(Y28="HKD", Transactions!$Q$2="EUR"), AM28*Transactions!$Z$11,
            AND(Y28="EUR", Transactions!$Q$2="EUR"), AM28,
            AND(Y28="EUR", Transactions!$Q$2="USD"), AM28*Transactions!$Z$12,
            AND(Y28="EUR", Transactions!$Q$2="GBP"), AM28*Transactions!$Z$13,
            AND(Y28="EUR", Transactions!$Q$2="HKD"), AM28*Transactions!$Z$14,
        ),
        0
    )
)</f>
        <v>122.84129999999999</v>
      </c>
      <c r="O28" s="145"/>
      <c r="P28" s="145"/>
      <c r="Q28" s="41">
        <f t="shared" si="24"/>
        <v>2.289548758478034E-3</v>
      </c>
      <c r="S28" s="41">
        <f t="shared" si="25"/>
        <v>2.289548758478034E-3</v>
      </c>
      <c r="T28" s="1" t="str">
        <f t="shared" si="26"/>
        <v>Crypto</v>
      </c>
      <c r="U28" s="41">
        <f t="shared" si="27"/>
        <v>0.81515627319794193</v>
      </c>
      <c r="V28" s="41">
        <f t="shared" si="28"/>
        <v>0</v>
      </c>
      <c r="W28" s="41">
        <f t="shared" si="29"/>
        <v>0.81515627319794193</v>
      </c>
      <c r="X28" s="1" t="str">
        <f t="shared" si="29"/>
        <v>Infrastructure</v>
      </c>
      <c r="Y28" s="17" t="str">
        <f>IFERROR(IF(ISBLANK(AA28), "", IF(VLOOKUP(AA28, Transactions!D:F, 3, FALSE) = "Stablecoin", AA28, INDEX(Transactions!$B$3:$B1032, MATCH(AA28, Transactions!$D$3:$D1032, 0)))), "")</f>
        <v>USD</v>
      </c>
      <c r="Z28" s="1" t="str">
        <f>_xlfn.XLOOKUP(AA28,Transactions!$D$3:$D$1007,Transactions!$E$3:$E$1007)</f>
        <v>Internet Computer</v>
      </c>
      <c r="AA28" s="1" t="str">
        <v>ICP</v>
      </c>
      <c r="AB28" s="118" cm="1">
        <f t="array" ref="AB28">IF(ISBLANK(AA28), "",
    SUMPRODUCT(
        (Transactions!$D$3:$D$1007=AA28) *
        (Transactions!$H$3:$H$1007={"Cash Deposit","Crypto Deposit","Buy","Transfer Deposit","DRIP","Airdrop/Rewards"}) *
        Transactions!$I$3:$I$1007
    )
    - SUMPRODUCT(
        (Transactions!$D$3:$D$1007=AA28) *
        (Transactions!$H$3:$H$1007={"Sell","Transfer Send","Cash Withdrawal","Crypto Withdrawal"}) *
        Transactions!$I$3:$I$1007
    )
)</f>
        <v>20.009999999999998</v>
      </c>
      <c r="AC28" s="2" cm="1">
        <f t="array" ref="AC28">IF(ISBLANK(AA28), "", LOOKUP(2, 1/(Transactions!D:D=AA28), Transactions!P:P))</f>
        <v>12.211004497751125</v>
      </c>
      <c r="AD28" s="2" cm="1">
        <f t="array" ref="AD28">IF(ISBLANK(AA28),"",IFERROR(_FV(AA28,"price"),INDEX('CoinGeko API'!E:E,MATCH(Portfolio_v2!AA28,'CoinGeko API'!C:C,0))))</f>
        <v>18.350000000000001</v>
      </c>
      <c r="AF28" s="39" cm="1">
        <f t="array" ref="AF28">IF(ISBLANK(AA28),"",IFERROR(_FV(AA28,"Change (%)",TRUE),INDEX('CoinGeko API'!G:G,MATCH(Portfolio_v2!AA28,'CoinGeko API'!C:C,0))))</f>
        <v>0.11981070000000001</v>
      </c>
      <c r="AG28" s="34" cm="1">
        <f t="array" ref="AG28">IF(ISBLANK(AA28),"",IFERROR(_FV(AA28,"change"),INDEX('CoinGeko API'!F:F,MATCH(Portfolio_v2!AA28,'CoinGeko API'!C:C,0))))</f>
        <v>1.96</v>
      </c>
      <c r="AH28" s="2">
        <f t="shared" si="13"/>
        <v>244.34219999999999</v>
      </c>
      <c r="AI28" s="2">
        <f t="shared" si="14"/>
        <v>367.18349999999998</v>
      </c>
      <c r="AJ28" s="40">
        <f t="shared" si="15"/>
        <v>0.50274287454234268</v>
      </c>
      <c r="AK28" s="2">
        <f t="shared" si="16"/>
        <v>122.84129999999999</v>
      </c>
      <c r="AL28" s="119">
        <f>IF(OR(ISBLANK(AA28), COUNTIFS(Transactions!$D$3:$D1032, AA28) = 0), "",
    SUMIFS(Transactions!$M$3:$M1032, Transactions!$H$3:$H1032, "Sell", Transactions!$D$3:$D1032, AA28) +
    SUMIFS(Transactions!$M$3:$M1032, Transactions!$H$3:$H1032, "Dividend", Transactions!$D$3:$D1032, AA28) -
    SUMIFS(Transactions!$M$3:$M1032, Transactions!$H$3:$H1032, "Buy", Transactions!$D$3:$D1032, AA28) -
    SUMIFS(Transactions!$M$3:$M1032, Transactions!$H$3:$H1032, "Crypto Deposit", Transactions!$D$3:$D1032, AA28) -
    SUMIFS(Transactions!$M$3:$M1032, Transactions!$H$3:$H1032, "DRIP", Transactions!$D$3:$D1032, AA28) +
    SUMIFS($AH$3:$AH1024, $AA$3:$AA1024, AA28) +
    SUMIFS(Transactions!$M$3:$M1032, Transactions!$L$3:$L1032, "Stablecoin", Transactions!$B$3:$B1032, AA28)
)</f>
        <v>0</v>
      </c>
      <c r="AM28" s="120">
        <f t="shared" si="17"/>
        <v>122.84129999999999</v>
      </c>
      <c r="AN28" s="145"/>
      <c r="AO28" s="145"/>
      <c r="AP28" s="41">
        <f t="shared" si="1"/>
        <v>2.289548758478034E-3</v>
      </c>
      <c r="AR28" s="41">
        <f t="shared" si="18"/>
        <v>2.289548758478034E-3</v>
      </c>
      <c r="AS28" s="1" t="str">
        <f>_xlfn.XLOOKUP(AA28,Transactions!$D$3:$D$1007,Transactions!$F$3:$F$1007)</f>
        <v>Crypto</v>
      </c>
      <c r="AT28" s="41">
        <f t="shared" si="19"/>
        <v>0.81515627319794193</v>
      </c>
      <c r="AU28" s="41">
        <f t="shared" si="20"/>
        <v>0</v>
      </c>
      <c r="AV28" s="41">
        <f t="shared" si="21"/>
        <v>0.81515627319794193</v>
      </c>
      <c r="AW28" s="18" t="s">
        <v>476</v>
      </c>
    </row>
    <row r="29" spans="1:49" ht="18" customHeight="1">
      <c r="A29" s="17" t="str">
        <f t="shared" si="2"/>
        <v>Chainlink</v>
      </c>
      <c r="B29" s="1" t="str">
        <f t="shared" si="3"/>
        <v>LINK</v>
      </c>
      <c r="C29" s="118">
        <f t="shared" si="4"/>
        <v>70.46181</v>
      </c>
      <c r="D29" s="2" cm="1">
        <f t="array" ref="D29">IF($A29="", "",
    IFERROR(
        _xlfn.SWITCH(
            TRUE,
            AND(Y29="USD", Transactions!$Q$2="USD"), AC29,
            AND(Y29="USD", Transactions!$Q$2="GBP"), AC29*Transactions!$Z$3,
            AND(Y29="USD", Transactions!$Q$2="HKD"), AC29*Transactions!$Z$4,
            AND(Y29="USD", Transactions!$Q$2="EUR"), AC29*Transactions!$Z$5,
            AND(Y29="GBP", Transactions!$Q$2="GBP"), AC29,
            AND(Y29="GBP", Transactions!$Q$2="USD"), AC29*Transactions!$Z$6,
            AND(Y29="GBP", Transactions!$Q$2="HKD"), AC29*Transactions!$Z$7,
            AND(Y29="HKG", Transactions!$Q$2="HKG"), AC29,
            AND(Y29="HKD", Transactions!$Q$2="USD"), AC29*Transactions!$Z$9,
            AND(Y29="HKD", Transactions!$Q$2="GBP"), AC29*Transactions!$Z$10,
            AND(Y29="HKD", Transactions!$Q$2="EUR"), AC29*Transactions!$Z$11,
            AND(Y29="EUR", Transactions!$Q$2="EUR"), AC29,
            AND(Y29="EUR", Transactions!$Q$2="USD"), AC29*Transactions!$Z$12,
            AND(Y29="EUR", Transactions!$Q$2="GBP"), AC29*Transactions!$Z$13,
            AND(Y29="EUR", Transactions!$Q$2="HKD"), AC29*Transactions!$Z$14,
        ),
        0
    )
)</f>
        <v>18.586774092081555</v>
      </c>
      <c r="E29" s="2" cm="1">
        <f t="array" ref="E29">IF($A29="", "",
    IFERROR(
        _xlfn.SWITCH(
            TRUE,
            AND(Y29="USD", Transactions!$Q$2="USD"), AD29,
            AND(Y29="USD", Transactions!$Q$2="GBP"), AD29*Transactions!$Z$3,
            AND(Y29="USD", Transactions!$Q$2="HKD"), AD29*Transactions!$Z$4,
            AND(Y29="USD", Transactions!$Q$2="EUR"), AD29*Transactions!$Z$5,
            AND(Y29="GBP", Transactions!$Q$2="GBP"), AD29,
            AND(Y29="GBP", Transactions!$Q$2="USD"), AD29*Transactions!$Z$6,
            AND(Y29="GBP", Transactions!$Q$2="HKD"), AD29*Transactions!$Z$7,
            AND(Y29="HKG", Transactions!$Q$2="HKG"), AD29,
            AND(Y29="HKD", Transactions!$Q$2="USD"), AD29*Transactions!$Z$9,
            AND(Y29="HKD", Transactions!$Q$2="GBP"), AD29*Transactions!$Z$10,
            AND(Y29="HKD", Transactions!$Q$2="EUR"), AD29*Transactions!$Z$11,
            AND(Y29="EUR", Transactions!$Q$2="EUR"), AD29,
            AND(Y29="EUR", Transactions!$Q$2="USD"), AD29*Transactions!$Z$12,
            AND(Y29="EUR", Transactions!$Q$2="GBP"), AD29*Transactions!$Z$13,
            AND(Y29="EUR", Transactions!$Q$2="HKD"), AD29*Transactions!$Z$14,
        ),
        0
    )
)</f>
        <v>19.57</v>
      </c>
      <c r="G29" s="121">
        <f t="shared" si="22"/>
        <v>5.5068499999999999E-2</v>
      </c>
      <c r="H29" s="34" cm="1">
        <f t="array" ref="H29">IF($A29="", "",
    IFERROR(
        _xlfn.SWITCH(
            TRUE,
            AND(Y29="USD", Transactions!$Q$2="USD"), AG29,
            AND(Y29="USD", Transactions!$Q$2="GBP"), AG29*Transactions!$Z$3,
            AND(Y29="USD", Transactions!$Q$2="HKD"), AG29*Transactions!$Z$4,
            AND(Y29="USD", Transactions!$Q$2="EUR"), AG29*Transactions!$Z$5,
            AND(Y29="GBP", Transactions!$Q$2="GBP"), AG29,
            AND(Y29="GBP", Transactions!$Q$2="USD"), AG29*Transactions!$Z$6,
            AND(Y29="GBP", Transactions!$Q$2="HKD"), AG29*Transactions!$Z$7,
            AND(Y29="HKG", Transactions!$Q$2="HKG"), AG29,
            AND(Y29="HKD", Transactions!$Q$2="USD"), AG29*Transactions!$Z$9,
            AND(Y29="HKD", Transactions!$Q$2="GBP"), AG29*Transactions!$Z$10,
            AND(Y29="HKD", Transactions!$Q$2="EUR"), AG29*Transactions!$Z$11,
            AND(Y29="EUR", Transactions!$Q$2="EUR"), AG29,
            AND(Y29="EUR", Transactions!$Q$2="USD"), AG29*Transactions!$Z$12,
            AND(Y29="EUR", Transactions!$Q$2="GBP"), AG29*Transactions!$Z$13,
            AND(Y29="EUR", Transactions!$Q$2="HKD"), AG29*Transactions!$Z$14,
        ),
        0
    )
)</f>
        <v>1.022</v>
      </c>
      <c r="I29" s="2" cm="1">
        <f t="array" ref="I29">IF($A29="", "",
    IFERROR(
        _xlfn.SWITCH(
            TRUE,
            AND(Y29="USD", Transactions!$Q$2="USD"), AH29,
            AND(Y29="USD", Transactions!$Q$2="GBP"), AH29*Transactions!$Z$3,
            AND(Y29="USD", Transactions!$Q$2="HKD"), AH29*Transactions!$Z$4,
            AND(Y29="USD", Transactions!$Q$2="EUR"), AH29*Transactions!$Z$5,
            AND(Y29="GBP", Transactions!$Q$2="GBP"), AH29,
            AND(Y29="GBP", Transactions!$Q$2="USD"), AH29*Transactions!$Z$6,
            AND(Y29="GBP", Transactions!$Q$2="HKD"), AH29*Transactions!$Z$7,
            AND(Y29="HKG", Transactions!$Q$2="HKG"), AH29,
            AND(Y29="HKD", Transactions!$Q$2="USD"), AH29*Transactions!$Z$9,
            AND(Y29="HKD", Transactions!$Q$2="GBP"), AH29*Transactions!$Z$10,
            AND(Y29="HKD", Transactions!$Q$2="EUR"), AH29*Transactions!$Z$11,
            AND(Y29="EUR", Transactions!$Q$2="EUR"), AH29,
            AND(Y29="EUR", Transactions!$Q$2="USD"), AH29*Transactions!$Z$12,
            AND(Y29="EUR", Transactions!$Q$2="GBP"), AH29*Transactions!$Z$13,
            AND(Y29="EUR", Transactions!$Q$2="HKD"), AH29*Transactions!$Z$14,
        ),
        0
    )
)</f>
        <v>1309.657744589173</v>
      </c>
      <c r="J29" s="2" cm="1">
        <f t="array" ref="J29">IF($A29="", "",
    IFERROR(
        _xlfn.SWITCH(
            TRUE,
            AND(Y29="USD", Transactions!$Q$2="USD"), AI29,
            AND(Y29="USD", Transactions!$Q$2="GBP"), AI29*Transactions!$Z$3,
            AND(Y29="USD", Transactions!$Q$2="HKD"), AI29*Transactions!$Z$4,
            AND(Y29="USD", Transactions!$Q$2="EUR"), AI29*Transactions!$Z$5,
            AND(Y29="GBP", Transactions!$Q$2="GBP"), AI29,
            AND(Y29="GBP", Transactions!$Q$2="USD"), AI29*Transactions!$Z$6,
            AND(Y29="GBP", Transactions!$Q$2="HKD"), AI29*Transactions!$Z$7,
            AND(Y29="HKG", Transactions!$Q$2="HKG"), AI29,
            AND(Y29="HKD", Transactions!$Q$2="USD"), AI29*Transactions!$Z$9,
            AND(Y29="HKD", Transactions!$Q$2="GBP"), AI29*Transactions!$Z$10,
            AND(Y29="HKD", Transactions!$Q$2="EUR"), AI29*Transactions!$Z$11,
            AND(Y29="EUR", Transactions!$Q$2="EUR"), AI29,
            AND(Y29="EUR", Transactions!$Q$2="USD"), AI29*Transactions!$Z$12,
            AND(Y29="EUR", Transactions!$Q$2="GBP"), AI29*Transactions!$Z$13,
            AND(Y29="EUR", Transactions!$Q$2="HKD"), AI29*Transactions!$Z$14,
        ),
        0
    )
)</f>
        <v>1378.9376216999999</v>
      </c>
      <c r="K29" s="41">
        <f t="shared" si="23"/>
        <v>5.2899223019949614E-2</v>
      </c>
      <c r="L29" s="2" cm="1">
        <f t="array" ref="L29">IF($A29="", "",
    IFERROR(
        _xlfn.SWITCH(
            TRUE,
            AND(Y29="USD", Transactions!$Q$2="USD"), AK29,
            AND(Y29="USD", Transactions!$Q$2="GBP"), AK29*Transactions!$Z$3,
            AND(Y29="USD", Transactions!$Q$2="HKD"), AK29*Transactions!$Z$4,
            AND(Y29="USD", Transactions!$Q$2="EUR"), AK29*Transactions!$Z$5,
            AND(Y29="GBP", Transactions!$Q$2="GBP"), AK29,
            AND(Y29="GBP", Transactions!$Q$2="USD"), AK29*Transactions!$Z$6,
            AND(Y29="GBP", Transactions!$Q$2="HKD"), AK29*Transactions!$Z$7,
            AND(Y29="HKG", Transactions!$Q$2="HKG"), AK29,
            AND(Y29="HKD", Transactions!$Q$2="USD"), AK29*Transactions!$Z$9,
            AND(Y29="HKD", Transactions!$Q$2="GBP"), AK29*Transactions!$Z$10,
            AND(Y29="HKD", Transactions!$Q$2="EUR"), AK29*Transactions!$Z$11,
            AND(Y29="EUR", Transactions!$Q$2="EUR"), AK29,
            AND(Y29="EUR", Transactions!$Q$2="USD"), AK29*Transactions!$Z$12,
            AND(Y29="EUR", Transactions!$Q$2="GBP"), AK29*Transactions!$Z$13,
            AND(Y29="EUR", Transactions!$Q$2="HKD"), AK29*Transactions!$Z$14,
        ),
        0
    )
)</f>
        <v>69.279877110826874</v>
      </c>
      <c r="M29" s="119" cm="1">
        <f t="array" ref="M29">IF($A29="", "",
    IFERROR(
        _xlfn.SWITCH(
            TRUE,
            AND(Y29="USD", Transactions!$Q$2="USD"), AL29,
            AND(Y29="USD", Transactions!$Q$2="GBP"), AL29*Transactions!$Z$3,
            AND(Y29="USD", Transactions!$Q$2="HKD"), AL29*Transactions!$Z$4,
            AND(Y29="USD", Transactions!$Q$2="EUR"), AL29*Transactions!$Z$5,
            AND(Y29="GBP", Transactions!$Q$2="GBP"), AL29,
            AND(Y29="GBP", Transactions!$Q$2="USD"), AL29*Transactions!$Z$6,
            AND(Y29="GBP", Transactions!$Q$2="HKD"), AL29*Transactions!$Z$7,
            AND(Y29="HKG", Transactions!$Q$2="HKG"), AL29,
            AND(Y29="HKD", Transactions!$Q$2="USD"), AL29*Transactions!$Z$9,
            AND(Y29="HKD", Transactions!$Q$2="GBP"), AL29*Transactions!$Z$10,
            AND(Y29="HKD", Transactions!$Q$2="EUR"), AL29*Transactions!$Z$11,
            AND(Y29="EUR", Transactions!$Q$2="EUR"), AL29,
            AND(Y29="EUR", Transactions!$Q$2="USD"), AL29*Transactions!$Z$12,
            AND(Y29="EUR", Transactions!$Q$2="GBP"), AL29*Transactions!$Z$13,
            AND(Y29="EUR", Transactions!$Q$2="HKD"), AL29*Transactions!$Z$14,
        ),
        0
    )
)</f>
        <v>0</v>
      </c>
      <c r="N29" s="120" cm="1">
        <f t="array" ref="N29">IF($A29="", "",
    IFERROR(
        _xlfn.SWITCH(
            TRUE,
            AND(Y29="USD", Transactions!$Q$2="USD"), AM29,
            AND(Y29="USD", Transactions!$Q$2="GBP"), AM29*Transactions!$Z$3,
            AND(Y29="USD", Transactions!$Q$2="HKD"), AM29*Transactions!$Z$4,
            AND(Y29="USD", Transactions!$Q$2="EUR"), AM29*Transactions!$Z$5,
            AND(Y29="GBP", Transactions!$Q$2="GBP"), AM29,
            AND(Y29="GBP", Transactions!$Q$2="USD"), AM29*Transactions!$Z$6,
            AND(Y29="GBP", Transactions!$Q$2="HKD"), AM29*Transactions!$Z$7,
            AND(Y29="HKG", Transactions!$Q$2="HKG"), AM29,
            AND(Y29="HKD", Transactions!$Q$2="USD"), AM29*Transactions!$Z$9,
            AND(Y29="HKD", Transactions!$Q$2="GBP"), AM29*Transactions!$Z$10,
            AND(Y29="HKD", Transactions!$Q$2="EUR"), AM29*Transactions!$Z$11,
            AND(Y29="EUR", Transactions!$Q$2="EUR"), AM29,
            AND(Y29="EUR", Transactions!$Q$2="USD"), AM29*Transactions!$Z$12,
            AND(Y29="EUR", Transactions!$Q$2="GBP"), AM29*Transactions!$Z$13,
            AND(Y29="EUR", Transactions!$Q$2="HKD"), AM29*Transactions!$Z$14,
        ),
        0
    )
)</f>
        <v>69.279877110826874</v>
      </c>
      <c r="O29" s="145"/>
      <c r="P29" s="145"/>
      <c r="Q29" s="41">
        <f t="shared" si="24"/>
        <v>8.5982755755143886E-3</v>
      </c>
      <c r="S29" s="41">
        <f t="shared" si="25"/>
        <v>8.5982755755143886E-3</v>
      </c>
      <c r="T29" s="1" t="str">
        <f t="shared" si="26"/>
        <v>Crypto</v>
      </c>
      <c r="U29" s="41">
        <f t="shared" si="27"/>
        <v>0.81515627319794193</v>
      </c>
      <c r="V29" s="41">
        <f t="shared" si="28"/>
        <v>0</v>
      </c>
      <c r="W29" s="41">
        <f t="shared" si="29"/>
        <v>0.81515627319794193</v>
      </c>
      <c r="X29" s="1" t="str">
        <f t="shared" si="29"/>
        <v>Infrastructure</v>
      </c>
      <c r="Y29" s="17" t="str">
        <f>IFERROR(IF(ISBLANK(AA29), "", IF(VLOOKUP(AA29, Transactions!D:F, 3, FALSE) = "Stablecoin", AA29, INDEX(Transactions!$B$3:$B1033, MATCH(AA29, Transactions!$D$3:$D1033, 0)))), "")</f>
        <v>USD</v>
      </c>
      <c r="Z29" s="1" t="str">
        <f>_xlfn.XLOOKUP(AA29,Transactions!$D$3:$D$1007,Transactions!$E$3:$E$1007)</f>
        <v>Chainlink</v>
      </c>
      <c r="AA29" s="1" t="str">
        <v>LINK</v>
      </c>
      <c r="AB29" s="118" cm="1">
        <f t="array" ref="AB29">IF(ISBLANK(AA29), "",
    SUMPRODUCT(
        (Transactions!$D$3:$D$1007=AA29) *
        (Transactions!$H$3:$H$1007={"Cash Deposit","Crypto Deposit","Buy","Transfer Deposit","DRIP","Airdrop/Rewards"}) *
        Transactions!$I$3:$I$1007
    )
    - SUMPRODUCT(
        (Transactions!$D$3:$D$1007=AA29) *
        (Transactions!$H$3:$H$1007={"Sell","Transfer Send","Cash Withdrawal","Crypto Withdrawal"}) *
        Transactions!$I$3:$I$1007
    )
)</f>
        <v>70.46181</v>
      </c>
      <c r="AC29" s="2" cm="1">
        <f t="array" ref="AC29">IF(ISBLANK(AA29), "", LOOKUP(2, 1/(Transactions!D:D=AA29), Transactions!P:P))</f>
        <v>18.586774092081555</v>
      </c>
      <c r="AD29" s="2" cm="1">
        <f t="array" ref="AD29">IF(ISBLANK(AA29),"",IFERROR(_FV(AA29,"price"),INDEX('CoinGeko API'!E:E,MATCH(Portfolio_v2!AA29,'CoinGeko API'!C:C,0))))</f>
        <v>19.57</v>
      </c>
      <c r="AF29" s="39" cm="1">
        <f t="array" ref="AF29">IF(ISBLANK(AA29),"",IFERROR(_FV(AA29,"Change (%)",TRUE),INDEX('CoinGeko API'!G:G,MATCH(Portfolio_v2!AA29,'CoinGeko API'!C:C,0))))</f>
        <v>5.5068499999999999E-2</v>
      </c>
      <c r="AG29" s="34" cm="1">
        <f t="array" ref="AG29">IF(ISBLANK(AA29),"",IFERROR(_FV(AA29,"change"),INDEX('CoinGeko API'!F:F,MATCH(Portfolio_v2!AA29,'CoinGeko API'!C:C,0))))</f>
        <v>1.022</v>
      </c>
      <c r="AH29" s="2">
        <f t="shared" si="13"/>
        <v>1309.657744589173</v>
      </c>
      <c r="AI29" s="2">
        <f t="shared" si="14"/>
        <v>1378.9376216999999</v>
      </c>
      <c r="AJ29" s="40">
        <f t="shared" si="15"/>
        <v>5.2899223019949614E-2</v>
      </c>
      <c r="AK29" s="2">
        <f t="shared" si="16"/>
        <v>69.279877110826874</v>
      </c>
      <c r="AL29" s="119">
        <f>IF(OR(ISBLANK(AA29), COUNTIFS(Transactions!$D$3:$D1033, AA29) = 0), "",
    SUMIFS(Transactions!$M$3:$M1033, Transactions!$H$3:$H1033, "Sell", Transactions!$D$3:$D1033, AA29) +
    SUMIFS(Transactions!$M$3:$M1033, Transactions!$H$3:$H1033, "Dividend", Transactions!$D$3:$D1033, AA29) -
    SUMIFS(Transactions!$M$3:$M1033, Transactions!$H$3:$H1033, "Buy", Transactions!$D$3:$D1033, AA29) -
    SUMIFS(Transactions!$M$3:$M1033, Transactions!$H$3:$H1033, "Crypto Deposit", Transactions!$D$3:$D1033, AA29) -
    SUMIFS(Transactions!$M$3:$M1033, Transactions!$H$3:$H1033, "DRIP", Transactions!$D$3:$D1033, AA29) +
    SUMIFS($AH$3:$AH1025, $AA$3:$AA1025, AA29) +
    SUMIFS(Transactions!$M$3:$M1033, Transactions!$L$3:$L1033, "Stablecoin", Transactions!$B$3:$B1033, AA29)
)</f>
        <v>0</v>
      </c>
      <c r="AM29" s="120">
        <f t="shared" si="17"/>
        <v>69.279877110826874</v>
      </c>
      <c r="AN29" s="145"/>
      <c r="AO29" s="145"/>
      <c r="AP29" s="41">
        <f t="shared" si="1"/>
        <v>8.5982755755143886E-3</v>
      </c>
      <c r="AR29" s="41">
        <f t="shared" si="18"/>
        <v>8.5982755755143886E-3</v>
      </c>
      <c r="AS29" s="1" t="str">
        <f>_xlfn.XLOOKUP(AA29,Transactions!$D$3:$D$1007,Transactions!$F$3:$F$1007)</f>
        <v>Crypto</v>
      </c>
      <c r="AT29" s="41">
        <f t="shared" si="19"/>
        <v>0.81515627319794193</v>
      </c>
      <c r="AU29" s="41">
        <f t="shared" si="20"/>
        <v>0</v>
      </c>
      <c r="AV29" s="41">
        <f t="shared" si="21"/>
        <v>0.81515627319794193</v>
      </c>
      <c r="AW29" s="18" t="s">
        <v>476</v>
      </c>
    </row>
    <row r="30" spans="1:49" ht="18" customHeight="1">
      <c r="A30" s="17" t="str">
        <f t="shared" si="2"/>
        <v>Liquid Driver liveTHE</v>
      </c>
      <c r="B30" s="1" t="str">
        <f t="shared" si="3"/>
        <v>liveTHE</v>
      </c>
      <c r="C30" s="118">
        <f t="shared" si="4"/>
        <v>1516.68</v>
      </c>
      <c r="D30" s="2" cm="1">
        <f t="array" ref="D30">IF($A30="", "",
    IFERROR(
        _xlfn.SWITCH(
            TRUE,
            AND(Y30="USD", Transactions!$Q$2="USD"), AC30,
            AND(Y30="USD", Transactions!$Q$2="GBP"), AC30*Transactions!$Z$3,
            AND(Y30="USD", Transactions!$Q$2="HKD"), AC30*Transactions!$Z$4,
            AND(Y30="USD", Transactions!$Q$2="EUR"), AC30*Transactions!$Z$5,
            AND(Y30="GBP", Transactions!$Q$2="GBP"), AC30,
            AND(Y30="GBP", Transactions!$Q$2="USD"), AC30*Transactions!$Z$6,
            AND(Y30="GBP", Transactions!$Q$2="HKD"), AC30*Transactions!$Z$7,
            AND(Y30="HKG", Transactions!$Q$2="HKG"), AC30,
            AND(Y30="HKD", Transactions!$Q$2="USD"), AC30*Transactions!$Z$9,
            AND(Y30="HKD", Transactions!$Q$2="GBP"), AC30*Transactions!$Z$10,
            AND(Y30="HKD", Transactions!$Q$2="EUR"), AC30*Transactions!$Z$11,
            AND(Y30="EUR", Transactions!$Q$2="EUR"), AC30,
            AND(Y30="EUR", Transactions!$Q$2="USD"), AC30*Transactions!$Z$12,
            AND(Y30="EUR", Transactions!$Q$2="GBP"), AC30*Transactions!$Z$13,
            AND(Y30="EUR", Transactions!$Q$2="HKD"), AC30*Transactions!$Z$14,
        ),
        0
    )
)</f>
        <v>0.2</v>
      </c>
      <c r="E30" s="2" cm="1">
        <f t="array" ref="E30">IF($A30="", "",
    IFERROR(
        _xlfn.SWITCH(
            TRUE,
            AND(Y30="USD", Transactions!$Q$2="USD"), AD30,
            AND(Y30="USD", Transactions!$Q$2="GBP"), AD30*Transactions!$Z$3,
            AND(Y30="USD", Transactions!$Q$2="HKD"), AD30*Transactions!$Z$4,
            AND(Y30="USD", Transactions!$Q$2="EUR"), AD30*Transactions!$Z$5,
            AND(Y30="GBP", Transactions!$Q$2="GBP"), AD30,
            AND(Y30="GBP", Transactions!$Q$2="USD"), AD30*Transactions!$Z$6,
            AND(Y30="GBP", Transactions!$Q$2="HKD"), AD30*Transactions!$Z$7,
            AND(Y30="HKG", Transactions!$Q$2="HKG"), AD30,
            AND(Y30="HKD", Transactions!$Q$2="USD"), AD30*Transactions!$Z$9,
            AND(Y30="HKD", Transactions!$Q$2="GBP"), AD30*Transactions!$Z$10,
            AND(Y30="HKD", Transactions!$Q$2="EUR"), AD30*Transactions!$Z$11,
            AND(Y30="EUR", Transactions!$Q$2="EUR"), AD30,
            AND(Y30="EUR", Transactions!$Q$2="USD"), AD30*Transactions!$Z$12,
            AND(Y30="EUR", Transactions!$Q$2="GBP"), AD30*Transactions!$Z$13,
            AND(Y30="EUR", Transactions!$Q$2="HKD"), AD30*Transactions!$Z$14,
        ),
        0
    )
)</f>
        <v>0.45867000000000002</v>
      </c>
      <c r="G30" s="121">
        <f t="shared" si="22"/>
        <v>0</v>
      </c>
      <c r="H30" s="34" cm="1">
        <f t="array" ref="H30">IF($A30="", "",
    IFERROR(
        _xlfn.SWITCH(
            TRUE,
            AND(Y30="USD", Transactions!$Q$2="USD"), AG30,
            AND(Y30="USD", Transactions!$Q$2="GBP"), AG30*Transactions!$Z$3,
            AND(Y30="USD", Transactions!$Q$2="HKD"), AG30*Transactions!$Z$4,
            AND(Y30="USD", Transactions!$Q$2="EUR"), AG30*Transactions!$Z$5,
            AND(Y30="GBP", Transactions!$Q$2="GBP"), AG30,
            AND(Y30="GBP", Transactions!$Q$2="USD"), AG30*Transactions!$Z$6,
            AND(Y30="GBP", Transactions!$Q$2="HKD"), AG30*Transactions!$Z$7,
            AND(Y30="HKG", Transactions!$Q$2="HKG"), AG30,
            AND(Y30="HKD", Transactions!$Q$2="USD"), AG30*Transactions!$Z$9,
            AND(Y30="HKD", Transactions!$Q$2="GBP"), AG30*Transactions!$Z$10,
            AND(Y30="HKD", Transactions!$Q$2="EUR"), AG30*Transactions!$Z$11,
            AND(Y30="EUR", Transactions!$Q$2="EUR"), AG30,
            AND(Y30="EUR", Transactions!$Q$2="USD"), AG30*Transactions!$Z$12,
            AND(Y30="EUR", Transactions!$Q$2="GBP"), AG30*Transactions!$Z$13,
            AND(Y30="EUR", Transactions!$Q$2="HKD"), AG30*Transactions!$Z$14,
        ),
        0
    )
)</f>
        <v>0</v>
      </c>
      <c r="I30" s="2" cm="1">
        <f t="array" ref="I30">IF($A30="", "",
    IFERROR(
        _xlfn.SWITCH(
            TRUE,
            AND(Y30="USD", Transactions!$Q$2="USD"), AH30,
            AND(Y30="USD", Transactions!$Q$2="GBP"), AH30*Transactions!$Z$3,
            AND(Y30="USD", Transactions!$Q$2="HKD"), AH30*Transactions!$Z$4,
            AND(Y30="USD", Transactions!$Q$2="EUR"), AH30*Transactions!$Z$5,
            AND(Y30="GBP", Transactions!$Q$2="GBP"), AH30,
            AND(Y30="GBP", Transactions!$Q$2="USD"), AH30*Transactions!$Z$6,
            AND(Y30="GBP", Transactions!$Q$2="HKD"), AH30*Transactions!$Z$7,
            AND(Y30="HKG", Transactions!$Q$2="HKG"), AH30,
            AND(Y30="HKD", Transactions!$Q$2="USD"), AH30*Transactions!$Z$9,
            AND(Y30="HKD", Transactions!$Q$2="GBP"), AH30*Transactions!$Z$10,
            AND(Y30="HKD", Transactions!$Q$2="EUR"), AH30*Transactions!$Z$11,
            AND(Y30="EUR", Transactions!$Q$2="EUR"), AH30,
            AND(Y30="EUR", Transactions!$Q$2="USD"), AH30*Transactions!$Z$12,
            AND(Y30="EUR", Transactions!$Q$2="GBP"), AH30*Transactions!$Z$13,
            AND(Y30="EUR", Transactions!$Q$2="HKD"), AH30*Transactions!$Z$14,
        ),
        0
    )
)</f>
        <v>303.33600000000001</v>
      </c>
      <c r="J30" s="2" cm="1">
        <f t="array" ref="J30">IF($A30="", "",
    IFERROR(
        _xlfn.SWITCH(
            TRUE,
            AND(Y30="USD", Transactions!$Q$2="USD"), AI30,
            AND(Y30="USD", Transactions!$Q$2="GBP"), AI30*Transactions!$Z$3,
            AND(Y30="USD", Transactions!$Q$2="HKD"), AI30*Transactions!$Z$4,
            AND(Y30="USD", Transactions!$Q$2="EUR"), AI30*Transactions!$Z$5,
            AND(Y30="GBP", Transactions!$Q$2="GBP"), AI30,
            AND(Y30="GBP", Transactions!$Q$2="USD"), AI30*Transactions!$Z$6,
            AND(Y30="GBP", Transactions!$Q$2="HKD"), AI30*Transactions!$Z$7,
            AND(Y30="HKG", Transactions!$Q$2="HKG"), AI30,
            AND(Y30="HKD", Transactions!$Q$2="USD"), AI30*Transactions!$Z$9,
            AND(Y30="HKD", Transactions!$Q$2="GBP"), AI30*Transactions!$Z$10,
            AND(Y30="HKD", Transactions!$Q$2="EUR"), AI30*Transactions!$Z$11,
            AND(Y30="EUR", Transactions!$Q$2="EUR"), AI30,
            AND(Y30="EUR", Transactions!$Q$2="USD"), AI30*Transactions!$Z$12,
            AND(Y30="EUR", Transactions!$Q$2="GBP"), AI30*Transactions!$Z$13,
            AND(Y30="EUR", Transactions!$Q$2="HKD"), AI30*Transactions!$Z$14,
        ),
        0
    )
)</f>
        <v>695.65561560000003</v>
      </c>
      <c r="K30" s="41">
        <f t="shared" si="23"/>
        <v>1.29335</v>
      </c>
      <c r="L30" s="2" cm="1">
        <f t="array" ref="L30">IF($A30="", "",
    IFERROR(
        _xlfn.SWITCH(
            TRUE,
            AND(Y30="USD", Transactions!$Q$2="USD"), AK30,
            AND(Y30="USD", Transactions!$Q$2="GBP"), AK30*Transactions!$Z$3,
            AND(Y30="USD", Transactions!$Q$2="HKD"), AK30*Transactions!$Z$4,
            AND(Y30="USD", Transactions!$Q$2="EUR"), AK30*Transactions!$Z$5,
            AND(Y30="GBP", Transactions!$Q$2="GBP"), AK30,
            AND(Y30="GBP", Transactions!$Q$2="USD"), AK30*Transactions!$Z$6,
            AND(Y30="GBP", Transactions!$Q$2="HKD"), AK30*Transactions!$Z$7,
            AND(Y30="HKG", Transactions!$Q$2="HKG"), AK30,
            AND(Y30="HKD", Transactions!$Q$2="USD"), AK30*Transactions!$Z$9,
            AND(Y30="HKD", Transactions!$Q$2="GBP"), AK30*Transactions!$Z$10,
            AND(Y30="HKD", Transactions!$Q$2="EUR"), AK30*Transactions!$Z$11,
            AND(Y30="EUR", Transactions!$Q$2="EUR"), AK30,
            AND(Y30="EUR", Transactions!$Q$2="USD"), AK30*Transactions!$Z$12,
            AND(Y30="EUR", Transactions!$Q$2="GBP"), AK30*Transactions!$Z$13,
            AND(Y30="EUR", Transactions!$Q$2="HKD"), AK30*Transactions!$Z$14,
        ),
        0
    )
)</f>
        <v>392.31961560000002</v>
      </c>
      <c r="M30" s="119" cm="1">
        <f t="array" ref="M30">IF($A30="", "",
    IFERROR(
        _xlfn.SWITCH(
            TRUE,
            AND(Y30="USD", Transactions!$Q$2="USD"), AL30,
            AND(Y30="USD", Transactions!$Q$2="GBP"), AL30*Transactions!$Z$3,
            AND(Y30="USD", Transactions!$Q$2="HKD"), AL30*Transactions!$Z$4,
            AND(Y30="USD", Transactions!$Q$2="EUR"), AL30*Transactions!$Z$5,
            AND(Y30="GBP", Transactions!$Q$2="GBP"), AL30,
            AND(Y30="GBP", Transactions!$Q$2="USD"), AL30*Transactions!$Z$6,
            AND(Y30="GBP", Transactions!$Q$2="HKD"), AL30*Transactions!$Z$7,
            AND(Y30="HKG", Transactions!$Q$2="HKG"), AL30,
            AND(Y30="HKD", Transactions!$Q$2="USD"), AL30*Transactions!$Z$9,
            AND(Y30="HKD", Transactions!$Q$2="GBP"), AL30*Transactions!$Z$10,
            AND(Y30="HKD", Transactions!$Q$2="EUR"), AL30*Transactions!$Z$11,
            AND(Y30="EUR", Transactions!$Q$2="EUR"), AL30,
            AND(Y30="EUR", Transactions!$Q$2="USD"), AL30*Transactions!$Z$12,
            AND(Y30="EUR", Transactions!$Q$2="GBP"), AL30*Transactions!$Z$13,
            AND(Y30="EUR", Transactions!$Q$2="HKD"), AL30*Transactions!$Z$14,
        ),
        0
    )
)</f>
        <v>0</v>
      </c>
      <c r="N30" s="120" cm="1">
        <f t="array" ref="N30">IF($A30="", "",
    IFERROR(
        _xlfn.SWITCH(
            TRUE,
            AND(Y30="USD", Transactions!$Q$2="USD"), AM30,
            AND(Y30="USD", Transactions!$Q$2="GBP"), AM30*Transactions!$Z$3,
            AND(Y30="USD", Transactions!$Q$2="HKD"), AM30*Transactions!$Z$4,
            AND(Y30="USD", Transactions!$Q$2="EUR"), AM30*Transactions!$Z$5,
            AND(Y30="GBP", Transactions!$Q$2="GBP"), AM30,
            AND(Y30="GBP", Transactions!$Q$2="USD"), AM30*Transactions!$Z$6,
            AND(Y30="GBP", Transactions!$Q$2="HKD"), AM30*Transactions!$Z$7,
            AND(Y30="HKG", Transactions!$Q$2="HKG"), AM30,
            AND(Y30="HKD", Transactions!$Q$2="USD"), AM30*Transactions!$Z$9,
            AND(Y30="HKD", Transactions!$Q$2="GBP"), AM30*Transactions!$Z$10,
            AND(Y30="HKD", Transactions!$Q$2="EUR"), AM30*Transactions!$Z$11,
            AND(Y30="EUR", Transactions!$Q$2="EUR"), AM30,
            AND(Y30="EUR", Transactions!$Q$2="USD"), AM30*Transactions!$Z$12,
            AND(Y30="EUR", Transactions!$Q$2="GBP"), AM30*Transactions!$Z$13,
            AND(Y30="EUR", Transactions!$Q$2="HKD"), AM30*Transactions!$Z$14,
        ),
        0
    )
)</f>
        <v>392.31961560000002</v>
      </c>
      <c r="O30" s="145"/>
      <c r="P30" s="145"/>
      <c r="Q30" s="41">
        <f t="shared" si="24"/>
        <v>4.3377152051365395E-3</v>
      </c>
      <c r="S30" s="41">
        <f t="shared" si="25"/>
        <v>4.3377152051365395E-3</v>
      </c>
      <c r="T30" s="1" t="str">
        <f t="shared" si="26"/>
        <v>Crypto</v>
      </c>
      <c r="U30" s="41">
        <f t="shared" si="27"/>
        <v>0.81515627319794193</v>
      </c>
      <c r="V30" s="41">
        <f t="shared" si="28"/>
        <v>0</v>
      </c>
      <c r="W30" s="41">
        <f t="shared" si="29"/>
        <v>0.81515627319794193</v>
      </c>
      <c r="X30" s="1" t="str">
        <f t="shared" si="29"/>
        <v>Defi/Crosschain</v>
      </c>
      <c r="Y30" s="17" t="str">
        <f>IFERROR(IF(ISBLANK(AA30), "", IF(VLOOKUP(AA30, Transactions!D:F, 3, FALSE) = "Stablecoin", AA30, INDEX(Transactions!$B$3:$B1034, MATCH(AA30, Transactions!$D$3:$D1034, 0)))), "")</f>
        <v>USD</v>
      </c>
      <c r="Z30" s="1" t="str">
        <f>_xlfn.XLOOKUP(AA30,Transactions!$D$3:$D$1007,Transactions!$E$3:$E$1007)</f>
        <v>Liquid Driver liveTHE</v>
      </c>
      <c r="AA30" s="1" t="str">
        <v>liveTHE</v>
      </c>
      <c r="AB30" s="118" cm="1">
        <f t="array" ref="AB30">IF(ISBLANK(AA30), "",
    SUMPRODUCT(
        (Transactions!$D$3:$D$1007=AA30) *
        (Transactions!$H$3:$H$1007={"Cash Deposit","Crypto Deposit","Buy","Transfer Deposit","DRIP","Airdrop/Rewards"}) *
        Transactions!$I$3:$I$1007
    )
    - SUMPRODUCT(
        (Transactions!$D$3:$D$1007=AA30) *
        (Transactions!$H$3:$H$1007={"Sell","Transfer Send","Cash Withdrawal","Crypto Withdrawal"}) *
        Transactions!$I$3:$I$1007
    )
)</f>
        <v>1516.68</v>
      </c>
      <c r="AC30" s="2" cm="1">
        <f t="array" ref="AC30">IF(ISBLANK(AA30), "", LOOKUP(2, 1/(Transactions!D:D=AA30), Transactions!P:P))</f>
        <v>0.2</v>
      </c>
      <c r="AD30" s="2" cm="1">
        <f t="array" ref="AD30">IF(ISBLANK(AA30),"",IFERROR(_FV(AA30,"price"),INDEX('CoinGeko API'!E:E,MATCH(Portfolio_v2!AA30,'CoinGeko API'!C:C,0))))</f>
        <v>0.45867000000000002</v>
      </c>
      <c r="AF30" s="39" cm="1">
        <f t="array" ref="AF30">IF(ISBLANK(AA30),"",IFERROR(_FV(AA30,"Change (%)",TRUE),INDEX('CoinGeko API'!G:G,MATCH(Portfolio_v2!AA30,'CoinGeko API'!C:C,0))))</f>
        <v>0</v>
      </c>
      <c r="AG30" s="34" cm="1">
        <f t="array" ref="AG30">IF(ISBLANK(AA30),"",IFERROR(_FV(AA30,"change"),INDEX('CoinGeko API'!F:F,MATCH(Portfolio_v2!AA30,'CoinGeko API'!C:C,0))))</f>
        <v>0</v>
      </c>
      <c r="AH30" s="2">
        <f t="shared" si="13"/>
        <v>303.33600000000001</v>
      </c>
      <c r="AI30" s="2">
        <f t="shared" si="14"/>
        <v>695.65561560000003</v>
      </c>
      <c r="AJ30" s="40">
        <f t="shared" si="15"/>
        <v>1.29335</v>
      </c>
      <c r="AK30" s="2">
        <f t="shared" si="16"/>
        <v>392.31961560000002</v>
      </c>
      <c r="AL30" s="119">
        <f>IF(OR(ISBLANK(AA30), COUNTIFS(Transactions!$D$3:$D1034, AA30) = 0), "",
    SUMIFS(Transactions!$M$3:$M1034, Transactions!$H$3:$H1034, "Sell", Transactions!$D$3:$D1034, AA30) +
    SUMIFS(Transactions!$M$3:$M1034, Transactions!$H$3:$H1034, "Dividend", Transactions!$D$3:$D1034, AA30) -
    SUMIFS(Transactions!$M$3:$M1034, Transactions!$H$3:$H1034, "Buy", Transactions!$D$3:$D1034, AA30) -
    SUMIFS(Transactions!$M$3:$M1034, Transactions!$H$3:$H1034, "Crypto Deposit", Transactions!$D$3:$D1034, AA30) -
    SUMIFS(Transactions!$M$3:$M1034, Transactions!$H$3:$H1034, "DRIP", Transactions!$D$3:$D1034, AA30) +
    SUMIFS($AH$3:$AH1026, $AA$3:$AA1026, AA30) +
    SUMIFS(Transactions!$M$3:$M1034, Transactions!$L$3:$L1034, "Stablecoin", Transactions!$B$3:$B1034, AA30)
)</f>
        <v>0</v>
      </c>
      <c r="AM30" s="120">
        <f t="shared" si="17"/>
        <v>392.31961560000002</v>
      </c>
      <c r="AN30" s="145"/>
      <c r="AO30" s="145"/>
      <c r="AP30" s="41">
        <f t="shared" si="1"/>
        <v>4.3377152051365395E-3</v>
      </c>
      <c r="AR30" s="41">
        <f t="shared" si="18"/>
        <v>4.3377152051365395E-3</v>
      </c>
      <c r="AS30" s="1" t="str">
        <f>_xlfn.XLOOKUP(AA30,Transactions!$D$3:$D$1007,Transactions!$F$3:$F$1007)</f>
        <v>Crypto</v>
      </c>
      <c r="AT30" s="41">
        <f t="shared" si="19"/>
        <v>0.81515627319794193</v>
      </c>
      <c r="AU30" s="41">
        <f t="shared" si="20"/>
        <v>0</v>
      </c>
      <c r="AV30" s="41">
        <f t="shared" si="21"/>
        <v>0.81515627319794193</v>
      </c>
      <c r="AW30" s="18" t="s">
        <v>18</v>
      </c>
    </row>
    <row r="31" spans="1:49" ht="18" customHeight="1">
      <c r="A31" s="17" t="str">
        <f t="shared" si="2"/>
        <v>Magic</v>
      </c>
      <c r="B31" s="1" t="str">
        <f t="shared" si="3"/>
        <v>MAGIC</v>
      </c>
      <c r="C31" s="118">
        <f t="shared" si="4"/>
        <v>99.9</v>
      </c>
      <c r="D31" s="2" cm="1">
        <f t="array" ref="D31">IF($A31="", "",
    IFERROR(
        _xlfn.SWITCH(
            TRUE,
            AND(Y31="USD", Transactions!$Q$2="USD"), AC31,
            AND(Y31="USD", Transactions!$Q$2="GBP"), AC31*Transactions!$Z$3,
            AND(Y31="USD", Transactions!$Q$2="HKD"), AC31*Transactions!$Z$4,
            AND(Y31="USD", Transactions!$Q$2="EUR"), AC31*Transactions!$Z$5,
            AND(Y31="GBP", Transactions!$Q$2="GBP"), AC31,
            AND(Y31="GBP", Transactions!$Q$2="USD"), AC31*Transactions!$Z$6,
            AND(Y31="GBP", Transactions!$Q$2="HKD"), AC31*Transactions!$Z$7,
            AND(Y31="HKG", Transactions!$Q$2="HKG"), AC31,
            AND(Y31="HKD", Transactions!$Q$2="USD"), AC31*Transactions!$Z$9,
            AND(Y31="HKD", Transactions!$Q$2="GBP"), AC31*Transactions!$Z$10,
            AND(Y31="HKD", Transactions!$Q$2="EUR"), AC31*Transactions!$Z$11,
            AND(Y31="EUR", Transactions!$Q$2="EUR"), AC31,
            AND(Y31="EUR", Transactions!$Q$2="USD"), AC31*Transactions!$Z$12,
            AND(Y31="EUR", Transactions!$Q$2="GBP"), AC31*Transactions!$Z$13,
            AND(Y31="EUR", Transactions!$Q$2="HKD"), AC31*Transactions!$Z$14,
        ),
        0
    )
)</f>
        <v>1.23</v>
      </c>
      <c r="E31" s="2" cm="1">
        <f t="array" ref="E31">IF($A31="", "",
    IFERROR(
        _xlfn.SWITCH(
            TRUE,
            AND(Y31="USD", Transactions!$Q$2="USD"), AD31,
            AND(Y31="USD", Transactions!$Q$2="GBP"), AD31*Transactions!$Z$3,
            AND(Y31="USD", Transactions!$Q$2="HKD"), AD31*Transactions!$Z$4,
            AND(Y31="USD", Transactions!$Q$2="EUR"), AD31*Transactions!$Z$5,
            AND(Y31="GBP", Transactions!$Q$2="GBP"), AD31,
            AND(Y31="GBP", Transactions!$Q$2="USD"), AD31*Transactions!$Z$6,
            AND(Y31="GBP", Transactions!$Q$2="HKD"), AD31*Transactions!$Z$7,
            AND(Y31="HKG", Transactions!$Q$2="HKG"), AD31,
            AND(Y31="HKD", Transactions!$Q$2="USD"), AD31*Transactions!$Z$9,
            AND(Y31="HKD", Transactions!$Q$2="GBP"), AD31*Transactions!$Z$10,
            AND(Y31="HKD", Transactions!$Q$2="EUR"), AD31*Transactions!$Z$11,
            AND(Y31="EUR", Transactions!$Q$2="EUR"), AD31,
            AND(Y31="EUR", Transactions!$Q$2="USD"), AD31*Transactions!$Z$12,
            AND(Y31="EUR", Transactions!$Q$2="GBP"), AD31*Transactions!$Z$13,
            AND(Y31="EUR", Transactions!$Q$2="HKD"), AD31*Transactions!$Z$14,
        ),
        0
    )
)</f>
        <v>1.21</v>
      </c>
      <c r="G31" s="121">
        <f t="shared" si="22"/>
        <v>5.3492100000000001E-2</v>
      </c>
      <c r="H31" s="34" cm="1">
        <f t="array" ref="H31">IF($A31="", "",
    IFERROR(
        _xlfn.SWITCH(
            TRUE,
            AND(Y31="USD", Transactions!$Q$2="USD"), AG31,
            AND(Y31="USD", Transactions!$Q$2="GBP"), AG31*Transactions!$Z$3,
            AND(Y31="USD", Transactions!$Q$2="HKD"), AG31*Transactions!$Z$4,
            AND(Y31="USD", Transactions!$Q$2="EUR"), AG31*Transactions!$Z$5,
            AND(Y31="GBP", Transactions!$Q$2="GBP"), AG31,
            AND(Y31="GBP", Transactions!$Q$2="USD"), AG31*Transactions!$Z$6,
            AND(Y31="GBP", Transactions!$Q$2="HKD"), AG31*Transactions!$Z$7,
            AND(Y31="HKG", Transactions!$Q$2="HKG"), AG31,
            AND(Y31="HKD", Transactions!$Q$2="USD"), AG31*Transactions!$Z$9,
            AND(Y31="HKD", Transactions!$Q$2="GBP"), AG31*Transactions!$Z$10,
            AND(Y31="HKD", Transactions!$Q$2="EUR"), AG31*Transactions!$Z$11,
            AND(Y31="EUR", Transactions!$Q$2="EUR"), AG31,
            AND(Y31="EUR", Transactions!$Q$2="USD"), AG31*Transactions!$Z$12,
            AND(Y31="EUR", Transactions!$Q$2="GBP"), AG31*Transactions!$Z$13,
            AND(Y31="EUR", Transactions!$Q$2="HKD"), AG31*Transactions!$Z$14,
        ),
        0
    )
)</f>
        <v>6.1633E-2</v>
      </c>
      <c r="I31" s="2" cm="1">
        <f t="array" ref="I31">IF($A31="", "",
    IFERROR(
        _xlfn.SWITCH(
            TRUE,
            AND(Y31="USD", Transactions!$Q$2="USD"), AH31,
            AND(Y31="USD", Transactions!$Q$2="GBP"), AH31*Transactions!$Z$3,
            AND(Y31="USD", Transactions!$Q$2="HKD"), AH31*Transactions!$Z$4,
            AND(Y31="USD", Transactions!$Q$2="EUR"), AH31*Transactions!$Z$5,
            AND(Y31="GBP", Transactions!$Q$2="GBP"), AH31,
            AND(Y31="GBP", Transactions!$Q$2="USD"), AH31*Transactions!$Z$6,
            AND(Y31="GBP", Transactions!$Q$2="HKD"), AH31*Transactions!$Z$7,
            AND(Y31="HKG", Transactions!$Q$2="HKG"), AH31,
            AND(Y31="HKD", Transactions!$Q$2="USD"), AH31*Transactions!$Z$9,
            AND(Y31="HKD", Transactions!$Q$2="GBP"), AH31*Transactions!$Z$10,
            AND(Y31="HKD", Transactions!$Q$2="EUR"), AH31*Transactions!$Z$11,
            AND(Y31="EUR", Transactions!$Q$2="EUR"), AH31,
            AND(Y31="EUR", Transactions!$Q$2="USD"), AH31*Transactions!$Z$12,
            AND(Y31="EUR", Transactions!$Q$2="GBP"), AH31*Transactions!$Z$13,
            AND(Y31="EUR", Transactions!$Q$2="HKD"), AH31*Transactions!$Z$14,
        ),
        0
    )
)</f>
        <v>122.87700000000001</v>
      </c>
      <c r="J31" s="2" cm="1">
        <f t="array" ref="J31">IF($A31="", "",
    IFERROR(
        _xlfn.SWITCH(
            TRUE,
            AND(Y31="USD", Transactions!$Q$2="USD"), AI31,
            AND(Y31="USD", Transactions!$Q$2="GBP"), AI31*Transactions!$Z$3,
            AND(Y31="USD", Transactions!$Q$2="HKD"), AI31*Transactions!$Z$4,
            AND(Y31="USD", Transactions!$Q$2="EUR"), AI31*Transactions!$Z$5,
            AND(Y31="GBP", Transactions!$Q$2="GBP"), AI31,
            AND(Y31="GBP", Transactions!$Q$2="USD"), AI31*Transactions!$Z$6,
            AND(Y31="GBP", Transactions!$Q$2="HKD"), AI31*Transactions!$Z$7,
            AND(Y31="HKG", Transactions!$Q$2="HKG"), AI31,
            AND(Y31="HKD", Transactions!$Q$2="USD"), AI31*Transactions!$Z$9,
            AND(Y31="HKD", Transactions!$Q$2="GBP"), AI31*Transactions!$Z$10,
            AND(Y31="HKD", Transactions!$Q$2="EUR"), AI31*Transactions!$Z$11,
            AND(Y31="EUR", Transactions!$Q$2="EUR"), AI31,
            AND(Y31="EUR", Transactions!$Q$2="USD"), AI31*Transactions!$Z$12,
            AND(Y31="EUR", Transactions!$Q$2="GBP"), AI31*Transactions!$Z$13,
            AND(Y31="EUR", Transactions!$Q$2="HKD"), AI31*Transactions!$Z$14,
        ),
        0
    )
)</f>
        <v>120.879</v>
      </c>
      <c r="K31" s="41">
        <f t="shared" si="23"/>
        <v>-1.6260162601626053E-2</v>
      </c>
      <c r="L31" s="2" cm="1">
        <f t="array" ref="L31">IF($A31="", "",
    IFERROR(
        _xlfn.SWITCH(
            TRUE,
            AND(Y31="USD", Transactions!$Q$2="USD"), AK31,
            AND(Y31="USD", Transactions!$Q$2="GBP"), AK31*Transactions!$Z$3,
            AND(Y31="USD", Transactions!$Q$2="HKD"), AK31*Transactions!$Z$4,
            AND(Y31="USD", Transactions!$Q$2="EUR"), AK31*Transactions!$Z$5,
            AND(Y31="GBP", Transactions!$Q$2="GBP"), AK31,
            AND(Y31="GBP", Transactions!$Q$2="USD"), AK31*Transactions!$Z$6,
            AND(Y31="GBP", Transactions!$Q$2="HKD"), AK31*Transactions!$Z$7,
            AND(Y31="HKG", Transactions!$Q$2="HKG"), AK31,
            AND(Y31="HKD", Transactions!$Q$2="USD"), AK31*Transactions!$Z$9,
            AND(Y31="HKD", Transactions!$Q$2="GBP"), AK31*Transactions!$Z$10,
            AND(Y31="HKD", Transactions!$Q$2="EUR"), AK31*Transactions!$Z$11,
            AND(Y31="EUR", Transactions!$Q$2="EUR"), AK31,
            AND(Y31="EUR", Transactions!$Q$2="USD"), AK31*Transactions!$Z$12,
            AND(Y31="EUR", Transactions!$Q$2="GBP"), AK31*Transactions!$Z$13,
            AND(Y31="EUR", Transactions!$Q$2="HKD"), AK31*Transactions!$Z$14,
        ),
        0
    )
)</f>
        <v>-1.9980000000000047</v>
      </c>
      <c r="M31" s="119" cm="1">
        <f t="array" ref="M31">IF($A31="", "",
    IFERROR(
        _xlfn.SWITCH(
            TRUE,
            AND(Y31="USD", Transactions!$Q$2="USD"), AL31,
            AND(Y31="USD", Transactions!$Q$2="GBP"), AL31*Transactions!$Z$3,
            AND(Y31="USD", Transactions!$Q$2="HKD"), AL31*Transactions!$Z$4,
            AND(Y31="USD", Transactions!$Q$2="EUR"), AL31*Transactions!$Z$5,
            AND(Y31="GBP", Transactions!$Q$2="GBP"), AL31,
            AND(Y31="GBP", Transactions!$Q$2="USD"), AL31*Transactions!$Z$6,
            AND(Y31="GBP", Transactions!$Q$2="HKD"), AL31*Transactions!$Z$7,
            AND(Y31="HKG", Transactions!$Q$2="HKG"), AL31,
            AND(Y31="HKD", Transactions!$Q$2="USD"), AL31*Transactions!$Z$9,
            AND(Y31="HKD", Transactions!$Q$2="GBP"), AL31*Transactions!$Z$10,
            AND(Y31="HKD", Transactions!$Q$2="EUR"), AL31*Transactions!$Z$11,
            AND(Y31="EUR", Transactions!$Q$2="EUR"), AL31,
            AND(Y31="EUR", Transactions!$Q$2="USD"), AL31*Transactions!$Z$12,
            AND(Y31="EUR", Transactions!$Q$2="GBP"), AL31*Transactions!$Z$13,
            AND(Y31="EUR", Transactions!$Q$2="HKD"), AL31*Transactions!$Z$14,
        ),
        0
    )
)</f>
        <v>0</v>
      </c>
      <c r="N31" s="120" cm="1">
        <f t="array" ref="N31">IF($A31="", "",
    IFERROR(
        _xlfn.SWITCH(
            TRUE,
            AND(Y31="USD", Transactions!$Q$2="USD"), AM31,
            AND(Y31="USD", Transactions!$Q$2="GBP"), AM31*Transactions!$Z$3,
            AND(Y31="USD", Transactions!$Q$2="HKD"), AM31*Transactions!$Z$4,
            AND(Y31="USD", Transactions!$Q$2="EUR"), AM31*Transactions!$Z$5,
            AND(Y31="GBP", Transactions!$Q$2="GBP"), AM31,
            AND(Y31="GBP", Transactions!$Q$2="USD"), AM31*Transactions!$Z$6,
            AND(Y31="GBP", Transactions!$Q$2="HKD"), AM31*Transactions!$Z$7,
            AND(Y31="HKG", Transactions!$Q$2="HKG"), AM31,
            AND(Y31="HKD", Transactions!$Q$2="USD"), AM31*Transactions!$Z$9,
            AND(Y31="HKD", Transactions!$Q$2="GBP"), AM31*Transactions!$Z$10,
            AND(Y31="HKD", Transactions!$Q$2="EUR"), AM31*Transactions!$Z$11,
            AND(Y31="EUR", Transactions!$Q$2="EUR"), AM31,
            AND(Y31="EUR", Transactions!$Q$2="USD"), AM31*Transactions!$Z$12,
            AND(Y31="EUR", Transactions!$Q$2="GBP"), AM31*Transactions!$Z$13,
            AND(Y31="EUR", Transactions!$Q$2="HKD"), AM31*Transactions!$Z$14,
        ),
        0
    )
)</f>
        <v>-1.9980000000000047</v>
      </c>
      <c r="O31" s="145"/>
      <c r="P31" s="145"/>
      <c r="Q31" s="41">
        <f t="shared" si="24"/>
        <v>7.5373311811687146E-4</v>
      </c>
      <c r="S31" s="41">
        <f t="shared" si="25"/>
        <v>7.5373311811687146E-4</v>
      </c>
      <c r="T31" s="1" t="str">
        <f t="shared" si="26"/>
        <v>Crypto</v>
      </c>
      <c r="U31" s="41">
        <f t="shared" si="27"/>
        <v>0.81515627319794193</v>
      </c>
      <c r="V31" s="41">
        <f t="shared" si="28"/>
        <v>0</v>
      </c>
      <c r="W31" s="41">
        <f t="shared" si="29"/>
        <v>0.81515627319794193</v>
      </c>
      <c r="X31" s="1" t="str">
        <f t="shared" si="29"/>
        <v>Gamefi</v>
      </c>
      <c r="Y31" s="17" t="str">
        <f>IFERROR(IF(ISBLANK(AA31), "", IF(VLOOKUP(AA31, Transactions!D:F, 3, FALSE) = "Stablecoin", AA31, INDEX(Transactions!$B$3:$B1035, MATCH(AA31, Transactions!$D$3:$D1035, 0)))), "")</f>
        <v>USD</v>
      </c>
      <c r="Z31" s="1" t="str">
        <f>_xlfn.XLOOKUP(AA31,Transactions!$D$3:$D$1007,Transactions!$E$3:$E$1007)</f>
        <v>Magic</v>
      </c>
      <c r="AA31" s="1" t="str">
        <v>MAGIC</v>
      </c>
      <c r="AB31" s="118" cm="1">
        <f t="array" ref="AB31">IF(ISBLANK(AA31), "",
    SUMPRODUCT(
        (Transactions!$D$3:$D$1007=AA31) *
        (Transactions!$H$3:$H$1007={"Cash Deposit","Crypto Deposit","Buy","Transfer Deposit","DRIP","Airdrop/Rewards"}) *
        Transactions!$I$3:$I$1007
    )
    - SUMPRODUCT(
        (Transactions!$D$3:$D$1007=AA31) *
        (Transactions!$H$3:$H$1007={"Sell","Transfer Send","Cash Withdrawal","Crypto Withdrawal"}) *
        Transactions!$I$3:$I$1007
    )
)</f>
        <v>99.9</v>
      </c>
      <c r="AC31" s="2" cm="1">
        <f t="array" ref="AC31">IF(ISBLANK(AA31), "", LOOKUP(2, 1/(Transactions!D:D=AA31), Transactions!P:P))</f>
        <v>1.23</v>
      </c>
      <c r="AD31" s="2" cm="1">
        <f t="array" ref="AD31">IF(ISBLANK(AA31),"",IFERROR(_FV(AA31,"price"),INDEX('CoinGeko API'!E:E,MATCH(Portfolio_v2!AA31,'CoinGeko API'!C:C,0))))</f>
        <v>1.21</v>
      </c>
      <c r="AF31" s="39" cm="1">
        <f t="array" ref="AF31">IF(ISBLANK(AA31),"",IFERROR(_FV(AA31,"Change (%)",TRUE),INDEX('CoinGeko API'!G:G,MATCH(Portfolio_v2!AA31,'CoinGeko API'!C:C,0))))</f>
        <v>5.3492100000000001E-2</v>
      </c>
      <c r="AG31" s="34" cm="1">
        <f t="array" ref="AG31">IF(ISBLANK(AA31),"",IFERROR(_FV(AA31,"change"),INDEX('CoinGeko API'!F:F,MATCH(Portfolio_v2!AA31,'CoinGeko API'!C:C,0))))</f>
        <v>6.1633E-2</v>
      </c>
      <c r="AH31" s="2">
        <f t="shared" si="13"/>
        <v>122.87700000000001</v>
      </c>
      <c r="AI31" s="2">
        <f t="shared" si="14"/>
        <v>120.879</v>
      </c>
      <c r="AJ31" s="40">
        <f t="shared" si="15"/>
        <v>-1.6260162601626053E-2</v>
      </c>
      <c r="AK31" s="2">
        <f t="shared" si="16"/>
        <v>-1.9980000000000047</v>
      </c>
      <c r="AL31" s="119">
        <f>IF(OR(ISBLANK(AA31), COUNTIFS(Transactions!$D$3:$D1035, AA31) = 0), "",
    SUMIFS(Transactions!$M$3:$M1035, Transactions!$H$3:$H1035, "Sell", Transactions!$D$3:$D1035, AA31) +
    SUMIFS(Transactions!$M$3:$M1035, Transactions!$H$3:$H1035, "Dividend", Transactions!$D$3:$D1035, AA31) -
    SUMIFS(Transactions!$M$3:$M1035, Transactions!$H$3:$H1035, "Buy", Transactions!$D$3:$D1035, AA31) -
    SUMIFS(Transactions!$M$3:$M1035, Transactions!$H$3:$H1035, "Crypto Deposit", Transactions!$D$3:$D1035, AA31) -
    SUMIFS(Transactions!$M$3:$M1035, Transactions!$H$3:$H1035, "DRIP", Transactions!$D$3:$D1035, AA31) +
    SUMIFS($AH$3:$AH1027, $AA$3:$AA1027, AA31) +
    SUMIFS(Transactions!$M$3:$M1035, Transactions!$L$3:$L1035, "Stablecoin", Transactions!$B$3:$B1035, AA31)
)</f>
        <v>0</v>
      </c>
      <c r="AM31" s="120">
        <f t="shared" si="17"/>
        <v>-1.9980000000000047</v>
      </c>
      <c r="AN31" s="145"/>
      <c r="AO31" s="145"/>
      <c r="AP31" s="41">
        <f t="shared" si="1"/>
        <v>7.5373311811687146E-4</v>
      </c>
      <c r="AR31" s="41">
        <f t="shared" si="18"/>
        <v>7.5373311811687146E-4</v>
      </c>
      <c r="AS31" s="1" t="str">
        <f>_xlfn.XLOOKUP(AA31,Transactions!$D$3:$D$1007,Transactions!$F$3:$F$1007)</f>
        <v>Crypto</v>
      </c>
      <c r="AT31" s="41">
        <f t="shared" si="19"/>
        <v>0.81515627319794193</v>
      </c>
      <c r="AU31" s="41">
        <f t="shared" si="20"/>
        <v>0</v>
      </c>
      <c r="AV31" s="41">
        <f t="shared" si="21"/>
        <v>0.81515627319794193</v>
      </c>
      <c r="AW31" s="18" t="s">
        <v>20</v>
      </c>
    </row>
    <row r="32" spans="1:49" ht="18" customHeight="1">
      <c r="A32" s="17" t="str">
        <f t="shared" si="2"/>
        <v>Manta Network</v>
      </c>
      <c r="B32" s="1" t="str">
        <f t="shared" si="3"/>
        <v>MANTA</v>
      </c>
      <c r="C32" s="118">
        <f t="shared" si="4"/>
        <v>127</v>
      </c>
      <c r="D32" s="2" cm="1">
        <f t="array" ref="D32">IF($A32="", "",
    IFERROR(
        _xlfn.SWITCH(
            TRUE,
            AND(Y32="USD", Transactions!$Q$2="USD"), AC32,
            AND(Y32="USD", Transactions!$Q$2="GBP"), AC32*Transactions!$Z$3,
            AND(Y32="USD", Transactions!$Q$2="HKD"), AC32*Transactions!$Z$4,
            AND(Y32="USD", Transactions!$Q$2="EUR"), AC32*Transactions!$Z$5,
            AND(Y32="GBP", Transactions!$Q$2="GBP"), AC32,
            AND(Y32="GBP", Transactions!$Q$2="USD"), AC32*Transactions!$Z$6,
            AND(Y32="GBP", Transactions!$Q$2="HKD"), AC32*Transactions!$Z$7,
            AND(Y32="HKG", Transactions!$Q$2="HKG"), AC32,
            AND(Y32="HKD", Transactions!$Q$2="USD"), AC32*Transactions!$Z$9,
            AND(Y32="HKD", Transactions!$Q$2="GBP"), AC32*Transactions!$Z$10,
            AND(Y32="HKD", Transactions!$Q$2="EUR"), AC32*Transactions!$Z$11,
            AND(Y32="EUR", Transactions!$Q$2="EUR"), AC32,
            AND(Y32="EUR", Transactions!$Q$2="USD"), AC32*Transactions!$Z$12,
            AND(Y32="EUR", Transactions!$Q$2="GBP"), AC32*Transactions!$Z$13,
            AND(Y32="EUR", Transactions!$Q$2="HKD"), AC32*Transactions!$Z$14,
        ),
        0
    )
)</f>
        <v>0</v>
      </c>
      <c r="E32" s="2" cm="1">
        <f t="array" ref="E32">IF($A32="", "",
    IFERROR(
        _xlfn.SWITCH(
            TRUE,
            AND(Y32="USD", Transactions!$Q$2="USD"), AD32,
            AND(Y32="USD", Transactions!$Q$2="GBP"), AD32*Transactions!$Z$3,
            AND(Y32="USD", Transactions!$Q$2="HKD"), AD32*Transactions!$Z$4,
            AND(Y32="USD", Transactions!$Q$2="EUR"), AD32*Transactions!$Z$5,
            AND(Y32="GBP", Transactions!$Q$2="GBP"), AD32,
            AND(Y32="GBP", Transactions!$Q$2="USD"), AD32*Transactions!$Z$6,
            AND(Y32="GBP", Transactions!$Q$2="HKD"), AD32*Transactions!$Z$7,
            AND(Y32="HKG", Transactions!$Q$2="HKG"), AD32,
            AND(Y32="HKD", Transactions!$Q$2="USD"), AD32*Transactions!$Z$9,
            AND(Y32="HKD", Transactions!$Q$2="GBP"), AD32*Transactions!$Z$10,
            AND(Y32="HKD", Transactions!$Q$2="EUR"), AD32*Transactions!$Z$11,
            AND(Y32="EUR", Transactions!$Q$2="EUR"), AD32,
            AND(Y32="EUR", Transactions!$Q$2="USD"), AD32*Transactions!$Z$12,
            AND(Y32="EUR", Transactions!$Q$2="GBP"), AD32*Transactions!$Z$13,
            AND(Y32="EUR", Transactions!$Q$2="HKD"), AD32*Transactions!$Z$14,
        ),
        0
    )
)</f>
        <v>3.23</v>
      </c>
      <c r="G32" s="121">
        <f t="shared" si="22"/>
        <v>4.90301E-2</v>
      </c>
      <c r="H32" s="34" cm="1">
        <f t="array" ref="H32">IF($A32="", "",
    IFERROR(
        _xlfn.SWITCH(
            TRUE,
            AND(Y32="USD", Transactions!$Q$2="USD"), AG32,
            AND(Y32="USD", Transactions!$Q$2="GBP"), AG32*Transactions!$Z$3,
            AND(Y32="USD", Transactions!$Q$2="HKD"), AG32*Transactions!$Z$4,
            AND(Y32="USD", Transactions!$Q$2="EUR"), AG32*Transactions!$Z$5,
            AND(Y32="GBP", Transactions!$Q$2="GBP"), AG32,
            AND(Y32="GBP", Transactions!$Q$2="USD"), AG32*Transactions!$Z$6,
            AND(Y32="GBP", Transactions!$Q$2="HKD"), AG32*Transactions!$Z$7,
            AND(Y32="HKG", Transactions!$Q$2="HKG"), AG32,
            AND(Y32="HKD", Transactions!$Q$2="USD"), AG32*Transactions!$Z$9,
            AND(Y32="HKD", Transactions!$Q$2="GBP"), AG32*Transactions!$Z$10,
            AND(Y32="HKD", Transactions!$Q$2="EUR"), AG32*Transactions!$Z$11,
            AND(Y32="EUR", Transactions!$Q$2="EUR"), AG32,
            AND(Y32="EUR", Transactions!$Q$2="USD"), AG32*Transactions!$Z$12,
            AND(Y32="EUR", Transactions!$Q$2="GBP"), AG32*Transactions!$Z$13,
            AND(Y32="EUR", Transactions!$Q$2="HKD"), AG32*Transactions!$Z$14,
        ),
        0
    )
)</f>
        <v>0.15113699999999999</v>
      </c>
      <c r="I32" s="2" cm="1">
        <f t="array" ref="I32">IF($A32="", "",
    IFERROR(
        _xlfn.SWITCH(
            TRUE,
            AND(Y32="USD", Transactions!$Q$2="USD"), AH32,
            AND(Y32="USD", Transactions!$Q$2="GBP"), AH32*Transactions!$Z$3,
            AND(Y32="USD", Transactions!$Q$2="HKD"), AH32*Transactions!$Z$4,
            AND(Y32="USD", Transactions!$Q$2="EUR"), AH32*Transactions!$Z$5,
            AND(Y32="GBP", Transactions!$Q$2="GBP"), AH32,
            AND(Y32="GBP", Transactions!$Q$2="USD"), AH32*Transactions!$Z$6,
            AND(Y32="GBP", Transactions!$Q$2="HKD"), AH32*Transactions!$Z$7,
            AND(Y32="HKG", Transactions!$Q$2="HKG"), AH32,
            AND(Y32="HKD", Transactions!$Q$2="USD"), AH32*Transactions!$Z$9,
            AND(Y32="HKD", Transactions!$Q$2="GBP"), AH32*Transactions!$Z$10,
            AND(Y32="HKD", Transactions!$Q$2="EUR"), AH32*Transactions!$Z$11,
            AND(Y32="EUR", Transactions!$Q$2="EUR"), AH32,
            AND(Y32="EUR", Transactions!$Q$2="USD"), AH32*Transactions!$Z$12,
            AND(Y32="EUR", Transactions!$Q$2="GBP"), AH32*Transactions!$Z$13,
            AND(Y32="EUR", Transactions!$Q$2="HKD"), AH32*Transactions!$Z$14,
        ),
        0
    )
)</f>
        <v>0</v>
      </c>
      <c r="J32" s="2" cm="1">
        <f t="array" ref="J32">IF($A32="", "",
    IFERROR(
        _xlfn.SWITCH(
            TRUE,
            AND(Y32="USD", Transactions!$Q$2="USD"), AI32,
            AND(Y32="USD", Transactions!$Q$2="GBP"), AI32*Transactions!$Z$3,
            AND(Y32="USD", Transactions!$Q$2="HKD"), AI32*Transactions!$Z$4,
            AND(Y32="USD", Transactions!$Q$2="EUR"), AI32*Transactions!$Z$5,
            AND(Y32="GBP", Transactions!$Q$2="GBP"), AI32,
            AND(Y32="GBP", Transactions!$Q$2="USD"), AI32*Transactions!$Z$6,
            AND(Y32="GBP", Transactions!$Q$2="HKD"), AI32*Transactions!$Z$7,
            AND(Y32="HKG", Transactions!$Q$2="HKG"), AI32,
            AND(Y32="HKD", Transactions!$Q$2="USD"), AI32*Transactions!$Z$9,
            AND(Y32="HKD", Transactions!$Q$2="GBP"), AI32*Transactions!$Z$10,
            AND(Y32="HKD", Transactions!$Q$2="EUR"), AI32*Transactions!$Z$11,
            AND(Y32="EUR", Transactions!$Q$2="EUR"), AI32,
            AND(Y32="EUR", Transactions!$Q$2="USD"), AI32*Transactions!$Z$12,
            AND(Y32="EUR", Transactions!$Q$2="GBP"), AI32*Transactions!$Z$13,
            AND(Y32="EUR", Transactions!$Q$2="HKD"), AI32*Transactions!$Z$14,
        ),
        0
    )
)</f>
        <v>410.21</v>
      </c>
      <c r="K32" s="41">
        <f t="shared" si="23"/>
        <v>0</v>
      </c>
      <c r="L32" s="2" cm="1">
        <f t="array" ref="L32">IF($A32="", "",
    IFERROR(
        _xlfn.SWITCH(
            TRUE,
            AND(Y32="USD", Transactions!$Q$2="USD"), AK32,
            AND(Y32="USD", Transactions!$Q$2="GBP"), AK32*Transactions!$Z$3,
            AND(Y32="USD", Transactions!$Q$2="HKD"), AK32*Transactions!$Z$4,
            AND(Y32="USD", Transactions!$Q$2="EUR"), AK32*Transactions!$Z$5,
            AND(Y32="GBP", Transactions!$Q$2="GBP"), AK32,
            AND(Y32="GBP", Transactions!$Q$2="USD"), AK32*Transactions!$Z$6,
            AND(Y32="GBP", Transactions!$Q$2="HKD"), AK32*Transactions!$Z$7,
            AND(Y32="HKG", Transactions!$Q$2="HKG"), AK32,
            AND(Y32="HKD", Transactions!$Q$2="USD"), AK32*Transactions!$Z$9,
            AND(Y32="HKD", Transactions!$Q$2="GBP"), AK32*Transactions!$Z$10,
            AND(Y32="HKD", Transactions!$Q$2="EUR"), AK32*Transactions!$Z$11,
            AND(Y32="EUR", Transactions!$Q$2="EUR"), AK32,
            AND(Y32="EUR", Transactions!$Q$2="USD"), AK32*Transactions!$Z$12,
            AND(Y32="EUR", Transactions!$Q$2="GBP"), AK32*Transactions!$Z$13,
            AND(Y32="EUR", Transactions!$Q$2="HKD"), AK32*Transactions!$Z$14,
        ),
        0
    )
)</f>
        <v>410.21</v>
      </c>
      <c r="M32" s="119" cm="1">
        <f t="array" ref="M32">IF($A32="", "",
    IFERROR(
        _xlfn.SWITCH(
            TRUE,
            AND(Y32="USD", Transactions!$Q$2="USD"), AL32,
            AND(Y32="USD", Transactions!$Q$2="GBP"), AL32*Transactions!$Z$3,
            AND(Y32="USD", Transactions!$Q$2="HKD"), AL32*Transactions!$Z$4,
            AND(Y32="USD", Transactions!$Q$2="EUR"), AL32*Transactions!$Z$5,
            AND(Y32="GBP", Transactions!$Q$2="GBP"), AL32,
            AND(Y32="GBP", Transactions!$Q$2="USD"), AL32*Transactions!$Z$6,
            AND(Y32="GBP", Transactions!$Q$2="HKD"), AL32*Transactions!$Z$7,
            AND(Y32="HKG", Transactions!$Q$2="HKG"), AL32,
            AND(Y32="HKD", Transactions!$Q$2="USD"), AL32*Transactions!$Z$9,
            AND(Y32="HKD", Transactions!$Q$2="GBP"), AL32*Transactions!$Z$10,
            AND(Y32="HKD", Transactions!$Q$2="EUR"), AL32*Transactions!$Z$11,
            AND(Y32="EUR", Transactions!$Q$2="EUR"), AL32,
            AND(Y32="EUR", Transactions!$Q$2="USD"), AL32*Transactions!$Z$12,
            AND(Y32="EUR", Transactions!$Q$2="GBP"), AL32*Transactions!$Z$13,
            AND(Y32="EUR", Transactions!$Q$2="HKD"), AL32*Transactions!$Z$14,
        ),
        0
    )
)</f>
        <v>34.749200000000002</v>
      </c>
      <c r="N32" s="120" cm="1">
        <f t="array" ref="N32">IF($A32="", "",
    IFERROR(
        _xlfn.SWITCH(
            TRUE,
            AND(Y32="USD", Transactions!$Q$2="USD"), AM32,
            AND(Y32="USD", Transactions!$Q$2="GBP"), AM32*Transactions!$Z$3,
            AND(Y32="USD", Transactions!$Q$2="HKD"), AM32*Transactions!$Z$4,
            AND(Y32="USD", Transactions!$Q$2="EUR"), AM32*Transactions!$Z$5,
            AND(Y32="GBP", Transactions!$Q$2="GBP"), AM32,
            AND(Y32="GBP", Transactions!$Q$2="USD"), AM32*Transactions!$Z$6,
            AND(Y32="GBP", Transactions!$Q$2="HKD"), AM32*Transactions!$Z$7,
            AND(Y32="HKG", Transactions!$Q$2="HKG"), AM32,
            AND(Y32="HKD", Transactions!$Q$2="USD"), AM32*Transactions!$Z$9,
            AND(Y32="HKD", Transactions!$Q$2="GBP"), AM32*Transactions!$Z$10,
            AND(Y32="HKD", Transactions!$Q$2="EUR"), AM32*Transactions!$Z$11,
            AND(Y32="EUR", Transactions!$Q$2="EUR"), AM32,
            AND(Y32="EUR", Transactions!$Q$2="USD"), AM32*Transactions!$Z$12,
            AND(Y32="EUR", Transactions!$Q$2="GBP"), AM32*Transactions!$Z$13,
            AND(Y32="EUR", Transactions!$Q$2="HKD"), AM32*Transactions!$Z$14,
        ),
        0
    )
)</f>
        <v>444.95920000000001</v>
      </c>
      <c r="O32" s="145"/>
      <c r="P32" s="145"/>
      <c r="Q32" s="41">
        <f t="shared" si="24"/>
        <v>2.5578376920947546E-3</v>
      </c>
      <c r="S32" s="41">
        <f t="shared" si="25"/>
        <v>2.5578376920947546E-3</v>
      </c>
      <c r="T32" s="1" t="str">
        <f t="shared" si="26"/>
        <v>Crypto</v>
      </c>
      <c r="U32" s="41">
        <f t="shared" si="27"/>
        <v>0.81515627319794193</v>
      </c>
      <c r="V32" s="41">
        <f t="shared" si="28"/>
        <v>0</v>
      </c>
      <c r="W32" s="41">
        <f t="shared" si="29"/>
        <v>0.81515627319794193</v>
      </c>
      <c r="X32" s="1" t="str">
        <f t="shared" si="29"/>
        <v>Luanchpool</v>
      </c>
      <c r="Y32" s="17" t="str">
        <f>IFERROR(IF(ISBLANK(AA32), "", IF(VLOOKUP(AA32, Transactions!D:F, 3, FALSE) = "Stablecoin", AA32, INDEX(Transactions!$B$3:$B1036, MATCH(AA32, Transactions!$D$3:$D1036, 0)))), "")</f>
        <v>USD</v>
      </c>
      <c r="Z32" s="1" t="str">
        <f>_xlfn.XLOOKUP(AA32,Transactions!$D$3:$D$1007,Transactions!$E$3:$E$1007)</f>
        <v>Manta Network</v>
      </c>
      <c r="AA32" s="1" t="str">
        <v>MANTA</v>
      </c>
      <c r="AB32" s="118" cm="1">
        <f t="array" ref="AB32">IF(ISBLANK(AA32), "",
    SUMPRODUCT(
        (Transactions!$D$3:$D$1007=AA32) *
        (Transactions!$H$3:$H$1007={"Cash Deposit","Crypto Deposit","Buy","Transfer Deposit","DRIP","Airdrop/Rewards"}) *
        Transactions!$I$3:$I$1007
    )
    - SUMPRODUCT(
        (Transactions!$D$3:$D$1007=AA32) *
        (Transactions!$H$3:$H$1007={"Sell","Transfer Send","Cash Withdrawal","Crypto Withdrawal"}) *
        Transactions!$I$3:$I$1007
    )
)</f>
        <v>127</v>
      </c>
      <c r="AC32" s="2" cm="1">
        <f t="array" ref="AC32">IF(ISBLANK(AA32), "", LOOKUP(2, 1/(Transactions!D:D=AA32), Transactions!P:P))</f>
        <v>0</v>
      </c>
      <c r="AD32" s="2" cm="1">
        <f t="array" ref="AD32">IF(ISBLANK(AA32),"",IFERROR(_FV(AA32,"price"),INDEX('CoinGeko API'!E:E,MATCH(Portfolio_v2!AA32,'CoinGeko API'!C:C,0))))</f>
        <v>3.23</v>
      </c>
      <c r="AF32" s="39" cm="1">
        <f t="array" ref="AF32">IF(ISBLANK(AA32),"",IFERROR(_FV(AA32,"Change (%)",TRUE),INDEX('CoinGeko API'!G:G,MATCH(Portfolio_v2!AA32,'CoinGeko API'!C:C,0))))</f>
        <v>4.90301E-2</v>
      </c>
      <c r="AG32" s="34" cm="1">
        <f t="array" ref="AG32">IF(ISBLANK(AA32),"",IFERROR(_FV(AA32,"change"),INDEX('CoinGeko API'!F:F,MATCH(Portfolio_v2!AA32,'CoinGeko API'!C:C,0))))</f>
        <v>0.15113699999999999</v>
      </c>
      <c r="AH32" s="2">
        <f t="shared" si="13"/>
        <v>0</v>
      </c>
      <c r="AI32" s="2">
        <f t="shared" si="14"/>
        <v>410.21</v>
      </c>
      <c r="AJ32" s="40">
        <f t="shared" si="15"/>
        <v>0</v>
      </c>
      <c r="AK32" s="2">
        <f t="shared" si="16"/>
        <v>410.21</v>
      </c>
      <c r="AL32" s="119">
        <f>IF(OR(ISBLANK(AA32), COUNTIFS(Transactions!$D$3:$D1036, AA32) = 0), "",
    SUMIFS(Transactions!$M$3:$M1036, Transactions!$H$3:$H1036, "Sell", Transactions!$D$3:$D1036, AA32) +
    SUMIFS(Transactions!$M$3:$M1036, Transactions!$H$3:$H1036, "Dividend", Transactions!$D$3:$D1036, AA32) -
    SUMIFS(Transactions!$M$3:$M1036, Transactions!$H$3:$H1036, "Buy", Transactions!$D$3:$D1036, AA32) -
    SUMIFS(Transactions!$M$3:$M1036, Transactions!$H$3:$H1036, "Crypto Deposit", Transactions!$D$3:$D1036, AA32) -
    SUMIFS(Transactions!$M$3:$M1036, Transactions!$H$3:$H1036, "DRIP", Transactions!$D$3:$D1036, AA32) +
    SUMIFS($AH$3:$AH1028, $AA$3:$AA1028, AA32) +
    SUMIFS(Transactions!$M$3:$M1036, Transactions!$L$3:$L1036, "Stablecoin", Transactions!$B$3:$B1036, AA32)
)</f>
        <v>34.749200000000002</v>
      </c>
      <c r="AM32" s="120">
        <f t="shared" si="17"/>
        <v>444.95920000000001</v>
      </c>
      <c r="AN32" s="145"/>
      <c r="AO32" s="145"/>
      <c r="AP32" s="41">
        <f t="shared" si="1"/>
        <v>2.5578376920947546E-3</v>
      </c>
      <c r="AR32" s="41">
        <f t="shared" si="18"/>
        <v>2.5578376920947546E-3</v>
      </c>
      <c r="AS32" s="1" t="str">
        <f>_xlfn.XLOOKUP(AA32,Transactions!$D$3:$D$1007,Transactions!$F$3:$F$1007)</f>
        <v>Crypto</v>
      </c>
      <c r="AT32" s="41">
        <f t="shared" si="19"/>
        <v>0.81515627319794193</v>
      </c>
      <c r="AU32" s="41">
        <f t="shared" si="20"/>
        <v>0</v>
      </c>
      <c r="AV32" s="41">
        <f t="shared" si="21"/>
        <v>0.81515627319794193</v>
      </c>
      <c r="AW32" s="18" t="s">
        <v>478</v>
      </c>
    </row>
    <row r="33" spans="1:49" ht="18" customHeight="1">
      <c r="A33" s="17" t="str">
        <f t="shared" si="2"/>
        <v>Polygon</v>
      </c>
      <c r="B33" s="1" t="str">
        <f t="shared" si="3"/>
        <v>MATIC</v>
      </c>
      <c r="C33" s="118">
        <f t="shared" si="4"/>
        <v>911.56389999999999</v>
      </c>
      <c r="D33" s="2" cm="1">
        <f t="array" ref="D33">IF($A33="", "",
    IFERROR(
        _xlfn.SWITCH(
            TRUE,
            AND(Y33="USD", Transactions!$Q$2="USD"), AC33,
            AND(Y33="USD", Transactions!$Q$2="GBP"), AC33*Transactions!$Z$3,
            AND(Y33="USD", Transactions!$Q$2="HKD"), AC33*Transactions!$Z$4,
            AND(Y33="USD", Transactions!$Q$2="EUR"), AC33*Transactions!$Z$5,
            AND(Y33="GBP", Transactions!$Q$2="GBP"), AC33,
            AND(Y33="GBP", Transactions!$Q$2="USD"), AC33*Transactions!$Z$6,
            AND(Y33="GBP", Transactions!$Q$2="HKD"), AC33*Transactions!$Z$7,
            AND(Y33="HKG", Transactions!$Q$2="HKG"), AC33,
            AND(Y33="HKD", Transactions!$Q$2="USD"), AC33*Transactions!$Z$9,
            AND(Y33="HKD", Transactions!$Q$2="GBP"), AC33*Transactions!$Z$10,
            AND(Y33="HKD", Transactions!$Q$2="EUR"), AC33*Transactions!$Z$11,
            AND(Y33="EUR", Transactions!$Q$2="EUR"), AC33,
            AND(Y33="EUR", Transactions!$Q$2="USD"), AC33*Transactions!$Z$12,
            AND(Y33="EUR", Transactions!$Q$2="GBP"), AC33*Transactions!$Z$13,
            AND(Y33="EUR", Transactions!$Q$2="HKD"), AC33*Transactions!$Z$14,
        ),
        0
    )
)</f>
        <v>0.84992391646926779</v>
      </c>
      <c r="E33" s="2" cm="1">
        <f t="array" ref="E33">IF($A33="", "",
    IFERROR(
        _xlfn.SWITCH(
            TRUE,
            AND(Y33="USD", Transactions!$Q$2="USD"), AD33,
            AND(Y33="USD", Transactions!$Q$2="GBP"), AD33*Transactions!$Z$3,
            AND(Y33="USD", Transactions!$Q$2="HKD"), AD33*Transactions!$Z$4,
            AND(Y33="USD", Transactions!$Q$2="EUR"), AD33*Transactions!$Z$5,
            AND(Y33="GBP", Transactions!$Q$2="GBP"), AD33,
            AND(Y33="GBP", Transactions!$Q$2="USD"), AD33*Transactions!$Z$6,
            AND(Y33="GBP", Transactions!$Q$2="HKD"), AD33*Transactions!$Z$7,
            AND(Y33="HKG", Transactions!$Q$2="HKG"), AD33,
            AND(Y33="HKD", Transactions!$Q$2="USD"), AD33*Transactions!$Z$9,
            AND(Y33="HKD", Transactions!$Q$2="GBP"), AD33*Transactions!$Z$10,
            AND(Y33="HKD", Transactions!$Q$2="EUR"), AD33*Transactions!$Z$11,
            AND(Y33="EUR", Transactions!$Q$2="EUR"), AD33,
            AND(Y33="EUR", Transactions!$Q$2="USD"), AD33*Transactions!$Z$12,
            AND(Y33="EUR", Transactions!$Q$2="GBP"), AD33*Transactions!$Z$13,
            AND(Y33="EUR", Transactions!$Q$2="HKD"), AD33*Transactions!$Z$14,
        ),
        0
    )
)</f>
        <v>1.054</v>
      </c>
      <c r="G33" s="121">
        <f t="shared" si="22"/>
        <v>4.0918700000000002E-2</v>
      </c>
      <c r="H33" s="34" cm="1">
        <f t="array" ref="H33">IF($A33="", "",
    IFERROR(
        _xlfn.SWITCH(
            TRUE,
            AND(Y33="USD", Transactions!$Q$2="USD"), AG33,
            AND(Y33="USD", Transactions!$Q$2="GBP"), AG33*Transactions!$Z$3,
            AND(Y33="USD", Transactions!$Q$2="HKD"), AG33*Transactions!$Z$4,
            AND(Y33="USD", Transactions!$Q$2="EUR"), AG33*Transactions!$Z$5,
            AND(Y33="GBP", Transactions!$Q$2="GBP"), AG33,
            AND(Y33="GBP", Transactions!$Q$2="USD"), AG33*Transactions!$Z$6,
            AND(Y33="GBP", Transactions!$Q$2="HKD"), AG33*Transactions!$Z$7,
            AND(Y33="HKG", Transactions!$Q$2="HKG"), AG33,
            AND(Y33="HKD", Transactions!$Q$2="USD"), AG33*Transactions!$Z$9,
            AND(Y33="HKD", Transactions!$Q$2="GBP"), AG33*Transactions!$Z$10,
            AND(Y33="HKD", Transactions!$Q$2="EUR"), AG33*Transactions!$Z$11,
            AND(Y33="EUR", Transactions!$Q$2="EUR"), AG33,
            AND(Y33="EUR", Transactions!$Q$2="USD"), AG33*Transactions!$Z$12,
            AND(Y33="EUR", Transactions!$Q$2="GBP"), AG33*Transactions!$Z$13,
            AND(Y33="EUR", Transactions!$Q$2="HKD"), AG33*Transactions!$Z$14,
        ),
        0
    )
)</f>
        <v>4.1437000000000002E-2</v>
      </c>
      <c r="I33" s="2" cm="1">
        <f t="array" ref="I33">IF($A33="", "",
    IFERROR(
        _xlfn.SWITCH(
            TRUE,
            AND(Y33="USD", Transactions!$Q$2="USD"), AH33,
            AND(Y33="USD", Transactions!$Q$2="GBP"), AH33*Transactions!$Z$3,
            AND(Y33="USD", Transactions!$Q$2="HKD"), AH33*Transactions!$Z$4,
            AND(Y33="USD", Transactions!$Q$2="EUR"), AH33*Transactions!$Z$5,
            AND(Y33="GBP", Transactions!$Q$2="GBP"), AH33,
            AND(Y33="GBP", Transactions!$Q$2="USD"), AH33*Transactions!$Z$6,
            AND(Y33="GBP", Transactions!$Q$2="HKD"), AH33*Transactions!$Z$7,
            AND(Y33="HKG", Transactions!$Q$2="HKG"), AH33,
            AND(Y33="HKD", Transactions!$Q$2="USD"), AH33*Transactions!$Z$9,
            AND(Y33="HKD", Transactions!$Q$2="GBP"), AH33*Transactions!$Z$10,
            AND(Y33="HKD", Transactions!$Q$2="EUR"), AH33*Transactions!$Z$11,
            AND(Y33="EUR", Transactions!$Q$2="EUR"), AH33,
            AND(Y33="EUR", Transactions!$Q$2="USD"), AH33*Transactions!$Z$12,
            AND(Y33="EUR", Transactions!$Q$2="GBP"), AH33*Transactions!$Z$13,
            AND(Y33="EUR", Transactions!$Q$2="HKD"), AH33*Transactions!$Z$14,
        ),
        0
    )
)</f>
        <v>774.75995999999998</v>
      </c>
      <c r="J33" s="2" cm="1">
        <f t="array" ref="J33">IF($A33="", "",
    IFERROR(
        _xlfn.SWITCH(
            TRUE,
            AND(Y33="USD", Transactions!$Q$2="USD"), AI33,
            AND(Y33="USD", Transactions!$Q$2="GBP"), AI33*Transactions!$Z$3,
            AND(Y33="USD", Transactions!$Q$2="HKD"), AI33*Transactions!$Z$4,
            AND(Y33="USD", Transactions!$Q$2="EUR"), AI33*Transactions!$Z$5,
            AND(Y33="GBP", Transactions!$Q$2="GBP"), AI33,
            AND(Y33="GBP", Transactions!$Q$2="USD"), AI33*Transactions!$Z$6,
            AND(Y33="GBP", Transactions!$Q$2="HKD"), AI33*Transactions!$Z$7,
            AND(Y33="HKG", Transactions!$Q$2="HKG"), AI33,
            AND(Y33="HKD", Transactions!$Q$2="USD"), AI33*Transactions!$Z$9,
            AND(Y33="HKD", Transactions!$Q$2="GBP"), AI33*Transactions!$Z$10,
            AND(Y33="HKD", Transactions!$Q$2="EUR"), AI33*Transactions!$Z$11,
            AND(Y33="EUR", Transactions!$Q$2="EUR"), AI33,
            AND(Y33="EUR", Transactions!$Q$2="USD"), AI33*Transactions!$Z$12,
            AND(Y33="EUR", Transactions!$Q$2="GBP"), AI33*Transactions!$Z$13,
            AND(Y33="EUR", Transactions!$Q$2="HKD"), AI33*Transactions!$Z$14,
        ),
        0
    )
)</f>
        <v>960.78835060000006</v>
      </c>
      <c r="K33" s="41">
        <f t="shared" si="23"/>
        <v>0.24011100238066005</v>
      </c>
      <c r="L33" s="2" cm="1">
        <f t="array" ref="L33">IF($A33="", "",
    IFERROR(
        _xlfn.SWITCH(
            TRUE,
            AND(Y33="USD", Transactions!$Q$2="USD"), AK33,
            AND(Y33="USD", Transactions!$Q$2="GBP"), AK33*Transactions!$Z$3,
            AND(Y33="USD", Transactions!$Q$2="HKD"), AK33*Transactions!$Z$4,
            AND(Y33="USD", Transactions!$Q$2="EUR"), AK33*Transactions!$Z$5,
            AND(Y33="GBP", Transactions!$Q$2="GBP"), AK33,
            AND(Y33="GBP", Transactions!$Q$2="USD"), AK33*Transactions!$Z$6,
            AND(Y33="GBP", Transactions!$Q$2="HKD"), AK33*Transactions!$Z$7,
            AND(Y33="HKG", Transactions!$Q$2="HKG"), AK33,
            AND(Y33="HKD", Transactions!$Q$2="USD"), AK33*Transactions!$Z$9,
            AND(Y33="HKD", Transactions!$Q$2="GBP"), AK33*Transactions!$Z$10,
            AND(Y33="HKD", Transactions!$Q$2="EUR"), AK33*Transactions!$Z$11,
            AND(Y33="EUR", Transactions!$Q$2="EUR"), AK33,
            AND(Y33="EUR", Transactions!$Q$2="USD"), AK33*Transactions!$Z$12,
            AND(Y33="EUR", Transactions!$Q$2="GBP"), AK33*Transactions!$Z$13,
            AND(Y33="EUR", Transactions!$Q$2="HKD"), AK33*Transactions!$Z$14,
        ),
        0
    )
)</f>
        <v>186.02839060000008</v>
      </c>
      <c r="M33" s="119" cm="1">
        <f t="array" ref="M33">IF($A33="", "",
    IFERROR(
        _xlfn.SWITCH(
            TRUE,
            AND(Y33="USD", Transactions!$Q$2="USD"), AL33,
            AND(Y33="USD", Transactions!$Q$2="GBP"), AL33*Transactions!$Z$3,
            AND(Y33="USD", Transactions!$Q$2="HKD"), AL33*Transactions!$Z$4,
            AND(Y33="USD", Transactions!$Q$2="EUR"), AL33*Transactions!$Z$5,
            AND(Y33="GBP", Transactions!$Q$2="GBP"), AL33,
            AND(Y33="GBP", Transactions!$Q$2="USD"), AL33*Transactions!$Z$6,
            AND(Y33="GBP", Transactions!$Q$2="HKD"), AL33*Transactions!$Z$7,
            AND(Y33="HKG", Transactions!$Q$2="HKG"), AL33,
            AND(Y33="HKD", Transactions!$Q$2="USD"), AL33*Transactions!$Z$9,
            AND(Y33="HKD", Transactions!$Q$2="GBP"), AL33*Transactions!$Z$10,
            AND(Y33="HKD", Transactions!$Q$2="EUR"), AL33*Transactions!$Z$11,
            AND(Y33="EUR", Transactions!$Q$2="EUR"), AL33,
            AND(Y33="EUR", Transactions!$Q$2="USD"), AL33*Transactions!$Z$12,
            AND(Y33="EUR", Transactions!$Q$2="GBP"), AL33*Transactions!$Z$13,
            AND(Y33="EUR", Transactions!$Q$2="HKD"), AL33*Transactions!$Z$14,
        ),
        0
    )
)</f>
        <v>0</v>
      </c>
      <c r="N33" s="120" cm="1">
        <f t="array" ref="N33">IF($A33="", "",
    IFERROR(
        _xlfn.SWITCH(
            TRUE,
            AND(Y33="USD", Transactions!$Q$2="USD"), AM33,
            AND(Y33="USD", Transactions!$Q$2="GBP"), AM33*Transactions!$Z$3,
            AND(Y33="USD", Transactions!$Q$2="HKD"), AM33*Transactions!$Z$4,
            AND(Y33="USD", Transactions!$Q$2="EUR"), AM33*Transactions!$Z$5,
            AND(Y33="GBP", Transactions!$Q$2="GBP"), AM33,
            AND(Y33="GBP", Transactions!$Q$2="USD"), AM33*Transactions!$Z$6,
            AND(Y33="GBP", Transactions!$Q$2="HKD"), AM33*Transactions!$Z$7,
            AND(Y33="HKG", Transactions!$Q$2="HKG"), AM33,
            AND(Y33="HKD", Transactions!$Q$2="USD"), AM33*Transactions!$Z$9,
            AND(Y33="HKD", Transactions!$Q$2="GBP"), AM33*Transactions!$Z$10,
            AND(Y33="HKD", Transactions!$Q$2="EUR"), AM33*Transactions!$Z$11,
            AND(Y33="EUR", Transactions!$Q$2="EUR"), AM33,
            AND(Y33="EUR", Transactions!$Q$2="USD"), AM33*Transactions!$Z$12,
            AND(Y33="EUR", Transactions!$Q$2="GBP"), AM33*Transactions!$Z$13,
            AND(Y33="EUR", Transactions!$Q$2="HKD"), AM33*Transactions!$Z$14,
        ),
        0
    )
)</f>
        <v>186.02839060000008</v>
      </c>
      <c r="O33" s="145"/>
      <c r="P33" s="145"/>
      <c r="Q33" s="41">
        <f t="shared" si="24"/>
        <v>5.9909330764492093E-3</v>
      </c>
      <c r="S33" s="41">
        <f t="shared" si="25"/>
        <v>5.9909330764492093E-3</v>
      </c>
      <c r="T33" s="1" t="str">
        <f t="shared" si="26"/>
        <v>Crypto</v>
      </c>
      <c r="U33" s="41">
        <f t="shared" si="27"/>
        <v>0.81515627319794193</v>
      </c>
      <c r="V33" s="41">
        <f t="shared" si="28"/>
        <v>0</v>
      </c>
      <c r="W33" s="41">
        <f t="shared" si="29"/>
        <v>0.81515627319794193</v>
      </c>
      <c r="X33" s="1" t="str">
        <f t="shared" si="29"/>
        <v>Layer 2</v>
      </c>
      <c r="Y33" s="17" t="str">
        <f>IFERROR(IF(ISBLANK(AA33), "", IF(VLOOKUP(AA33, Transactions!D:F, 3, FALSE) = "Stablecoin", AA33, INDEX(Transactions!$B$3:$B1037, MATCH(AA33, Transactions!$D$3:$D1037, 0)))), "")</f>
        <v>USD</v>
      </c>
      <c r="Z33" s="1" t="str">
        <f>_xlfn.XLOOKUP(AA33,Transactions!$D$3:$D$1007,Transactions!$E$3:$E$1007)</f>
        <v>Polygon</v>
      </c>
      <c r="AA33" s="1" t="str">
        <v>MATIC</v>
      </c>
      <c r="AB33" s="118" cm="1">
        <f t="array" ref="AB33">IF(ISBLANK(AA33), "",
    SUMPRODUCT(
        (Transactions!$D$3:$D$1007=AA33) *
        (Transactions!$H$3:$H$1007={"Cash Deposit","Crypto Deposit","Buy","Transfer Deposit","DRIP","Airdrop/Rewards"}) *
        Transactions!$I$3:$I$1007
    )
    - SUMPRODUCT(
        (Transactions!$D$3:$D$1007=AA33) *
        (Transactions!$H$3:$H$1007={"Sell","Transfer Send","Cash Withdrawal","Crypto Withdrawal"}) *
        Transactions!$I$3:$I$1007
    )
)</f>
        <v>911.56389999999999</v>
      </c>
      <c r="AC33" s="2" cm="1">
        <f t="array" ref="AC33">IF(ISBLANK(AA33), "", LOOKUP(2, 1/(Transactions!D:D=AA33), Transactions!P:P))</f>
        <v>0.84992391646926779</v>
      </c>
      <c r="AD33" s="2" cm="1">
        <f t="array" ref="AD33">IF(ISBLANK(AA33),"",IFERROR(_FV(AA33,"price"),INDEX('CoinGeko API'!E:E,MATCH(Portfolio_v2!AA33,'CoinGeko API'!C:C,0))))</f>
        <v>1.054</v>
      </c>
      <c r="AF33" s="39" cm="1">
        <f t="array" ref="AF33">IF(ISBLANK(AA33),"",IFERROR(_FV(AA33,"Change (%)",TRUE),INDEX('CoinGeko API'!G:G,MATCH(Portfolio_v2!AA33,'CoinGeko API'!C:C,0))))</f>
        <v>4.0918700000000002E-2</v>
      </c>
      <c r="AG33" s="34" cm="1">
        <f t="array" ref="AG33">IF(ISBLANK(AA33),"",IFERROR(_FV(AA33,"change"),INDEX('CoinGeko API'!F:F,MATCH(Portfolio_v2!AA33,'CoinGeko API'!C:C,0))))</f>
        <v>4.1437000000000002E-2</v>
      </c>
      <c r="AH33" s="2">
        <f t="shared" si="13"/>
        <v>774.75995999999998</v>
      </c>
      <c r="AI33" s="2">
        <f t="shared" si="14"/>
        <v>960.78835060000006</v>
      </c>
      <c r="AJ33" s="40">
        <f t="shared" si="15"/>
        <v>0.24011100238066005</v>
      </c>
      <c r="AK33" s="2">
        <f t="shared" si="16"/>
        <v>186.02839060000008</v>
      </c>
      <c r="AL33" s="119">
        <f>IF(OR(ISBLANK(AA33), COUNTIFS(Transactions!$D$3:$D1037, AA33) = 0), "",
    SUMIFS(Transactions!$M$3:$M1037, Transactions!$H$3:$H1037, "Sell", Transactions!$D$3:$D1037, AA33) +
    SUMIFS(Transactions!$M$3:$M1037, Transactions!$H$3:$H1037, "Dividend", Transactions!$D$3:$D1037, AA33) -
    SUMIFS(Transactions!$M$3:$M1037, Transactions!$H$3:$H1037, "Buy", Transactions!$D$3:$D1037, AA33) -
    SUMIFS(Transactions!$M$3:$M1037, Transactions!$H$3:$H1037, "Crypto Deposit", Transactions!$D$3:$D1037, AA33) -
    SUMIFS(Transactions!$M$3:$M1037, Transactions!$H$3:$H1037, "DRIP", Transactions!$D$3:$D1037, AA33) +
    SUMIFS($AH$3:$AH1029, $AA$3:$AA1029, AA33) +
    SUMIFS(Transactions!$M$3:$M1037, Transactions!$L$3:$L1037, "Stablecoin", Transactions!$B$3:$B1037, AA33)
)</f>
        <v>0</v>
      </c>
      <c r="AM33" s="120">
        <f t="shared" si="17"/>
        <v>186.02839060000008</v>
      </c>
      <c r="AN33" s="145"/>
      <c r="AO33" s="145"/>
      <c r="AP33" s="41">
        <f t="shared" si="1"/>
        <v>5.9909330764492093E-3</v>
      </c>
      <c r="AR33" s="41">
        <f t="shared" si="18"/>
        <v>5.9909330764492093E-3</v>
      </c>
      <c r="AS33" s="1" t="str">
        <f>_xlfn.XLOOKUP(AA33,Transactions!$D$3:$D$1007,Transactions!$F$3:$F$1007)</f>
        <v>Crypto</v>
      </c>
      <c r="AT33" s="41">
        <f t="shared" si="19"/>
        <v>0.81515627319794193</v>
      </c>
      <c r="AU33" s="41">
        <f t="shared" si="20"/>
        <v>0</v>
      </c>
      <c r="AV33" s="41">
        <f t="shared" si="21"/>
        <v>0.81515627319794193</v>
      </c>
      <c r="AW33" s="18" t="s">
        <v>17</v>
      </c>
    </row>
    <row r="34" spans="1:49" ht="18" customHeight="1">
      <c r="A34" s="17" t="str">
        <f t="shared" si="2"/>
        <v>Mantle</v>
      </c>
      <c r="B34" s="1" t="str">
        <f t="shared" si="3"/>
        <v>MNT</v>
      </c>
      <c r="C34" s="118">
        <f t="shared" si="4"/>
        <v>889.07872373999999</v>
      </c>
      <c r="D34" s="2" cm="1">
        <f t="array" ref="D34">IF($A34="", "",
    IFERROR(
        _xlfn.SWITCH(
            TRUE,
            AND(Y34="USD", Transactions!$Q$2="USD"), AC34,
            AND(Y34="USD", Transactions!$Q$2="GBP"), AC34*Transactions!$Z$3,
            AND(Y34="USD", Transactions!$Q$2="HKD"), AC34*Transactions!$Z$4,
            AND(Y34="USD", Transactions!$Q$2="EUR"), AC34*Transactions!$Z$5,
            AND(Y34="GBP", Transactions!$Q$2="GBP"), AC34,
            AND(Y34="GBP", Transactions!$Q$2="USD"), AC34*Transactions!$Z$6,
            AND(Y34="GBP", Transactions!$Q$2="HKD"), AC34*Transactions!$Z$7,
            AND(Y34="HKG", Transactions!$Q$2="HKG"), AC34,
            AND(Y34="HKD", Transactions!$Q$2="USD"), AC34*Transactions!$Z$9,
            AND(Y34="HKD", Transactions!$Q$2="GBP"), AC34*Transactions!$Z$10,
            AND(Y34="HKD", Transactions!$Q$2="EUR"), AC34*Transactions!$Z$11,
            AND(Y34="EUR", Transactions!$Q$2="EUR"), AC34,
            AND(Y34="EUR", Transactions!$Q$2="USD"), AC34*Transactions!$Z$12,
            AND(Y34="EUR", Transactions!$Q$2="GBP"), AC34*Transactions!$Z$13,
            AND(Y34="EUR", Transactions!$Q$2="HKD"), AC34*Transactions!$Z$14,
        ),
        0
    )
)</f>
        <v>0.71309999999999996</v>
      </c>
      <c r="E34" s="2" cm="1">
        <f t="array" ref="E34">IF($A34="", "",
    IFERROR(
        _xlfn.SWITCH(
            TRUE,
            AND(Y34="USD", Transactions!$Q$2="USD"), AD34,
            AND(Y34="USD", Transactions!$Q$2="GBP"), AD34*Transactions!$Z$3,
            AND(Y34="USD", Transactions!$Q$2="HKD"), AD34*Transactions!$Z$4,
            AND(Y34="USD", Transactions!$Q$2="EUR"), AD34*Transactions!$Z$5,
            AND(Y34="GBP", Transactions!$Q$2="GBP"), AD34,
            AND(Y34="GBP", Transactions!$Q$2="USD"), AD34*Transactions!$Z$6,
            AND(Y34="GBP", Transactions!$Q$2="HKD"), AD34*Transactions!$Z$7,
            AND(Y34="HKG", Transactions!$Q$2="HKG"), AD34,
            AND(Y34="HKD", Transactions!$Q$2="USD"), AD34*Transactions!$Z$9,
            AND(Y34="HKD", Transactions!$Q$2="GBP"), AD34*Transactions!$Z$10,
            AND(Y34="HKD", Transactions!$Q$2="EUR"), AD34*Transactions!$Z$11,
            AND(Y34="EUR", Transactions!$Q$2="EUR"), AD34,
            AND(Y34="EUR", Transactions!$Q$2="USD"), AD34*Transactions!$Z$12,
            AND(Y34="EUR", Transactions!$Q$2="GBP"), AD34*Transactions!$Z$13,
            AND(Y34="EUR", Transactions!$Q$2="HKD"), AD34*Transactions!$Z$14,
        ),
        0
    )
)</f>
        <v>0.86731100000000005</v>
      </c>
      <c r="G34" s="121">
        <f t="shared" si="22"/>
        <v>5.1205800000000003E-2</v>
      </c>
      <c r="H34" s="34" cm="1">
        <f t="array" ref="H34">IF($A34="", "",
    IFERROR(
        _xlfn.SWITCH(
            TRUE,
            AND(Y34="USD", Transactions!$Q$2="USD"), AG34,
            AND(Y34="USD", Transactions!$Q$2="GBP"), AG34*Transactions!$Z$3,
            AND(Y34="USD", Transactions!$Q$2="HKD"), AG34*Transactions!$Z$4,
            AND(Y34="USD", Transactions!$Q$2="EUR"), AG34*Transactions!$Z$5,
            AND(Y34="GBP", Transactions!$Q$2="GBP"), AG34,
            AND(Y34="GBP", Transactions!$Q$2="USD"), AG34*Transactions!$Z$6,
            AND(Y34="GBP", Transactions!$Q$2="HKD"), AG34*Transactions!$Z$7,
            AND(Y34="HKG", Transactions!$Q$2="HKG"), AG34,
            AND(Y34="HKD", Transactions!$Q$2="USD"), AG34*Transactions!$Z$9,
            AND(Y34="HKD", Transactions!$Q$2="GBP"), AG34*Transactions!$Z$10,
            AND(Y34="HKD", Transactions!$Q$2="EUR"), AG34*Transactions!$Z$11,
            AND(Y34="EUR", Transactions!$Q$2="EUR"), AG34,
            AND(Y34="EUR", Transactions!$Q$2="USD"), AG34*Transactions!$Z$12,
            AND(Y34="EUR", Transactions!$Q$2="GBP"), AG34*Transactions!$Z$13,
            AND(Y34="EUR", Transactions!$Q$2="HKD"), AG34*Transactions!$Z$14,
        ),
        0
    )
)</f>
        <v>4.2248050000000002E-2</v>
      </c>
      <c r="I34" s="2" cm="1">
        <f t="array" ref="I34">IF($A34="", "",
    IFERROR(
        _xlfn.SWITCH(
            TRUE,
            AND(Y34="USD", Transactions!$Q$2="USD"), AH34,
            AND(Y34="USD", Transactions!$Q$2="GBP"), AH34*Transactions!$Z$3,
            AND(Y34="USD", Transactions!$Q$2="HKD"), AH34*Transactions!$Z$4,
            AND(Y34="USD", Transactions!$Q$2="EUR"), AH34*Transactions!$Z$5,
            AND(Y34="GBP", Transactions!$Q$2="GBP"), AH34,
            AND(Y34="GBP", Transactions!$Q$2="USD"), AH34*Transactions!$Z$6,
            AND(Y34="GBP", Transactions!$Q$2="HKD"), AH34*Transactions!$Z$7,
            AND(Y34="HKG", Transactions!$Q$2="HKG"), AH34,
            AND(Y34="HKD", Transactions!$Q$2="USD"), AH34*Transactions!$Z$9,
            AND(Y34="HKD", Transactions!$Q$2="GBP"), AH34*Transactions!$Z$10,
            AND(Y34="HKD", Transactions!$Q$2="EUR"), AH34*Transactions!$Z$11,
            AND(Y34="EUR", Transactions!$Q$2="EUR"), AH34,
            AND(Y34="EUR", Transactions!$Q$2="USD"), AH34*Transactions!$Z$12,
            AND(Y34="EUR", Transactions!$Q$2="GBP"), AH34*Transactions!$Z$13,
            AND(Y34="EUR", Transactions!$Q$2="HKD"), AH34*Transactions!$Z$14,
        ),
        0
    )
)</f>
        <v>634.00203789899399</v>
      </c>
      <c r="J34" s="2" cm="1">
        <f t="array" ref="J34">IF($A34="", "",
    IFERROR(
        _xlfn.SWITCH(
            TRUE,
            AND(Y34="USD", Transactions!$Q$2="USD"), AI34,
            AND(Y34="USD", Transactions!$Q$2="GBP"), AI34*Transactions!$Z$3,
            AND(Y34="USD", Transactions!$Q$2="HKD"), AI34*Transactions!$Z$4,
            AND(Y34="USD", Transactions!$Q$2="EUR"), AI34*Transactions!$Z$5,
            AND(Y34="GBP", Transactions!$Q$2="GBP"), AI34,
            AND(Y34="GBP", Transactions!$Q$2="USD"), AI34*Transactions!$Z$6,
            AND(Y34="GBP", Transactions!$Q$2="HKD"), AI34*Transactions!$Z$7,
            AND(Y34="HKG", Transactions!$Q$2="HKG"), AI34,
            AND(Y34="HKD", Transactions!$Q$2="USD"), AI34*Transactions!$Z$9,
            AND(Y34="HKD", Transactions!$Q$2="GBP"), AI34*Transactions!$Z$10,
            AND(Y34="HKD", Transactions!$Q$2="EUR"), AI34*Transactions!$Z$11,
            AND(Y34="EUR", Transactions!$Q$2="EUR"), AI34,
            AND(Y34="EUR", Transactions!$Q$2="USD"), AI34*Transactions!$Z$12,
            AND(Y34="EUR", Transactions!$Q$2="GBP"), AI34*Transactions!$Z$13,
            AND(Y34="EUR", Transactions!$Q$2="HKD"), AI34*Transactions!$Z$14,
        ),
        0
    )
)</f>
        <v>771.10775696566316</v>
      </c>
      <c r="K34" s="41">
        <f t="shared" si="23"/>
        <v>0.21625438227457583</v>
      </c>
      <c r="L34" s="2" cm="1">
        <f t="array" ref="L34">IF($A34="", "",
    IFERROR(
        _xlfn.SWITCH(
            TRUE,
            AND(Y34="USD", Transactions!$Q$2="USD"), AK34,
            AND(Y34="USD", Transactions!$Q$2="GBP"), AK34*Transactions!$Z$3,
            AND(Y34="USD", Transactions!$Q$2="HKD"), AK34*Transactions!$Z$4,
            AND(Y34="USD", Transactions!$Q$2="EUR"), AK34*Transactions!$Z$5,
            AND(Y34="GBP", Transactions!$Q$2="GBP"), AK34,
            AND(Y34="GBP", Transactions!$Q$2="USD"), AK34*Transactions!$Z$6,
            AND(Y34="GBP", Transactions!$Q$2="HKD"), AK34*Transactions!$Z$7,
            AND(Y34="HKG", Transactions!$Q$2="HKG"), AK34,
            AND(Y34="HKD", Transactions!$Q$2="USD"), AK34*Transactions!$Z$9,
            AND(Y34="HKD", Transactions!$Q$2="GBP"), AK34*Transactions!$Z$10,
            AND(Y34="HKD", Transactions!$Q$2="EUR"), AK34*Transactions!$Z$11,
            AND(Y34="EUR", Transactions!$Q$2="EUR"), AK34,
            AND(Y34="EUR", Transactions!$Q$2="USD"), AK34*Transactions!$Z$12,
            AND(Y34="EUR", Transactions!$Q$2="GBP"), AK34*Transactions!$Z$13,
            AND(Y34="EUR", Transactions!$Q$2="HKD"), AK34*Transactions!$Z$14,
        ),
        0
    )
)</f>
        <v>137.10571906666917</v>
      </c>
      <c r="M34" s="119" cm="1">
        <f t="array" ref="M34">IF($A34="", "",
    IFERROR(
        _xlfn.SWITCH(
            TRUE,
            AND(Y34="USD", Transactions!$Q$2="USD"), AL34,
            AND(Y34="USD", Transactions!$Q$2="GBP"), AL34*Transactions!$Z$3,
            AND(Y34="USD", Transactions!$Q$2="HKD"), AL34*Transactions!$Z$4,
            AND(Y34="USD", Transactions!$Q$2="EUR"), AL34*Transactions!$Z$5,
            AND(Y34="GBP", Transactions!$Q$2="GBP"), AL34,
            AND(Y34="GBP", Transactions!$Q$2="USD"), AL34*Transactions!$Z$6,
            AND(Y34="GBP", Transactions!$Q$2="HKD"), AL34*Transactions!$Z$7,
            AND(Y34="HKG", Transactions!$Q$2="HKG"), AL34,
            AND(Y34="HKD", Transactions!$Q$2="USD"), AL34*Transactions!$Z$9,
            AND(Y34="HKD", Transactions!$Q$2="GBP"), AL34*Transactions!$Z$10,
            AND(Y34="HKD", Transactions!$Q$2="EUR"), AL34*Transactions!$Z$11,
            AND(Y34="EUR", Transactions!$Q$2="EUR"), AL34,
            AND(Y34="EUR", Transactions!$Q$2="USD"), AL34*Transactions!$Z$12,
            AND(Y34="EUR", Transactions!$Q$2="GBP"), AL34*Transactions!$Z$13,
            AND(Y34="EUR", Transactions!$Q$2="HKD"), AL34*Transactions!$Z$14,
        ),
        0
    )
)</f>
        <v>0</v>
      </c>
      <c r="N34" s="120" cm="1">
        <f t="array" ref="N34">IF($A34="", "",
    IFERROR(
        _xlfn.SWITCH(
            TRUE,
            AND(Y34="USD", Transactions!$Q$2="USD"), AM34,
            AND(Y34="USD", Transactions!$Q$2="GBP"), AM34*Transactions!$Z$3,
            AND(Y34="USD", Transactions!$Q$2="HKD"), AM34*Transactions!$Z$4,
            AND(Y34="USD", Transactions!$Q$2="EUR"), AM34*Transactions!$Z$5,
            AND(Y34="GBP", Transactions!$Q$2="GBP"), AM34,
            AND(Y34="GBP", Transactions!$Q$2="USD"), AM34*Transactions!$Z$6,
            AND(Y34="GBP", Transactions!$Q$2="HKD"), AM34*Transactions!$Z$7,
            AND(Y34="HKG", Transactions!$Q$2="HKG"), AM34,
            AND(Y34="HKD", Transactions!$Q$2="USD"), AM34*Transactions!$Z$9,
            AND(Y34="HKD", Transactions!$Q$2="GBP"), AM34*Transactions!$Z$10,
            AND(Y34="HKD", Transactions!$Q$2="EUR"), AM34*Transactions!$Z$11,
            AND(Y34="EUR", Transactions!$Q$2="EUR"), AM34,
            AND(Y34="EUR", Transactions!$Q$2="USD"), AM34*Transactions!$Z$12,
            AND(Y34="EUR", Transactions!$Q$2="GBP"), AM34*Transactions!$Z$13,
            AND(Y34="EUR", Transactions!$Q$2="HKD"), AM34*Transactions!$Z$14,
        ),
        0
    )
)</f>
        <v>137.10571906666917</v>
      </c>
      <c r="O34" s="145"/>
      <c r="P34" s="145"/>
      <c r="Q34" s="41">
        <f t="shared" si="24"/>
        <v>4.8081921099763893E-3</v>
      </c>
      <c r="S34" s="41">
        <f t="shared" si="25"/>
        <v>4.8081921099763893E-3</v>
      </c>
      <c r="T34" s="1" t="str">
        <f t="shared" si="26"/>
        <v>Crypto</v>
      </c>
      <c r="U34" s="41">
        <f t="shared" si="27"/>
        <v>0.81515627319794193</v>
      </c>
      <c r="V34" s="41">
        <f t="shared" si="28"/>
        <v>0</v>
      </c>
      <c r="W34" s="41">
        <f t="shared" si="29"/>
        <v>0.81515627319794193</v>
      </c>
      <c r="X34" s="1" t="str">
        <f t="shared" si="29"/>
        <v>Layer 1</v>
      </c>
      <c r="Y34" s="17" t="str">
        <f>IFERROR(IF(ISBLANK(AA34), "", IF(VLOOKUP(AA34, Transactions!D:F, 3, FALSE) = "Stablecoin", AA34, INDEX(Transactions!$B$3:$B1038, MATCH(AA34, Transactions!$D$3:$D1038, 0)))), "")</f>
        <v>USD</v>
      </c>
      <c r="Z34" s="1" t="str">
        <f>_xlfn.XLOOKUP(AA34,Transactions!$D$3:$D$1007,Transactions!$E$3:$E$1007)</f>
        <v>Mantle</v>
      </c>
      <c r="AA34" s="1" t="str">
        <v>MNT</v>
      </c>
      <c r="AB34" s="118" cm="1">
        <f t="array" ref="AB34">IF(ISBLANK(AA34), "",SUMPRODUCT((Transactions!$D$3:$D$1007=AA34) *(Transactions!$H$3:$H$1007={"Cash Deposit","Crypto Deposit","Buy","TransferDeposit","DRIP","Airdrop/Rewards"})*Transactions!$I$3:$I$1007)-SUMPRODUCT((Transactions!$D$3:$D$1007=AA34) *(Transactions!$H$3:$H$1007={"Sell","Transfer Send","Cash Withdrawal","Crypto Withdrawal"}) *Transactions!$I$3:$I$1007))</f>
        <v>889.07872373999999</v>
      </c>
      <c r="AC34" s="2" cm="1">
        <f t="array" ref="AC34">IF(ISBLANK(AA34), "", LOOKUP(2, 1/(Transactions!D:D=AA34), Transactions!P:P))</f>
        <v>0.71309999999999996</v>
      </c>
      <c r="AD34" s="2" cm="1">
        <f t="array" ref="AD34">IF(ISBLANK(AA34),"",IFERROR(_FV(AA34,"price"),INDEX('CoinGeko API'!E:E,MATCH(Portfolio_v2!AA34,'CoinGeko API'!C:C,0))))</f>
        <v>0.86731100000000005</v>
      </c>
      <c r="AF34" s="39" cm="1">
        <f t="array" ref="AF34">IF(ISBLANK(AA34),"",IFERROR(_FV(AA34,"Change (%)",TRUE),INDEX('CoinGeko API'!G:G,MATCH(Portfolio_v2!AA34,'CoinGeko API'!C:C,0))))</f>
        <v>5.1205800000000003E-2</v>
      </c>
      <c r="AG34" s="34" cm="1">
        <f t="array" ref="AG34">IF(ISBLANK(AA34),"",IFERROR(_FV(AA34,"change"),INDEX('CoinGeko API'!F:F,MATCH(Portfolio_v2!AA34,'CoinGeko API'!C:C,0))))</f>
        <v>4.2248050000000002E-2</v>
      </c>
      <c r="AH34" s="2">
        <f t="shared" si="13"/>
        <v>634.00203789899399</v>
      </c>
      <c r="AI34" s="2">
        <f t="shared" si="14"/>
        <v>771.10775696566316</v>
      </c>
      <c r="AJ34" s="40">
        <f t="shared" si="15"/>
        <v>0.21625438227457583</v>
      </c>
      <c r="AK34" s="2">
        <f t="shared" si="16"/>
        <v>137.10571906666917</v>
      </c>
      <c r="AL34" s="119">
        <f>IF(OR(ISBLANK(AA34), COUNTIFS(Transactions!$D$3:$D1038, AA34) = 0), "",
    SUMIFS(Transactions!$M$3:$M1038, Transactions!$H$3:$H1038, "Sell", Transactions!$D$3:$D1038, AA34) +
    SUMIFS(Transactions!$M$3:$M1038, Transactions!$H$3:$H1038, "Dividend", Transactions!$D$3:$D1038, AA34) -
    SUMIFS(Transactions!$M$3:$M1038, Transactions!$H$3:$H1038, "Buy", Transactions!$D$3:$D1038, AA34) -
    SUMIFS(Transactions!$M$3:$M1038, Transactions!$H$3:$H1038, "Crypto Deposit", Transactions!$D$3:$D1038, AA34) -
    SUMIFS(Transactions!$M$3:$M1038, Transactions!$H$3:$H1038, "DRIP", Transactions!$D$3:$D1038, AA34) +
    SUMIFS($AH$3:$AH1030, $AA$3:$AA1030, AA34) +
    SUMIFS(Transactions!$M$3:$M1038, Transactions!$L$3:$L1038, "Stablecoin", Transactions!$B$3:$B1038, AA34)
)</f>
        <v>0</v>
      </c>
      <c r="AM34" s="120">
        <f t="shared" si="17"/>
        <v>137.10571906666917</v>
      </c>
      <c r="AN34" s="145"/>
      <c r="AO34" s="145"/>
      <c r="AP34" s="41">
        <f t="shared" si="1"/>
        <v>4.8081921099763893E-3</v>
      </c>
      <c r="AR34" s="41">
        <f t="shared" si="18"/>
        <v>4.8081921099763893E-3</v>
      </c>
      <c r="AS34" s="1" t="str">
        <f>_xlfn.XLOOKUP(AA34,Transactions!$D$3:$D$1007,Transactions!$F$3:$F$1007)</f>
        <v>Crypto</v>
      </c>
      <c r="AT34" s="41">
        <f t="shared" si="19"/>
        <v>0.81515627319794193</v>
      </c>
      <c r="AU34" s="41">
        <f t="shared" si="20"/>
        <v>0</v>
      </c>
      <c r="AV34" s="41">
        <f t="shared" si="21"/>
        <v>0.81515627319794193</v>
      </c>
      <c r="AW34" s="18" t="s">
        <v>16</v>
      </c>
    </row>
    <row r="35" spans="1:49" ht="18" customHeight="1">
      <c r="A35" s="17" t="str">
        <f t="shared" si="2"/>
        <v>NEAR Protocol</v>
      </c>
      <c r="B35" s="1" t="str">
        <f t="shared" si="3"/>
        <v>NEAR</v>
      </c>
      <c r="C35" s="118">
        <f t="shared" si="4"/>
        <v>388.91071578000003</v>
      </c>
      <c r="D35" s="2" cm="1">
        <f t="array" ref="D35">IF($A35="", "",
    IFERROR(
        _xlfn.SWITCH(
            TRUE,
            AND(Y35="USD", Transactions!$Q$2="USD"), AC35,
            AND(Y35="USD", Transactions!$Q$2="GBP"), AC35*Transactions!$Z$3,
            AND(Y35="USD", Transactions!$Q$2="HKD"), AC35*Transactions!$Z$4,
            AND(Y35="USD", Transactions!$Q$2="EUR"), AC35*Transactions!$Z$5,
            AND(Y35="GBP", Transactions!$Q$2="GBP"), AC35,
            AND(Y35="GBP", Transactions!$Q$2="USD"), AC35*Transactions!$Z$6,
            AND(Y35="GBP", Transactions!$Q$2="HKD"), AC35*Transactions!$Z$7,
            AND(Y35="HKG", Transactions!$Q$2="HKG"), AC35,
            AND(Y35="HKD", Transactions!$Q$2="USD"), AC35*Transactions!$Z$9,
            AND(Y35="HKD", Transactions!$Q$2="GBP"), AC35*Transactions!$Z$10,
            AND(Y35="HKD", Transactions!$Q$2="EUR"), AC35*Transactions!$Z$11,
            AND(Y35="EUR", Transactions!$Q$2="EUR"), AC35,
            AND(Y35="EUR", Transactions!$Q$2="USD"), AC35*Transactions!$Z$12,
            AND(Y35="EUR", Transactions!$Q$2="GBP"), AC35*Transactions!$Z$13,
            AND(Y35="EUR", Transactions!$Q$2="HKD"), AC35*Transactions!$Z$14,
        ),
        0
    )
)</f>
        <v>7.8430661480134543</v>
      </c>
      <c r="E35" s="2" cm="1">
        <f t="array" ref="E35">IF($A35="", "",
    IFERROR(
        _xlfn.SWITCH(
            TRUE,
            AND(Y35="USD", Transactions!$Q$2="USD"), AD35,
            AND(Y35="USD", Transactions!$Q$2="GBP"), AD35*Transactions!$Z$3,
            AND(Y35="USD", Transactions!$Q$2="HKD"), AD35*Transactions!$Z$4,
            AND(Y35="USD", Transactions!$Q$2="EUR"), AD35*Transactions!$Z$5,
            AND(Y35="GBP", Transactions!$Q$2="GBP"), AD35,
            AND(Y35="GBP", Transactions!$Q$2="USD"), AD35*Transactions!$Z$6,
            AND(Y35="GBP", Transactions!$Q$2="HKD"), AD35*Transactions!$Z$7,
            AND(Y35="HKG", Transactions!$Q$2="HKG"), AD35,
            AND(Y35="HKD", Transactions!$Q$2="USD"), AD35*Transactions!$Z$9,
            AND(Y35="HKD", Transactions!$Q$2="GBP"), AD35*Transactions!$Z$10,
            AND(Y35="HKD", Transactions!$Q$2="EUR"), AD35*Transactions!$Z$11,
            AND(Y35="EUR", Transactions!$Q$2="EUR"), AD35,
            AND(Y35="EUR", Transactions!$Q$2="USD"), AD35*Transactions!$Z$12,
            AND(Y35="EUR", Transactions!$Q$2="GBP"), AD35*Transactions!$Z$13,
            AND(Y35="EUR", Transactions!$Q$2="HKD"), AD35*Transactions!$Z$14,
        ),
        0
    )
)</f>
        <v>7.74</v>
      </c>
      <c r="G35" s="121">
        <f t="shared" si="22"/>
        <v>7.8501799999999997E-2</v>
      </c>
      <c r="H35" s="34" cm="1">
        <f t="array" ref="H35">IF($A35="", "",
    IFERROR(
        _xlfn.SWITCH(
            TRUE,
            AND(Y35="USD", Transactions!$Q$2="USD"), AG35,
            AND(Y35="USD", Transactions!$Q$2="GBP"), AG35*Transactions!$Z$3,
            AND(Y35="USD", Transactions!$Q$2="HKD"), AG35*Transactions!$Z$4,
            AND(Y35="USD", Transactions!$Q$2="EUR"), AG35*Transactions!$Z$5,
            AND(Y35="GBP", Transactions!$Q$2="GBP"), AG35,
            AND(Y35="GBP", Transactions!$Q$2="USD"), AG35*Transactions!$Z$6,
            AND(Y35="GBP", Transactions!$Q$2="HKD"), AG35*Transactions!$Z$7,
            AND(Y35="HKG", Transactions!$Q$2="HKG"), AG35,
            AND(Y35="HKD", Transactions!$Q$2="USD"), AG35*Transactions!$Z$9,
            AND(Y35="HKD", Transactions!$Q$2="GBP"), AG35*Transactions!$Z$10,
            AND(Y35="HKD", Transactions!$Q$2="EUR"), AG35*Transactions!$Z$11,
            AND(Y35="EUR", Transactions!$Q$2="EUR"), AG35,
            AND(Y35="EUR", Transactions!$Q$2="USD"), AG35*Transactions!$Z$12,
            AND(Y35="EUR", Transactions!$Q$2="GBP"), AG35*Transactions!$Z$13,
            AND(Y35="EUR", Transactions!$Q$2="HKD"), AG35*Transactions!$Z$14,
        ),
        0
    )
)</f>
        <v>0.56343399999999999</v>
      </c>
      <c r="I35" s="2" cm="1">
        <f t="array" ref="I35">IF($A35="", "",
    IFERROR(
        _xlfn.SWITCH(
            TRUE,
            AND(Y35="USD", Transactions!$Q$2="USD"), AH35,
            AND(Y35="USD", Transactions!$Q$2="GBP"), AH35*Transactions!$Z$3,
            AND(Y35="USD", Transactions!$Q$2="HKD"), AH35*Transactions!$Z$4,
            AND(Y35="USD", Transactions!$Q$2="EUR"), AH35*Transactions!$Z$5,
            AND(Y35="GBP", Transactions!$Q$2="GBP"), AH35,
            AND(Y35="GBP", Transactions!$Q$2="USD"), AH35*Transactions!$Z$6,
            AND(Y35="GBP", Transactions!$Q$2="HKD"), AH35*Transactions!$Z$7,
            AND(Y35="HKG", Transactions!$Q$2="HKG"), AH35,
            AND(Y35="HKD", Transactions!$Q$2="USD"), AH35*Transactions!$Z$9,
            AND(Y35="HKD", Transactions!$Q$2="GBP"), AH35*Transactions!$Z$10,
            AND(Y35="HKD", Transactions!$Q$2="EUR"), AH35*Transactions!$Z$11,
            AND(Y35="EUR", Transactions!$Q$2="EUR"), AH35,
            AND(Y35="EUR", Transactions!$Q$2="USD"), AH35*Transactions!$Z$12,
            AND(Y35="EUR", Transactions!$Q$2="GBP"), AH35*Transactions!$Z$13,
            AND(Y35="EUR", Transactions!$Q$2="HKD"), AH35*Transactions!$Z$14,
        ),
        0
    )
)</f>
        <v>3050.2524695338002</v>
      </c>
      <c r="J35" s="2" cm="1">
        <f t="array" ref="J35">IF($A35="", "",
    IFERROR(
        _xlfn.SWITCH(
            TRUE,
            AND(Y35="USD", Transactions!$Q$2="USD"), AI35,
            AND(Y35="USD", Transactions!$Q$2="GBP"), AI35*Transactions!$Z$3,
            AND(Y35="USD", Transactions!$Q$2="HKD"), AI35*Transactions!$Z$4,
            AND(Y35="USD", Transactions!$Q$2="EUR"), AI35*Transactions!$Z$5,
            AND(Y35="GBP", Transactions!$Q$2="GBP"), AI35,
            AND(Y35="GBP", Transactions!$Q$2="USD"), AI35*Transactions!$Z$6,
            AND(Y35="GBP", Transactions!$Q$2="HKD"), AI35*Transactions!$Z$7,
            AND(Y35="HKG", Transactions!$Q$2="HKG"), AI35,
            AND(Y35="HKD", Transactions!$Q$2="USD"), AI35*Transactions!$Z$9,
            AND(Y35="HKD", Transactions!$Q$2="GBP"), AI35*Transactions!$Z$10,
            AND(Y35="HKD", Transactions!$Q$2="EUR"), AI35*Transactions!$Z$11,
            AND(Y35="EUR", Transactions!$Q$2="EUR"), AI35,
            AND(Y35="EUR", Transactions!$Q$2="USD"), AI35*Transactions!$Z$12,
            AND(Y35="EUR", Transactions!$Q$2="GBP"), AI35*Transactions!$Z$13,
            AND(Y35="EUR", Transactions!$Q$2="HKD"), AI35*Transactions!$Z$14,
        ),
        0
    )
)</f>
        <v>3010.1689401372005</v>
      </c>
      <c r="K35" s="41">
        <f t="shared" si="23"/>
        <v>-1.3141053010187734E-2</v>
      </c>
      <c r="L35" s="2" cm="1">
        <f t="array" ref="L35">IF($A35="", "",
    IFERROR(
        _xlfn.SWITCH(
            TRUE,
            AND(Y35="USD", Transactions!$Q$2="USD"), AK35,
            AND(Y35="USD", Transactions!$Q$2="GBP"), AK35*Transactions!$Z$3,
            AND(Y35="USD", Transactions!$Q$2="HKD"), AK35*Transactions!$Z$4,
            AND(Y35="USD", Transactions!$Q$2="EUR"), AK35*Transactions!$Z$5,
            AND(Y35="GBP", Transactions!$Q$2="GBP"), AK35,
            AND(Y35="GBP", Transactions!$Q$2="USD"), AK35*Transactions!$Z$6,
            AND(Y35="GBP", Transactions!$Q$2="HKD"), AK35*Transactions!$Z$7,
            AND(Y35="HKG", Transactions!$Q$2="HKG"), AK35,
            AND(Y35="HKD", Transactions!$Q$2="USD"), AK35*Transactions!$Z$9,
            AND(Y35="HKD", Transactions!$Q$2="GBP"), AK35*Transactions!$Z$10,
            AND(Y35="HKD", Transactions!$Q$2="EUR"), AK35*Transactions!$Z$11,
            AND(Y35="EUR", Transactions!$Q$2="EUR"), AK35,
            AND(Y35="EUR", Transactions!$Q$2="USD"), AK35*Transactions!$Z$12,
            AND(Y35="EUR", Transactions!$Q$2="GBP"), AK35*Transactions!$Z$13,
            AND(Y35="EUR", Transactions!$Q$2="HKD"), AK35*Transactions!$Z$14,
        ),
        0
    )
)</f>
        <v>-40.083529396599715</v>
      </c>
      <c r="M35" s="119" cm="1">
        <f t="array" ref="M35">IF($A35="", "",
    IFERROR(
        _xlfn.SWITCH(
            TRUE,
            AND(Y35="USD", Transactions!$Q$2="USD"), AL35,
            AND(Y35="USD", Transactions!$Q$2="GBP"), AL35*Transactions!$Z$3,
            AND(Y35="USD", Transactions!$Q$2="HKD"), AL35*Transactions!$Z$4,
            AND(Y35="USD", Transactions!$Q$2="EUR"), AL35*Transactions!$Z$5,
            AND(Y35="GBP", Transactions!$Q$2="GBP"), AL35,
            AND(Y35="GBP", Transactions!$Q$2="USD"), AL35*Transactions!$Z$6,
            AND(Y35="GBP", Transactions!$Q$2="HKD"), AL35*Transactions!$Z$7,
            AND(Y35="HKG", Transactions!$Q$2="HKG"), AL35,
            AND(Y35="HKD", Transactions!$Q$2="USD"), AL35*Transactions!$Z$9,
            AND(Y35="HKD", Transactions!$Q$2="GBP"), AL35*Transactions!$Z$10,
            AND(Y35="HKD", Transactions!$Q$2="EUR"), AL35*Transactions!$Z$11,
            AND(Y35="EUR", Transactions!$Q$2="EUR"), AL35,
            AND(Y35="EUR", Transactions!$Q$2="USD"), AL35*Transactions!$Z$12,
            AND(Y35="EUR", Transactions!$Q$2="GBP"), AL35*Transactions!$Z$13,
            AND(Y35="EUR", Transactions!$Q$2="HKD"), AL35*Transactions!$Z$14,
        ),
        0
    )
)</f>
        <v>0</v>
      </c>
      <c r="N35" s="120" cm="1">
        <f t="array" ref="N35">IF($A35="", "",
    IFERROR(
        _xlfn.SWITCH(
            TRUE,
            AND(Y35="USD", Transactions!$Q$2="USD"), AM35,
            AND(Y35="USD", Transactions!$Q$2="GBP"), AM35*Transactions!$Z$3,
            AND(Y35="USD", Transactions!$Q$2="HKD"), AM35*Transactions!$Z$4,
            AND(Y35="USD", Transactions!$Q$2="EUR"), AM35*Transactions!$Z$5,
            AND(Y35="GBP", Transactions!$Q$2="GBP"), AM35,
            AND(Y35="GBP", Transactions!$Q$2="USD"), AM35*Transactions!$Z$6,
            AND(Y35="GBP", Transactions!$Q$2="HKD"), AM35*Transactions!$Z$7,
            AND(Y35="HKG", Transactions!$Q$2="HKG"), AM35,
            AND(Y35="HKD", Transactions!$Q$2="USD"), AM35*Transactions!$Z$9,
            AND(Y35="HKD", Transactions!$Q$2="GBP"), AM35*Transactions!$Z$10,
            AND(Y35="HKD", Transactions!$Q$2="EUR"), AM35*Transactions!$Z$11,
            AND(Y35="EUR", Transactions!$Q$2="EUR"), AM35,
            AND(Y35="EUR", Transactions!$Q$2="USD"), AM35*Transactions!$Z$12,
            AND(Y35="EUR", Transactions!$Q$2="GBP"), AM35*Transactions!$Z$13,
            AND(Y35="EUR", Transactions!$Q$2="HKD"), AM35*Transactions!$Z$14,
        ),
        0
    )
)</f>
        <v>-40.083529396599715</v>
      </c>
      <c r="O35" s="145"/>
      <c r="P35" s="145"/>
      <c r="Q35" s="41">
        <f t="shared" si="24"/>
        <v>1.8769712036897809E-2</v>
      </c>
      <c r="S35" s="41">
        <f t="shared" si="25"/>
        <v>1.8769712036897809E-2</v>
      </c>
      <c r="T35" s="1" t="str">
        <f t="shared" si="26"/>
        <v>Crypto</v>
      </c>
      <c r="U35" s="41">
        <f t="shared" si="27"/>
        <v>0.81515627319794193</v>
      </c>
      <c r="V35" s="41">
        <f t="shared" si="28"/>
        <v>0</v>
      </c>
      <c r="W35" s="41">
        <f t="shared" si="29"/>
        <v>0.81515627319794193</v>
      </c>
      <c r="X35" s="1" t="str">
        <f t="shared" si="29"/>
        <v>Layer 1</v>
      </c>
      <c r="Y35" s="17" t="str">
        <f>IFERROR(IF(ISBLANK(AA35), "", IF(VLOOKUP(AA35, Transactions!D:F, 3, FALSE) = "Stablecoin", AA35, INDEX(Transactions!$B$3:$B1039, MATCH(AA35, Transactions!$D$3:$D1039, 0)))), "")</f>
        <v>USD</v>
      </c>
      <c r="Z35" s="1" t="str">
        <f>_xlfn.XLOOKUP(AA35,Transactions!$D$3:$D$1007,Transactions!$E$3:$E$1007)</f>
        <v>NEAR Protocol</v>
      </c>
      <c r="AA35" s="1" t="str">
        <v>NEAR</v>
      </c>
      <c r="AB35" s="118" cm="1">
        <f t="array" ref="AB35">IF(ISBLANK(AA35), "",
    SUMPRODUCT(
        (Transactions!$D$3:$D$1007=AA35) *
        (Transactions!$H$3:$H$1007={"Cash Deposit","Crypto Deposit","Buy","Transfer Deposit","DRIP","Airdrop/Rewards"}) *
        Transactions!$I$3:$I$1007
    )
    - SUMPRODUCT(
        (Transactions!$D$3:$D$1007=AA35) *
        (Transactions!$H$3:$H$1007={"Sell","Transfer Send","Cash Withdrawal","Crypto Withdrawal"}) *
        Transactions!$I$3:$I$1007
    )
)</f>
        <v>388.91071578000003</v>
      </c>
      <c r="AC35" s="2" cm="1">
        <f t="array" ref="AC35">IF(ISBLANK(AA35), "", LOOKUP(2, 1/(Transactions!D:D=AA35), Transactions!P:P))</f>
        <v>7.8430661480134543</v>
      </c>
      <c r="AD35" s="2" cm="1">
        <f t="array" ref="AD35">IF(ISBLANK(AA35),"",IFERROR(_FV(AA35,"price"),INDEX('CoinGeko API'!E:E,MATCH(Portfolio_v2!AA35,'CoinGeko API'!C:C,0))))</f>
        <v>7.74</v>
      </c>
      <c r="AF35" s="39" cm="1">
        <f t="array" ref="AF35">IF(ISBLANK(AA35),"",IFERROR(_FV(AA35,"Change (%)",TRUE),INDEX('CoinGeko API'!G:G,MATCH(Portfolio_v2!AA35,'CoinGeko API'!C:C,0))))</f>
        <v>7.8501799999999997E-2</v>
      </c>
      <c r="AG35" s="34" cm="1">
        <f t="array" ref="AG35">IF(ISBLANK(AA35),"",IFERROR(_FV(AA35,"change"),INDEX('CoinGeko API'!F:F,MATCH(Portfolio_v2!AA35,'CoinGeko API'!C:C,0))))</f>
        <v>0.56343399999999999</v>
      </c>
      <c r="AH35" s="2">
        <f t="shared" si="13"/>
        <v>3050.2524695338002</v>
      </c>
      <c r="AI35" s="2">
        <f t="shared" si="14"/>
        <v>3010.1689401372005</v>
      </c>
      <c r="AJ35" s="40">
        <f>IF(ISBLANK(AA35),"",IFERROR(((AI35-AH35)/AH35), 0))</f>
        <v>-1.3141053010187734E-2</v>
      </c>
      <c r="AK35" s="2">
        <f t="shared" si="16"/>
        <v>-40.083529396599715</v>
      </c>
      <c r="AL35" s="119">
        <f>IF(OR(ISBLANK(AA35), COUNTIFS(Transactions!$D$3:$D1039, AA35) = 0), "",
    SUMIFS(Transactions!$M$3:$M1039, Transactions!$H$3:$H1039, "Sell", Transactions!$D$3:$D1039, AA35) +
    SUMIFS(Transactions!$M$3:$M1039, Transactions!$H$3:$H1039, "Dividend", Transactions!$D$3:$D1039, AA35) -
    SUMIFS(Transactions!$M$3:$M1039, Transactions!$H$3:$H1039, "Buy", Transactions!$D$3:$D1039, AA35) -
    SUMIFS(Transactions!$M$3:$M1039, Transactions!$H$3:$H1039, "Crypto Deposit", Transactions!$D$3:$D1039, AA35) -
    SUMIFS(Transactions!$M$3:$M1039, Transactions!$H$3:$H1039, "DRIP", Transactions!$D$3:$D1039, AA35) +
    SUMIFS($AH$3:$AH1031, $AA$3:$AA1031, AA35) +
    SUMIFS(Transactions!$M$3:$M1039, Transactions!$L$3:$L1039, "Stablecoin", Transactions!$B$3:$B1039, AA35)
)</f>
        <v>0</v>
      </c>
      <c r="AM35" s="120">
        <f t="shared" si="17"/>
        <v>-40.083529396599715</v>
      </c>
      <c r="AN35" s="145"/>
      <c r="AO35" s="145"/>
      <c r="AP35" s="41">
        <f t="shared" si="1"/>
        <v>1.8769712036897809E-2</v>
      </c>
      <c r="AR35" s="41">
        <f t="shared" si="18"/>
        <v>1.8769712036897809E-2</v>
      </c>
      <c r="AS35" s="1" t="str">
        <f>_xlfn.XLOOKUP(AA35,Transactions!$D$3:$D$1007,Transactions!$F$3:$F$1007)</f>
        <v>Crypto</v>
      </c>
      <c r="AT35" s="41">
        <f t="shared" si="19"/>
        <v>0.81515627319794193</v>
      </c>
      <c r="AU35" s="41">
        <f t="shared" si="20"/>
        <v>0</v>
      </c>
      <c r="AV35" s="41">
        <f t="shared" si="21"/>
        <v>0.81515627319794193</v>
      </c>
      <c r="AW35" s="18" t="s">
        <v>16</v>
      </c>
    </row>
    <row r="36" spans="1:49" ht="18" customHeight="1">
      <c r="A36" s="17" t="str">
        <f t="shared" si="2"/>
        <v>NFPrompt</v>
      </c>
      <c r="B36" s="1" t="str">
        <f t="shared" si="3"/>
        <v>NFP</v>
      </c>
      <c r="C36" s="118">
        <f t="shared" si="4"/>
        <v>0</v>
      </c>
      <c r="D36" s="2" cm="1">
        <f t="array" ref="D36">IF($A36="", "",
    IFERROR(
        _xlfn.SWITCH(
            TRUE,
            AND(Y36="USD", Transactions!$Q$2="USD"), AC36,
            AND(Y36="USD", Transactions!$Q$2="GBP"), AC36*Transactions!$Z$3,
            AND(Y36="USD", Transactions!$Q$2="HKD"), AC36*Transactions!$Z$4,
            AND(Y36="USD", Transactions!$Q$2="EUR"), AC36*Transactions!$Z$5,
            AND(Y36="GBP", Transactions!$Q$2="GBP"), AC36,
            AND(Y36="GBP", Transactions!$Q$2="USD"), AC36*Transactions!$Z$6,
            AND(Y36="GBP", Transactions!$Q$2="HKD"), AC36*Transactions!$Z$7,
            AND(Y36="HKG", Transactions!$Q$2="HKG"), AC36,
            AND(Y36="HKD", Transactions!$Q$2="USD"), AC36*Transactions!$Z$9,
            AND(Y36="HKD", Transactions!$Q$2="GBP"), AC36*Transactions!$Z$10,
            AND(Y36="HKD", Transactions!$Q$2="EUR"), AC36*Transactions!$Z$11,
            AND(Y36="EUR", Transactions!$Q$2="EUR"), AC36,
            AND(Y36="EUR", Transactions!$Q$2="USD"), AC36*Transactions!$Z$12,
            AND(Y36="EUR", Transactions!$Q$2="GBP"), AC36*Transactions!$Z$13,
            AND(Y36="EUR", Transactions!$Q$2="HKD"), AC36*Transactions!$Z$14,
        ),
        0
    )
)</f>
        <v>1.33</v>
      </c>
      <c r="E36" s="2" cm="1">
        <f t="array" ref="E36">IF($A36="", "",
    IFERROR(
        _xlfn.SWITCH(
            TRUE,
            AND(Y36="USD", Transactions!$Q$2="USD"), AD36,
            AND(Y36="USD", Transactions!$Q$2="GBP"), AD36*Transactions!$Z$3,
            AND(Y36="USD", Transactions!$Q$2="HKD"), AD36*Transactions!$Z$4,
            AND(Y36="USD", Transactions!$Q$2="EUR"), AD36*Transactions!$Z$5,
            AND(Y36="GBP", Transactions!$Q$2="GBP"), AD36,
            AND(Y36="GBP", Transactions!$Q$2="USD"), AD36*Transactions!$Z$6,
            AND(Y36="GBP", Transactions!$Q$2="HKD"), AD36*Transactions!$Z$7,
            AND(Y36="HKG", Transactions!$Q$2="HKG"), AD36,
            AND(Y36="HKD", Transactions!$Q$2="USD"), AD36*Transactions!$Z$9,
            AND(Y36="HKD", Transactions!$Q$2="GBP"), AD36*Transactions!$Z$10,
            AND(Y36="HKD", Transactions!$Q$2="EUR"), AD36*Transactions!$Z$11,
            AND(Y36="EUR", Transactions!$Q$2="EUR"), AD36,
            AND(Y36="EUR", Transactions!$Q$2="USD"), AD36*Transactions!$Z$12,
            AND(Y36="EUR", Transactions!$Q$2="GBP"), AD36*Transactions!$Z$13,
            AND(Y36="EUR", Transactions!$Q$2="HKD"), AD36*Transactions!$Z$14,
        ),
        0
    )
)</f>
        <v>0.839862</v>
      </c>
      <c r="G36" s="121">
        <f t="shared" si="22"/>
        <v>4.1123900000000005E-2</v>
      </c>
      <c r="H36" s="34" cm="1">
        <f t="array" ref="H36">IF($A36="", "",
    IFERROR(
        _xlfn.SWITCH(
            TRUE,
            AND(Y36="USD", Transactions!$Q$2="USD"), AG36,
            AND(Y36="USD", Transactions!$Q$2="GBP"), AG36*Transactions!$Z$3,
            AND(Y36="USD", Transactions!$Q$2="HKD"), AG36*Transactions!$Z$4,
            AND(Y36="USD", Transactions!$Q$2="EUR"), AG36*Transactions!$Z$5,
            AND(Y36="GBP", Transactions!$Q$2="GBP"), AG36,
            AND(Y36="GBP", Transactions!$Q$2="USD"), AG36*Transactions!$Z$6,
            AND(Y36="GBP", Transactions!$Q$2="HKD"), AG36*Transactions!$Z$7,
            AND(Y36="HKG", Transactions!$Q$2="HKG"), AG36,
            AND(Y36="HKD", Transactions!$Q$2="USD"), AG36*Transactions!$Z$9,
            AND(Y36="HKD", Transactions!$Q$2="GBP"), AG36*Transactions!$Z$10,
            AND(Y36="HKD", Transactions!$Q$2="EUR"), AG36*Transactions!$Z$11,
            AND(Y36="EUR", Transactions!$Q$2="EUR"), AG36,
            AND(Y36="EUR", Transactions!$Q$2="USD"), AG36*Transactions!$Z$12,
            AND(Y36="EUR", Transactions!$Q$2="GBP"), AG36*Transactions!$Z$13,
            AND(Y36="EUR", Transactions!$Q$2="HKD"), AG36*Transactions!$Z$14,
        ),
        0
    )
)</f>
        <v>3.3174139999999998E-2</v>
      </c>
      <c r="I36" s="2" cm="1">
        <f t="array" ref="I36">IF($A36="", "",
    IFERROR(
        _xlfn.SWITCH(
            TRUE,
            AND(Y36="USD", Transactions!$Q$2="USD"), AH36,
            AND(Y36="USD", Transactions!$Q$2="GBP"), AH36*Transactions!$Z$3,
            AND(Y36="USD", Transactions!$Q$2="HKD"), AH36*Transactions!$Z$4,
            AND(Y36="USD", Transactions!$Q$2="EUR"), AH36*Transactions!$Z$5,
            AND(Y36="GBP", Transactions!$Q$2="GBP"), AH36,
            AND(Y36="GBP", Transactions!$Q$2="USD"), AH36*Transactions!$Z$6,
            AND(Y36="GBP", Transactions!$Q$2="HKD"), AH36*Transactions!$Z$7,
            AND(Y36="HKG", Transactions!$Q$2="HKG"), AH36,
            AND(Y36="HKD", Transactions!$Q$2="USD"), AH36*Transactions!$Z$9,
            AND(Y36="HKD", Transactions!$Q$2="GBP"), AH36*Transactions!$Z$10,
            AND(Y36="HKD", Transactions!$Q$2="EUR"), AH36*Transactions!$Z$11,
            AND(Y36="EUR", Transactions!$Q$2="EUR"), AH36,
            AND(Y36="EUR", Transactions!$Q$2="USD"), AH36*Transactions!$Z$12,
            AND(Y36="EUR", Transactions!$Q$2="GBP"), AH36*Transactions!$Z$13,
            AND(Y36="EUR", Transactions!$Q$2="HKD"), AH36*Transactions!$Z$14,
        ),
        0
    )
)</f>
        <v>0</v>
      </c>
      <c r="J36" s="2" cm="1">
        <f t="array" ref="J36">IF($A36="", "",
    IFERROR(
        _xlfn.SWITCH(
            TRUE,
            AND(Y36="USD", Transactions!$Q$2="USD"), AI36,
            AND(Y36="USD", Transactions!$Q$2="GBP"), AI36*Transactions!$Z$3,
            AND(Y36="USD", Transactions!$Q$2="HKD"), AI36*Transactions!$Z$4,
            AND(Y36="USD", Transactions!$Q$2="EUR"), AI36*Transactions!$Z$5,
            AND(Y36="GBP", Transactions!$Q$2="GBP"), AI36,
            AND(Y36="GBP", Transactions!$Q$2="USD"), AI36*Transactions!$Z$6,
            AND(Y36="GBP", Transactions!$Q$2="HKD"), AI36*Transactions!$Z$7,
            AND(Y36="HKG", Transactions!$Q$2="HKG"), AI36,
            AND(Y36="HKD", Transactions!$Q$2="USD"), AI36*Transactions!$Z$9,
            AND(Y36="HKD", Transactions!$Q$2="GBP"), AI36*Transactions!$Z$10,
            AND(Y36="HKD", Transactions!$Q$2="EUR"), AI36*Transactions!$Z$11,
            AND(Y36="EUR", Transactions!$Q$2="EUR"), AI36,
            AND(Y36="EUR", Transactions!$Q$2="USD"), AI36*Transactions!$Z$12,
            AND(Y36="EUR", Transactions!$Q$2="GBP"), AI36*Transactions!$Z$13,
            AND(Y36="EUR", Transactions!$Q$2="HKD"), AI36*Transactions!$Z$14,
        ),
        0
    )
)</f>
        <v>0</v>
      </c>
      <c r="K36" s="41">
        <f t="shared" si="23"/>
        <v>0</v>
      </c>
      <c r="L36" s="2" cm="1">
        <f t="array" ref="L36">IF($A36="", "",
    IFERROR(
        _xlfn.SWITCH(
            TRUE,
            AND(Y36="USD", Transactions!$Q$2="USD"), AK36,
            AND(Y36="USD", Transactions!$Q$2="GBP"), AK36*Transactions!$Z$3,
            AND(Y36="USD", Transactions!$Q$2="HKD"), AK36*Transactions!$Z$4,
            AND(Y36="USD", Transactions!$Q$2="EUR"), AK36*Transactions!$Z$5,
            AND(Y36="GBP", Transactions!$Q$2="GBP"), AK36,
            AND(Y36="GBP", Transactions!$Q$2="USD"), AK36*Transactions!$Z$6,
            AND(Y36="GBP", Transactions!$Q$2="HKD"), AK36*Transactions!$Z$7,
            AND(Y36="HKG", Transactions!$Q$2="HKG"), AK36,
            AND(Y36="HKD", Transactions!$Q$2="USD"), AK36*Transactions!$Z$9,
            AND(Y36="HKD", Transactions!$Q$2="GBP"), AK36*Transactions!$Z$10,
            AND(Y36="HKD", Transactions!$Q$2="EUR"), AK36*Transactions!$Z$11,
            AND(Y36="EUR", Transactions!$Q$2="EUR"), AK36,
            AND(Y36="EUR", Transactions!$Q$2="USD"), AK36*Transactions!$Z$12,
            AND(Y36="EUR", Transactions!$Q$2="GBP"), AK36*Transactions!$Z$13,
            AND(Y36="EUR", Transactions!$Q$2="HKD"), AK36*Transactions!$Z$14,
        ),
        0
    )
)</f>
        <v>0</v>
      </c>
      <c r="M36" s="119" cm="1">
        <f t="array" ref="M36">IF($A36="", "",
    IFERROR(
        _xlfn.SWITCH(
            TRUE,
            AND(Y36="USD", Transactions!$Q$2="USD"), AL36,
            AND(Y36="USD", Transactions!$Q$2="GBP"), AL36*Transactions!$Z$3,
            AND(Y36="USD", Transactions!$Q$2="HKD"), AL36*Transactions!$Z$4,
            AND(Y36="USD", Transactions!$Q$2="EUR"), AL36*Transactions!$Z$5,
            AND(Y36="GBP", Transactions!$Q$2="GBP"), AL36,
            AND(Y36="GBP", Transactions!$Q$2="USD"), AL36*Transactions!$Z$6,
            AND(Y36="GBP", Transactions!$Q$2="HKD"), AL36*Transactions!$Z$7,
            AND(Y36="HKG", Transactions!$Q$2="HKG"), AL36,
            AND(Y36="HKD", Transactions!$Q$2="USD"), AL36*Transactions!$Z$9,
            AND(Y36="HKD", Transactions!$Q$2="GBP"), AL36*Transactions!$Z$10,
            AND(Y36="HKD", Transactions!$Q$2="EUR"), AL36*Transactions!$Z$11,
            AND(Y36="EUR", Transactions!$Q$2="EUR"), AL36,
            AND(Y36="EUR", Transactions!$Q$2="USD"), AL36*Transactions!$Z$12,
            AND(Y36="EUR", Transactions!$Q$2="GBP"), AL36*Transactions!$Z$13,
            AND(Y36="EUR", Transactions!$Q$2="HKD"), AL36*Transactions!$Z$14,
        ),
        0
    )
)</f>
        <v>84.927999999999997</v>
      </c>
      <c r="N36" s="120" cm="1">
        <f t="array" ref="N36">IF($A36="", "",
    IFERROR(
        _xlfn.SWITCH(
            TRUE,
            AND(Y36="USD", Transactions!$Q$2="USD"), AM36,
            AND(Y36="USD", Transactions!$Q$2="GBP"), AM36*Transactions!$Z$3,
            AND(Y36="USD", Transactions!$Q$2="HKD"), AM36*Transactions!$Z$4,
            AND(Y36="USD", Transactions!$Q$2="EUR"), AM36*Transactions!$Z$5,
            AND(Y36="GBP", Transactions!$Q$2="GBP"), AM36,
            AND(Y36="GBP", Transactions!$Q$2="USD"), AM36*Transactions!$Z$6,
            AND(Y36="GBP", Transactions!$Q$2="HKD"), AM36*Transactions!$Z$7,
            AND(Y36="HKG", Transactions!$Q$2="HKG"), AM36,
            AND(Y36="HKD", Transactions!$Q$2="USD"), AM36*Transactions!$Z$9,
            AND(Y36="HKD", Transactions!$Q$2="GBP"), AM36*Transactions!$Z$10,
            AND(Y36="HKD", Transactions!$Q$2="EUR"), AM36*Transactions!$Z$11,
            AND(Y36="EUR", Transactions!$Q$2="EUR"), AM36,
            AND(Y36="EUR", Transactions!$Q$2="USD"), AM36*Transactions!$Z$12,
            AND(Y36="EUR", Transactions!$Q$2="GBP"), AM36*Transactions!$Z$13,
            AND(Y36="EUR", Transactions!$Q$2="HKD"), AM36*Transactions!$Z$14,
        ),
        0
    )
)</f>
        <v>84.927999999999997</v>
      </c>
      <c r="O36" s="145"/>
      <c r="P36" s="145"/>
      <c r="Q36" s="41">
        <f t="shared" si="24"/>
        <v>0</v>
      </c>
      <c r="S36" s="41">
        <f t="shared" si="25"/>
        <v>0</v>
      </c>
      <c r="T36" s="1" t="str">
        <f t="shared" si="26"/>
        <v>Crypto</v>
      </c>
      <c r="U36" s="41">
        <f t="shared" si="27"/>
        <v>0.81515627319794193</v>
      </c>
      <c r="V36" s="41">
        <f t="shared" si="28"/>
        <v>0</v>
      </c>
      <c r="W36" s="41">
        <f t="shared" si="29"/>
        <v>0.81515627319794193</v>
      </c>
      <c r="X36" s="1" t="str">
        <f t="shared" si="29"/>
        <v>Gamefi</v>
      </c>
      <c r="Y36" s="17" t="str">
        <f>IFERROR(IF(ISBLANK(AA36), "", IF(VLOOKUP(AA36, Transactions!D:F, 3, FALSE) = "Stablecoin", AA36, INDEX(Transactions!$B$3:$B1040, MATCH(AA36, Transactions!$D$3:$D1040, 0)))), "")</f>
        <v>USD</v>
      </c>
      <c r="Z36" s="1" t="str">
        <f>_xlfn.XLOOKUP(AA36,Transactions!$D$3:$D$1007,Transactions!$E$3:$E$1007)</f>
        <v>NFPrompt</v>
      </c>
      <c r="AA36" s="1" t="str">
        <v>NFP</v>
      </c>
      <c r="AB36" s="118" cm="1">
        <f t="array" ref="AB36">IF(ISBLANK(AA36), "",
    SUMPRODUCT(
        (Transactions!$D$3:$D$1007=AA36) *
        (Transactions!$H$3:$H$1007={"Cash Deposit","Crypto Deposit","Buy","Transfer Deposit","DRIP","Airdrop/Rewards"}) *
        Transactions!$I$3:$I$1007
    )
    - SUMPRODUCT(
        (Transactions!$D$3:$D$1007=AA36) *
        (Transactions!$H$3:$H$1007={"Sell","Transfer Send","Cash Withdrawal","Crypto Withdrawal"}) *
        Transactions!$I$3:$I$1007
    )
)</f>
        <v>0</v>
      </c>
      <c r="AC36" s="2" cm="1">
        <f t="array" ref="AC36">IF(ISBLANK(AA36), "", LOOKUP(2, 1/(Transactions!D:D=AA36), Transactions!P:P))</f>
        <v>1.33</v>
      </c>
      <c r="AD36" s="2" cm="1">
        <f t="array" ref="AD36">IF(ISBLANK(AA36),"",IFERROR(_FV(AA36,"price"),INDEX('CoinGeko API'!E:E,MATCH(Portfolio_v2!AA36,'CoinGeko API'!C:C,0))))</f>
        <v>0.839862</v>
      </c>
      <c r="AF36" s="39" cm="1">
        <f t="array" ref="AF36">IF(ISBLANK(AA36),"",IFERROR(_FV(AA36,"Change (%)",TRUE),INDEX('CoinGeko API'!G:G,MATCH(Portfolio_v2!AA36,'CoinGeko API'!C:C,0))))</f>
        <v>4.1123900000000005E-2</v>
      </c>
      <c r="AG36" s="34" cm="1">
        <f t="array" ref="AG36">IF(ISBLANK(AA36),"",IFERROR(_FV(AA36,"change"),INDEX('CoinGeko API'!F:F,MATCH(Portfolio_v2!AA36,'CoinGeko API'!C:C,0))))</f>
        <v>3.3174139999999998E-2</v>
      </c>
      <c r="AH36" s="2">
        <f t="shared" si="13"/>
        <v>0</v>
      </c>
      <c r="AI36" s="2">
        <f t="shared" si="14"/>
        <v>0</v>
      </c>
      <c r="AJ36" s="40">
        <f t="shared" si="15"/>
        <v>0</v>
      </c>
      <c r="AK36" s="2">
        <f t="shared" si="16"/>
        <v>0</v>
      </c>
      <c r="AL36" s="119">
        <f>IF(OR(ISBLANK(AA36), COUNTIFS(Transactions!$D$3:$D1040, AA36) = 0), "",
    SUMIFS(Transactions!$M$3:$M1040, Transactions!$H$3:$H1040, "Sell", Transactions!$D$3:$D1040, AA36) +
    SUMIFS(Transactions!$M$3:$M1040, Transactions!$H$3:$H1040, "Dividend", Transactions!$D$3:$D1040, AA36) -
    SUMIFS(Transactions!$M$3:$M1040, Transactions!$H$3:$H1040, "Buy", Transactions!$D$3:$D1040, AA36) -
    SUMIFS(Transactions!$M$3:$M1040, Transactions!$H$3:$H1040, "Crypto Deposit", Transactions!$D$3:$D1040, AA36) -
    SUMIFS(Transactions!$M$3:$M1040, Transactions!$H$3:$H1040, "DRIP", Transactions!$D$3:$D1040, AA36) +
    SUMIFS($AH$3:$AH1032, $AA$3:$AA1032, AA36) +
    SUMIFS(Transactions!$M$3:$M1040, Transactions!$L$3:$L1040, "Stablecoin", Transactions!$B$3:$B1040, AA36)
)</f>
        <v>84.927999999999997</v>
      </c>
      <c r="AM36" s="120">
        <f t="shared" si="17"/>
        <v>84.927999999999997</v>
      </c>
      <c r="AN36" s="145"/>
      <c r="AO36" s="145"/>
      <c r="AP36" s="41">
        <f t="shared" si="1"/>
        <v>0</v>
      </c>
      <c r="AR36" s="41">
        <f t="shared" si="18"/>
        <v>0</v>
      </c>
      <c r="AS36" s="1" t="str">
        <f>_xlfn.XLOOKUP(AA36,Transactions!$D$3:$D$1007,Transactions!$F$3:$F$1007)</f>
        <v>Crypto</v>
      </c>
      <c r="AT36" s="41">
        <f t="shared" si="19"/>
        <v>0.81515627319794193</v>
      </c>
      <c r="AU36" s="41">
        <f t="shared" si="20"/>
        <v>0</v>
      </c>
      <c r="AV36" s="41">
        <f t="shared" si="21"/>
        <v>0.81515627319794193</v>
      </c>
      <c r="AW36" s="18" t="s">
        <v>20</v>
      </c>
    </row>
    <row r="37" spans="1:49" ht="18" customHeight="1">
      <c r="A37" s="17" t="str">
        <f t="shared" si="2"/>
        <v>Neutron</v>
      </c>
      <c r="B37" s="1" t="str">
        <f t="shared" si="3"/>
        <v>NTRN</v>
      </c>
      <c r="C37" s="118">
        <f t="shared" si="4"/>
        <v>269.89999999999998</v>
      </c>
      <c r="D37" s="2" cm="1">
        <f t="array" ref="D37">IF($A37="", "",
    IFERROR(
        _xlfn.SWITCH(
            TRUE,
            AND(Y37="USD", Transactions!$Q$2="USD"), AC37,
            AND(Y37="USD", Transactions!$Q$2="GBP"), AC37*Transactions!$Z$3,
            AND(Y37="USD", Transactions!$Q$2="HKD"), AC37*Transactions!$Z$4,
            AND(Y37="USD", Transactions!$Q$2="EUR"), AC37*Transactions!$Z$5,
            AND(Y37="GBP", Transactions!$Q$2="GBP"), AC37,
            AND(Y37="GBP", Transactions!$Q$2="USD"), AC37*Transactions!$Z$6,
            AND(Y37="GBP", Transactions!$Q$2="HKD"), AC37*Transactions!$Z$7,
            AND(Y37="HKG", Transactions!$Q$2="HKG"), AC37,
            AND(Y37="HKD", Transactions!$Q$2="USD"), AC37*Transactions!$Z$9,
            AND(Y37="HKD", Transactions!$Q$2="GBP"), AC37*Transactions!$Z$10,
            AND(Y37="HKD", Transactions!$Q$2="EUR"), AC37*Transactions!$Z$11,
            AND(Y37="EUR", Transactions!$Q$2="EUR"), AC37,
            AND(Y37="EUR", Transactions!$Q$2="USD"), AC37*Transactions!$Z$12,
            AND(Y37="EUR", Transactions!$Q$2="GBP"), AC37*Transactions!$Z$13,
            AND(Y37="EUR", Transactions!$Q$2="HKD"), AC37*Transactions!$Z$14,
        ),
        0
    )
)</f>
        <v>1.533059281215265</v>
      </c>
      <c r="E37" s="2" cm="1">
        <f t="array" ref="E37">IF($A37="", "",
    IFERROR(
        _xlfn.SWITCH(
            TRUE,
            AND(Y37="USD", Transactions!$Q$2="USD"), AD37,
            AND(Y37="USD", Transactions!$Q$2="GBP"), AD37*Transactions!$Z$3,
            AND(Y37="USD", Transactions!$Q$2="HKD"), AD37*Transactions!$Z$4,
            AND(Y37="USD", Transactions!$Q$2="EUR"), AD37*Transactions!$Z$5,
            AND(Y37="GBP", Transactions!$Q$2="GBP"), AD37,
            AND(Y37="GBP", Transactions!$Q$2="USD"), AD37*Transactions!$Z$6,
            AND(Y37="GBP", Transactions!$Q$2="HKD"), AD37*Transactions!$Z$7,
            AND(Y37="HKG", Transactions!$Q$2="HKG"), AD37,
            AND(Y37="HKD", Transactions!$Q$2="USD"), AD37*Transactions!$Z$9,
            AND(Y37="HKD", Transactions!$Q$2="GBP"), AD37*Transactions!$Z$10,
            AND(Y37="HKD", Transactions!$Q$2="EUR"), AD37*Transactions!$Z$11,
            AND(Y37="EUR", Transactions!$Q$2="EUR"), AD37,
            AND(Y37="EUR", Transactions!$Q$2="USD"), AD37*Transactions!$Z$12,
            AND(Y37="EUR", Transactions!$Q$2="GBP"), AD37*Transactions!$Z$13,
            AND(Y37="EUR", Transactions!$Q$2="HKD"), AD37*Transactions!$Z$14,
        ),
        0
    )
)</f>
        <v>1.31</v>
      </c>
      <c r="G37" s="121">
        <f t="shared" si="22"/>
        <v>8.6386500000000005E-2</v>
      </c>
      <c r="H37" s="34" cm="1">
        <f t="array" ref="H37">IF($A37="", "",
    IFERROR(
        _xlfn.SWITCH(
            TRUE,
            AND(Y37="USD", Transactions!$Q$2="USD"), AG37,
            AND(Y37="USD", Transactions!$Q$2="GBP"), AG37*Transactions!$Z$3,
            AND(Y37="USD", Transactions!$Q$2="HKD"), AG37*Transactions!$Z$4,
            AND(Y37="USD", Transactions!$Q$2="EUR"), AG37*Transactions!$Z$5,
            AND(Y37="GBP", Transactions!$Q$2="GBP"), AG37,
            AND(Y37="GBP", Transactions!$Q$2="USD"), AG37*Transactions!$Z$6,
            AND(Y37="GBP", Transactions!$Q$2="HKD"), AG37*Transactions!$Z$7,
            AND(Y37="HKG", Transactions!$Q$2="HKG"), AG37,
            AND(Y37="HKD", Transactions!$Q$2="USD"), AG37*Transactions!$Z$9,
            AND(Y37="HKD", Transactions!$Q$2="GBP"), AG37*Transactions!$Z$10,
            AND(Y37="HKD", Transactions!$Q$2="EUR"), AG37*Transactions!$Z$11,
            AND(Y37="EUR", Transactions!$Q$2="EUR"), AG37,
            AND(Y37="EUR", Transactions!$Q$2="USD"), AG37*Transactions!$Z$12,
            AND(Y37="EUR", Transactions!$Q$2="GBP"), AG37*Transactions!$Z$13,
            AND(Y37="EUR", Transactions!$Q$2="HKD"), AG37*Transactions!$Z$14,
        ),
        0
    )
)</f>
        <v>0.104071</v>
      </c>
      <c r="I37" s="2" cm="1">
        <f t="array" ref="I37">IF($A37="", "",
    IFERROR(
        _xlfn.SWITCH(
            TRUE,
            AND(Y37="USD", Transactions!$Q$2="USD"), AH37,
            AND(Y37="USD", Transactions!$Q$2="GBP"), AH37*Transactions!$Z$3,
            AND(Y37="USD", Transactions!$Q$2="HKD"), AH37*Transactions!$Z$4,
            AND(Y37="USD", Transactions!$Q$2="EUR"), AH37*Transactions!$Z$5,
            AND(Y37="GBP", Transactions!$Q$2="GBP"), AH37,
            AND(Y37="GBP", Transactions!$Q$2="USD"), AH37*Transactions!$Z$6,
            AND(Y37="GBP", Transactions!$Q$2="HKD"), AH37*Transactions!$Z$7,
            AND(Y37="HKG", Transactions!$Q$2="HKG"), AH37,
            AND(Y37="HKD", Transactions!$Q$2="USD"), AH37*Transactions!$Z$9,
            AND(Y37="HKD", Transactions!$Q$2="GBP"), AH37*Transactions!$Z$10,
            AND(Y37="HKD", Transactions!$Q$2="EUR"), AH37*Transactions!$Z$11,
            AND(Y37="EUR", Transactions!$Q$2="EUR"), AH37,
            AND(Y37="EUR", Transactions!$Q$2="USD"), AH37*Transactions!$Z$12,
            AND(Y37="EUR", Transactions!$Q$2="GBP"), AH37*Transactions!$Z$13,
            AND(Y37="EUR", Transactions!$Q$2="HKD"), AH37*Transactions!$Z$14,
        ),
        0
    )
)</f>
        <v>413.77269999999999</v>
      </c>
      <c r="J37" s="2" cm="1">
        <f t="array" ref="J37">IF($A37="", "",
    IFERROR(
        _xlfn.SWITCH(
            TRUE,
            AND(Y37="USD", Transactions!$Q$2="USD"), AI37,
            AND(Y37="USD", Transactions!$Q$2="GBP"), AI37*Transactions!$Z$3,
            AND(Y37="USD", Transactions!$Q$2="HKD"), AI37*Transactions!$Z$4,
            AND(Y37="USD", Transactions!$Q$2="EUR"), AI37*Transactions!$Z$5,
            AND(Y37="GBP", Transactions!$Q$2="GBP"), AI37,
            AND(Y37="GBP", Transactions!$Q$2="USD"), AI37*Transactions!$Z$6,
            AND(Y37="GBP", Transactions!$Q$2="HKD"), AI37*Transactions!$Z$7,
            AND(Y37="HKG", Transactions!$Q$2="HKG"), AI37,
            AND(Y37="HKD", Transactions!$Q$2="USD"), AI37*Transactions!$Z$9,
            AND(Y37="HKD", Transactions!$Q$2="GBP"), AI37*Transactions!$Z$10,
            AND(Y37="HKD", Transactions!$Q$2="EUR"), AI37*Transactions!$Z$11,
            AND(Y37="EUR", Transactions!$Q$2="EUR"), AI37,
            AND(Y37="EUR", Transactions!$Q$2="USD"), AI37*Transactions!$Z$12,
            AND(Y37="EUR", Transactions!$Q$2="GBP"), AI37*Transactions!$Z$13,
            AND(Y37="EUR", Transactions!$Q$2="HKD"), AI37*Transactions!$Z$14,
        ),
        0
    )
)</f>
        <v>353.56899999999996</v>
      </c>
      <c r="K37" s="41">
        <f t="shared" si="23"/>
        <v>-0.14549944933534772</v>
      </c>
      <c r="L37" s="2" cm="1">
        <f t="array" ref="L37">IF($A37="", "",
    IFERROR(
        _xlfn.SWITCH(
            TRUE,
            AND(Y37="USD", Transactions!$Q$2="USD"), AK37,
            AND(Y37="USD", Transactions!$Q$2="GBP"), AK37*Transactions!$Z$3,
            AND(Y37="USD", Transactions!$Q$2="HKD"), AK37*Transactions!$Z$4,
            AND(Y37="USD", Transactions!$Q$2="EUR"), AK37*Transactions!$Z$5,
            AND(Y37="GBP", Transactions!$Q$2="GBP"), AK37,
            AND(Y37="GBP", Transactions!$Q$2="USD"), AK37*Transactions!$Z$6,
            AND(Y37="GBP", Transactions!$Q$2="HKD"), AK37*Transactions!$Z$7,
            AND(Y37="HKG", Transactions!$Q$2="HKG"), AK37,
            AND(Y37="HKD", Transactions!$Q$2="USD"), AK37*Transactions!$Z$9,
            AND(Y37="HKD", Transactions!$Q$2="GBP"), AK37*Transactions!$Z$10,
            AND(Y37="HKD", Transactions!$Q$2="EUR"), AK37*Transactions!$Z$11,
            AND(Y37="EUR", Transactions!$Q$2="EUR"), AK37,
            AND(Y37="EUR", Transactions!$Q$2="USD"), AK37*Transactions!$Z$12,
            AND(Y37="EUR", Transactions!$Q$2="GBP"), AK37*Transactions!$Z$13,
            AND(Y37="EUR", Transactions!$Q$2="HKD"), AK37*Transactions!$Z$14,
        ),
        0
    )
)</f>
        <v>-60.203700000000026</v>
      </c>
      <c r="M37" s="119" cm="1">
        <f t="array" ref="M37">IF($A37="", "",
    IFERROR(
        _xlfn.SWITCH(
            TRUE,
            AND(Y37="USD", Transactions!$Q$2="USD"), AL37,
            AND(Y37="USD", Transactions!$Q$2="GBP"), AL37*Transactions!$Z$3,
            AND(Y37="USD", Transactions!$Q$2="HKD"), AL37*Transactions!$Z$4,
            AND(Y37="USD", Transactions!$Q$2="EUR"), AL37*Transactions!$Z$5,
            AND(Y37="GBP", Transactions!$Q$2="GBP"), AL37,
            AND(Y37="GBP", Transactions!$Q$2="USD"), AL37*Transactions!$Z$6,
            AND(Y37="GBP", Transactions!$Q$2="HKD"), AL37*Transactions!$Z$7,
            AND(Y37="HKG", Transactions!$Q$2="HKG"), AL37,
            AND(Y37="HKD", Transactions!$Q$2="USD"), AL37*Transactions!$Z$9,
            AND(Y37="HKD", Transactions!$Q$2="GBP"), AL37*Transactions!$Z$10,
            AND(Y37="HKD", Transactions!$Q$2="EUR"), AL37*Transactions!$Z$11,
            AND(Y37="EUR", Transactions!$Q$2="EUR"), AL37,
            AND(Y37="EUR", Transactions!$Q$2="USD"), AL37*Transactions!$Z$12,
            AND(Y37="EUR", Transactions!$Q$2="GBP"), AL37*Transactions!$Z$13,
            AND(Y37="EUR", Transactions!$Q$2="HKD"), AL37*Transactions!$Z$14,
        ),
        0
    )
)</f>
        <v>0</v>
      </c>
      <c r="N37" s="120" cm="1">
        <f t="array" ref="N37">IF($A37="", "",
    IFERROR(
        _xlfn.SWITCH(
            TRUE,
            AND(Y37="USD", Transactions!$Q$2="USD"), AM37,
            AND(Y37="USD", Transactions!$Q$2="GBP"), AM37*Transactions!$Z$3,
            AND(Y37="USD", Transactions!$Q$2="HKD"), AM37*Transactions!$Z$4,
            AND(Y37="USD", Transactions!$Q$2="EUR"), AM37*Transactions!$Z$5,
            AND(Y37="GBP", Transactions!$Q$2="GBP"), AM37,
            AND(Y37="GBP", Transactions!$Q$2="USD"), AM37*Transactions!$Z$6,
            AND(Y37="GBP", Transactions!$Q$2="HKD"), AM37*Transactions!$Z$7,
            AND(Y37="HKG", Transactions!$Q$2="HKG"), AM37,
            AND(Y37="HKD", Transactions!$Q$2="USD"), AM37*Transactions!$Z$9,
            AND(Y37="HKD", Transactions!$Q$2="GBP"), AM37*Transactions!$Z$10,
            AND(Y37="HKD", Transactions!$Q$2="EUR"), AM37*Transactions!$Z$11,
            AND(Y37="EUR", Transactions!$Q$2="EUR"), AM37,
            AND(Y37="EUR", Transactions!$Q$2="USD"), AM37*Transactions!$Z$12,
            AND(Y37="EUR", Transactions!$Q$2="GBP"), AM37*Transactions!$Z$13,
            AND(Y37="EUR", Transactions!$Q$2="HKD"), AM37*Transactions!$Z$14,
        ),
        0
    )
)</f>
        <v>-60.203700000000026</v>
      </c>
      <c r="O37" s="145"/>
      <c r="P37" s="145"/>
      <c r="Q37" s="41">
        <f t="shared" si="24"/>
        <v>2.2046564319647259E-3</v>
      </c>
      <c r="S37" s="41">
        <f t="shared" si="25"/>
        <v>2.2046564319647259E-3</v>
      </c>
      <c r="T37" s="1" t="str">
        <f t="shared" si="26"/>
        <v>Crypto</v>
      </c>
      <c r="U37" s="41">
        <f t="shared" si="27"/>
        <v>0.81515627319794193</v>
      </c>
      <c r="V37" s="41">
        <f t="shared" si="28"/>
        <v>0</v>
      </c>
      <c r="W37" s="41">
        <f t="shared" si="29"/>
        <v>0.81515627319794193</v>
      </c>
      <c r="X37" s="1" t="str">
        <f t="shared" si="29"/>
        <v>Luanchpool</v>
      </c>
      <c r="Y37" s="17" t="str">
        <f>IFERROR(IF(ISBLANK(AA37), "", IF(VLOOKUP(AA37, Transactions!D:F, 3, FALSE) = "Stablecoin", AA37, INDEX(Transactions!$B$3:$B1041, MATCH(AA37, Transactions!$D$3:$D1041, 0)))), "")</f>
        <v>USD</v>
      </c>
      <c r="Z37" s="1" t="str">
        <f>_xlfn.XLOOKUP(AA37,Transactions!$D$3:$D$1007,Transactions!$E$3:$E$1007)</f>
        <v>Neutron</v>
      </c>
      <c r="AA37" s="1" t="str">
        <v>NTRN</v>
      </c>
      <c r="AB37" s="118" cm="1">
        <f t="array" ref="AB37">IF(ISBLANK(AA37), "",
    SUMPRODUCT(
        (Transactions!$D$3:$D$1007=AA37) *
        (Transactions!$H$3:$H$1007={"Cash Deposit","Crypto Deposit","Buy","Transfer Deposit","DRIP","Airdrop/Rewards"}) *
        Transactions!$I$3:$I$1007
    )
    - SUMPRODUCT(
        (Transactions!$D$3:$D$1007=AA37) *
        (Transactions!$H$3:$H$1007={"Sell","Transfer Send","Cash Withdrawal","Crypto Withdrawal"}) *
        Transactions!$I$3:$I$1007
    )
)</f>
        <v>269.89999999999998</v>
      </c>
      <c r="AC37" s="2" cm="1">
        <f t="array" ref="AC37">IF(ISBLANK(AA37), "", LOOKUP(2, 1/(Transactions!D:D=AA37), Transactions!P:P))</f>
        <v>1.533059281215265</v>
      </c>
      <c r="AD37" s="2" cm="1">
        <f t="array" ref="AD37">IF(ISBLANK(AA37),"",IFERROR(_FV(AA37,"price"),INDEX('CoinGeko API'!E:E,MATCH(Portfolio_v2!AA37,'CoinGeko API'!C:C,0))))</f>
        <v>1.31</v>
      </c>
      <c r="AF37" s="39" cm="1">
        <f t="array" ref="AF37">IF(ISBLANK(AA37),"",IFERROR(_FV(AA37,"Change (%)",TRUE),INDEX('CoinGeko API'!G:G,MATCH(Portfolio_v2!AA37,'CoinGeko API'!C:C,0))))</f>
        <v>8.6386500000000005E-2</v>
      </c>
      <c r="AG37" s="34" cm="1">
        <f t="array" ref="AG37">IF(ISBLANK(AA37),"",IFERROR(_FV(AA37,"change"),INDEX('CoinGeko API'!F:F,MATCH(Portfolio_v2!AA37,'CoinGeko API'!C:C,0))))</f>
        <v>0.104071</v>
      </c>
      <c r="AH37" s="2">
        <f t="shared" si="13"/>
        <v>413.77269999999999</v>
      </c>
      <c r="AI37" s="2">
        <f t="shared" si="14"/>
        <v>353.56899999999996</v>
      </c>
      <c r="AJ37" s="40">
        <f t="shared" si="15"/>
        <v>-0.14549944933534772</v>
      </c>
      <c r="AK37" s="2">
        <f t="shared" si="16"/>
        <v>-60.203700000000026</v>
      </c>
      <c r="AL37" s="119">
        <f>IF(OR(ISBLANK(AA37), COUNTIFS(Transactions!$D$3:$D1041, AA37) = 0), "",
    SUMIFS(Transactions!$M$3:$M1041, Transactions!$H$3:$H1041, "Sell", Transactions!$D$3:$D1041, AA37) +
    SUMIFS(Transactions!$M$3:$M1041, Transactions!$H$3:$H1041, "Dividend", Transactions!$D$3:$D1041, AA37) -
    SUMIFS(Transactions!$M$3:$M1041, Transactions!$H$3:$H1041, "Buy", Transactions!$D$3:$D1041, AA37) -
    SUMIFS(Transactions!$M$3:$M1041, Transactions!$H$3:$H1041, "Crypto Deposit", Transactions!$D$3:$D1041, AA37) -
    SUMIFS(Transactions!$M$3:$M1041, Transactions!$H$3:$H1041, "DRIP", Transactions!$D$3:$D1041, AA37) +
    SUMIFS($AH$3:$AH1033, $AA$3:$AA1033, AA37) +
    SUMIFS(Transactions!$M$3:$M1041, Transactions!$L$3:$L1041, "Stablecoin", Transactions!$B$3:$B1041, AA37)
)</f>
        <v>0</v>
      </c>
      <c r="AM37" s="120">
        <f t="shared" si="17"/>
        <v>-60.203700000000026</v>
      </c>
      <c r="AN37" s="145"/>
      <c r="AO37" s="145"/>
      <c r="AP37" s="41">
        <f t="shared" si="1"/>
        <v>2.2046564319647259E-3</v>
      </c>
      <c r="AR37" s="41">
        <f t="shared" si="18"/>
        <v>2.2046564319647259E-3</v>
      </c>
      <c r="AS37" s="1" t="str">
        <f>_xlfn.XLOOKUP(AA37,Transactions!$D$3:$D$1007,Transactions!$F$3:$F$1007)</f>
        <v>Crypto</v>
      </c>
      <c r="AT37" s="41">
        <f t="shared" si="19"/>
        <v>0.81515627319794193</v>
      </c>
      <c r="AU37" s="41">
        <f t="shared" si="20"/>
        <v>0</v>
      </c>
      <c r="AV37" s="41">
        <f t="shared" si="21"/>
        <v>0.81515627319794193</v>
      </c>
      <c r="AW37" s="18" t="s">
        <v>478</v>
      </c>
    </row>
    <row r="38" spans="1:49" ht="18" customHeight="1">
      <c r="A38" s="17" t="str">
        <f t="shared" si="2"/>
        <v>Optimism</v>
      </c>
      <c r="B38" s="1" t="str">
        <f t="shared" si="3"/>
        <v>OP</v>
      </c>
      <c r="C38" s="118">
        <f t="shared" si="4"/>
        <v>55.93</v>
      </c>
      <c r="D38" s="2" cm="1">
        <f t="array" ref="D38">IF($A38="", "",
    IFERROR(
        _xlfn.SWITCH(
            TRUE,
            AND(Y38="USD", Transactions!$Q$2="USD"), AC38,
            AND(Y38="USD", Transactions!$Q$2="GBP"), AC38*Transactions!$Z$3,
            AND(Y38="USD", Transactions!$Q$2="HKD"), AC38*Transactions!$Z$4,
            AND(Y38="USD", Transactions!$Q$2="EUR"), AC38*Transactions!$Z$5,
            AND(Y38="GBP", Transactions!$Q$2="GBP"), AC38,
            AND(Y38="GBP", Transactions!$Q$2="USD"), AC38*Transactions!$Z$6,
            AND(Y38="GBP", Transactions!$Q$2="HKD"), AC38*Transactions!$Z$7,
            AND(Y38="HKG", Transactions!$Q$2="HKG"), AC38,
            AND(Y38="HKD", Transactions!$Q$2="USD"), AC38*Transactions!$Z$9,
            AND(Y38="HKD", Transactions!$Q$2="GBP"), AC38*Transactions!$Z$10,
            AND(Y38="HKD", Transactions!$Q$2="EUR"), AC38*Transactions!$Z$11,
            AND(Y38="EUR", Transactions!$Q$2="EUR"), AC38,
            AND(Y38="EUR", Transactions!$Q$2="USD"), AC38*Transactions!$Z$12,
            AND(Y38="EUR", Transactions!$Q$2="GBP"), AC38*Transactions!$Z$13,
            AND(Y38="EUR", Transactions!$Q$2="HKD"), AC38*Transactions!$Z$14,
        ),
        0
    )
)</f>
        <v>3.44</v>
      </c>
      <c r="E38" s="2" cm="1">
        <f t="array" ref="E38">IF($A38="", "",
    IFERROR(
        _xlfn.SWITCH(
            TRUE,
            AND(Y38="USD", Transactions!$Q$2="USD"), AD38,
            AND(Y38="USD", Transactions!$Q$2="GBP"), AD38*Transactions!$Z$3,
            AND(Y38="USD", Transactions!$Q$2="HKD"), AD38*Transactions!$Z$4,
            AND(Y38="USD", Transactions!$Q$2="EUR"), AD38*Transactions!$Z$5,
            AND(Y38="GBP", Transactions!$Q$2="GBP"), AD38,
            AND(Y38="GBP", Transactions!$Q$2="USD"), AD38*Transactions!$Z$6,
            AND(Y38="GBP", Transactions!$Q$2="HKD"), AD38*Transactions!$Z$7,
            AND(Y38="HKG", Transactions!$Q$2="HKG"), AD38,
            AND(Y38="HKD", Transactions!$Q$2="USD"), AD38*Transactions!$Z$9,
            AND(Y38="HKD", Transactions!$Q$2="GBP"), AD38*Transactions!$Z$10,
            AND(Y38="HKD", Transactions!$Q$2="EUR"), AD38*Transactions!$Z$11,
            AND(Y38="EUR", Transactions!$Q$2="EUR"), AD38,
            AND(Y38="EUR", Transactions!$Q$2="USD"), AD38*Transactions!$Z$12,
            AND(Y38="EUR", Transactions!$Q$2="GBP"), AD38*Transactions!$Z$13,
            AND(Y38="EUR", Transactions!$Q$2="HKD"), AD38*Transactions!$Z$14,
        ),
        0
    )
)</f>
        <v>3.86</v>
      </c>
      <c r="G38" s="121">
        <f t="shared" si="22"/>
        <v>2.6769100000000001E-2</v>
      </c>
      <c r="H38" s="34" cm="1">
        <f t="array" ref="H38">IF($A38="", "",
    IFERROR(
        _xlfn.SWITCH(
            TRUE,
            AND(Y38="USD", Transactions!$Q$2="USD"), AG38,
            AND(Y38="USD", Transactions!$Q$2="GBP"), AG38*Transactions!$Z$3,
            AND(Y38="USD", Transactions!$Q$2="HKD"), AG38*Transactions!$Z$4,
            AND(Y38="USD", Transactions!$Q$2="EUR"), AG38*Transactions!$Z$5,
            AND(Y38="GBP", Transactions!$Q$2="GBP"), AG38,
            AND(Y38="GBP", Transactions!$Q$2="USD"), AG38*Transactions!$Z$6,
            AND(Y38="GBP", Transactions!$Q$2="HKD"), AG38*Transactions!$Z$7,
            AND(Y38="HKG", Transactions!$Q$2="HKG"), AG38,
            AND(Y38="HKD", Transactions!$Q$2="USD"), AG38*Transactions!$Z$9,
            AND(Y38="HKD", Transactions!$Q$2="GBP"), AG38*Transactions!$Z$10,
            AND(Y38="HKD", Transactions!$Q$2="EUR"), AG38*Transactions!$Z$11,
            AND(Y38="EUR", Transactions!$Q$2="EUR"), AG38,
            AND(Y38="EUR", Transactions!$Q$2="USD"), AG38*Transactions!$Z$12,
            AND(Y38="EUR", Transactions!$Q$2="GBP"), AG38*Transactions!$Z$13,
            AND(Y38="EUR", Transactions!$Q$2="HKD"), AG38*Transactions!$Z$14,
        ),
        0
    )
)</f>
        <v>0.100531</v>
      </c>
      <c r="I38" s="2" cm="1">
        <f t="array" ref="I38">IF($A38="", "",
    IFERROR(
        _xlfn.SWITCH(
            TRUE,
            AND(Y38="USD", Transactions!$Q$2="USD"), AH38,
            AND(Y38="USD", Transactions!$Q$2="GBP"), AH38*Transactions!$Z$3,
            AND(Y38="USD", Transactions!$Q$2="HKD"), AH38*Transactions!$Z$4,
            AND(Y38="USD", Transactions!$Q$2="EUR"), AH38*Transactions!$Z$5,
            AND(Y38="GBP", Transactions!$Q$2="GBP"), AH38,
            AND(Y38="GBP", Transactions!$Q$2="USD"), AH38*Transactions!$Z$6,
            AND(Y38="GBP", Transactions!$Q$2="HKD"), AH38*Transactions!$Z$7,
            AND(Y38="HKG", Transactions!$Q$2="HKG"), AH38,
            AND(Y38="HKD", Transactions!$Q$2="USD"), AH38*Transactions!$Z$9,
            AND(Y38="HKD", Transactions!$Q$2="GBP"), AH38*Transactions!$Z$10,
            AND(Y38="HKD", Transactions!$Q$2="EUR"), AH38*Transactions!$Z$11,
            AND(Y38="EUR", Transactions!$Q$2="EUR"), AH38,
            AND(Y38="EUR", Transactions!$Q$2="USD"), AH38*Transactions!$Z$12,
            AND(Y38="EUR", Transactions!$Q$2="GBP"), AH38*Transactions!$Z$13,
            AND(Y38="EUR", Transactions!$Q$2="HKD"), AH38*Transactions!$Z$14,
        ),
        0
    )
)</f>
        <v>192.39920000000001</v>
      </c>
      <c r="J38" s="2" cm="1">
        <f t="array" ref="J38">IF($A38="", "",
    IFERROR(
        _xlfn.SWITCH(
            TRUE,
            AND(Y38="USD", Transactions!$Q$2="USD"), AI38,
            AND(Y38="USD", Transactions!$Q$2="GBP"), AI38*Transactions!$Z$3,
            AND(Y38="USD", Transactions!$Q$2="HKD"), AI38*Transactions!$Z$4,
            AND(Y38="USD", Transactions!$Q$2="EUR"), AI38*Transactions!$Z$5,
            AND(Y38="GBP", Transactions!$Q$2="GBP"), AI38,
            AND(Y38="GBP", Transactions!$Q$2="USD"), AI38*Transactions!$Z$6,
            AND(Y38="GBP", Transactions!$Q$2="HKD"), AI38*Transactions!$Z$7,
            AND(Y38="HKG", Transactions!$Q$2="HKG"), AI38,
            AND(Y38="HKD", Transactions!$Q$2="USD"), AI38*Transactions!$Z$9,
            AND(Y38="HKD", Transactions!$Q$2="GBP"), AI38*Transactions!$Z$10,
            AND(Y38="HKD", Transactions!$Q$2="EUR"), AI38*Transactions!$Z$11,
            AND(Y38="EUR", Transactions!$Q$2="EUR"), AI38,
            AND(Y38="EUR", Transactions!$Q$2="USD"), AI38*Transactions!$Z$12,
            AND(Y38="EUR", Transactions!$Q$2="GBP"), AI38*Transactions!$Z$13,
            AND(Y38="EUR", Transactions!$Q$2="HKD"), AI38*Transactions!$Z$14,
        ),
        0
    )
)</f>
        <v>215.88979999999998</v>
      </c>
      <c r="K38" s="41">
        <f t="shared" si="23"/>
        <v>0.12209302325581381</v>
      </c>
      <c r="L38" s="2" cm="1">
        <f t="array" ref="L38">IF($A38="", "",
    IFERROR(
        _xlfn.SWITCH(
            TRUE,
            AND(Y38="USD", Transactions!$Q$2="USD"), AK38,
            AND(Y38="USD", Transactions!$Q$2="GBP"), AK38*Transactions!$Z$3,
            AND(Y38="USD", Transactions!$Q$2="HKD"), AK38*Transactions!$Z$4,
            AND(Y38="USD", Transactions!$Q$2="EUR"), AK38*Transactions!$Z$5,
            AND(Y38="GBP", Transactions!$Q$2="GBP"), AK38,
            AND(Y38="GBP", Transactions!$Q$2="USD"), AK38*Transactions!$Z$6,
            AND(Y38="GBP", Transactions!$Q$2="HKD"), AK38*Transactions!$Z$7,
            AND(Y38="HKG", Transactions!$Q$2="HKG"), AK38,
            AND(Y38="HKD", Transactions!$Q$2="USD"), AK38*Transactions!$Z$9,
            AND(Y38="HKD", Transactions!$Q$2="GBP"), AK38*Transactions!$Z$10,
            AND(Y38="HKD", Transactions!$Q$2="EUR"), AK38*Transactions!$Z$11,
            AND(Y38="EUR", Transactions!$Q$2="EUR"), AK38,
            AND(Y38="EUR", Transactions!$Q$2="USD"), AK38*Transactions!$Z$12,
            AND(Y38="EUR", Transactions!$Q$2="GBP"), AK38*Transactions!$Z$13,
            AND(Y38="EUR", Transactions!$Q$2="HKD"), AK38*Transactions!$Z$14,
        ),
        0
    )
)</f>
        <v>23.490599999999972</v>
      </c>
      <c r="M38" s="119" cm="1">
        <f t="array" ref="M38">IF($A38="", "",
    IFERROR(
        _xlfn.SWITCH(
            TRUE,
            AND(Y38="USD", Transactions!$Q$2="USD"), AL38,
            AND(Y38="USD", Transactions!$Q$2="GBP"), AL38*Transactions!$Z$3,
            AND(Y38="USD", Transactions!$Q$2="HKD"), AL38*Transactions!$Z$4,
            AND(Y38="USD", Transactions!$Q$2="EUR"), AL38*Transactions!$Z$5,
            AND(Y38="GBP", Transactions!$Q$2="GBP"), AL38,
            AND(Y38="GBP", Transactions!$Q$2="USD"), AL38*Transactions!$Z$6,
            AND(Y38="GBP", Transactions!$Q$2="HKD"), AL38*Transactions!$Z$7,
            AND(Y38="HKG", Transactions!$Q$2="HKG"), AL38,
            AND(Y38="HKD", Transactions!$Q$2="USD"), AL38*Transactions!$Z$9,
            AND(Y38="HKD", Transactions!$Q$2="GBP"), AL38*Transactions!$Z$10,
            AND(Y38="HKD", Transactions!$Q$2="EUR"), AL38*Transactions!$Z$11,
            AND(Y38="EUR", Transactions!$Q$2="EUR"), AL38,
            AND(Y38="EUR", Transactions!$Q$2="USD"), AL38*Transactions!$Z$12,
            AND(Y38="EUR", Transactions!$Q$2="GBP"), AL38*Transactions!$Z$13,
            AND(Y38="EUR", Transactions!$Q$2="HKD"), AL38*Transactions!$Z$14,
        ),
        0
    )
)</f>
        <v>0</v>
      </c>
      <c r="N38" s="120" cm="1">
        <f t="array" ref="N38">IF($A38="", "",
    IFERROR(
        _xlfn.SWITCH(
            TRUE,
            AND(Y38="USD", Transactions!$Q$2="USD"), AM38,
            AND(Y38="USD", Transactions!$Q$2="GBP"), AM38*Transactions!$Z$3,
            AND(Y38="USD", Transactions!$Q$2="HKD"), AM38*Transactions!$Z$4,
            AND(Y38="USD", Transactions!$Q$2="EUR"), AM38*Transactions!$Z$5,
            AND(Y38="GBP", Transactions!$Q$2="GBP"), AM38,
            AND(Y38="GBP", Transactions!$Q$2="USD"), AM38*Transactions!$Z$6,
            AND(Y38="GBP", Transactions!$Q$2="HKD"), AM38*Transactions!$Z$7,
            AND(Y38="HKG", Transactions!$Q$2="HKG"), AM38,
            AND(Y38="HKD", Transactions!$Q$2="USD"), AM38*Transactions!$Z$9,
            AND(Y38="HKD", Transactions!$Q$2="GBP"), AM38*Transactions!$Z$10,
            AND(Y38="HKD", Transactions!$Q$2="EUR"), AM38*Transactions!$Z$11,
            AND(Y38="EUR", Transactions!$Q$2="EUR"), AM38,
            AND(Y38="EUR", Transactions!$Q$2="USD"), AM38*Transactions!$Z$12,
            AND(Y38="EUR", Transactions!$Q$2="GBP"), AM38*Transactions!$Z$13,
            AND(Y38="EUR", Transactions!$Q$2="HKD"), AM38*Transactions!$Z$14,
        ),
        0
    )
)</f>
        <v>23.490599999999972</v>
      </c>
      <c r="O38" s="145"/>
      <c r="P38" s="145"/>
      <c r="Q38" s="41">
        <f t="shared" si="24"/>
        <v>1.346166762825865E-3</v>
      </c>
      <c r="S38" s="41">
        <f t="shared" si="25"/>
        <v>1.346166762825865E-3</v>
      </c>
      <c r="T38" s="1" t="str">
        <f t="shared" si="26"/>
        <v>Crypto</v>
      </c>
      <c r="U38" s="41">
        <f t="shared" si="27"/>
        <v>0.81515627319794193</v>
      </c>
      <c r="V38" s="41">
        <f t="shared" si="28"/>
        <v>0</v>
      </c>
      <c r="W38" s="41">
        <f t="shared" si="29"/>
        <v>0.81515627319794193</v>
      </c>
      <c r="X38" s="1" t="str">
        <f t="shared" si="29"/>
        <v>Layer 2</v>
      </c>
      <c r="Y38" s="17" t="str">
        <f>IFERROR(IF(ISBLANK(AA38), "", IF(VLOOKUP(AA38, Transactions!D:F, 3, FALSE) = "Stablecoin", AA38, INDEX(Transactions!$B$3:$B1042, MATCH(AA38, Transactions!$D$3:$D1042, 0)))), "")</f>
        <v>USD</v>
      </c>
      <c r="Z38" s="1" t="str">
        <f>_xlfn.XLOOKUP(AA38,Transactions!$D$3:$D$1007,Transactions!$E$3:$E$1007)</f>
        <v>Optimism</v>
      </c>
      <c r="AA38" s="1" t="str">
        <v>OP</v>
      </c>
      <c r="AB38" s="118" cm="1">
        <f t="array" ref="AB38">IF(ISBLANK(AA38), "",
    SUMPRODUCT(
        (Transactions!$D$3:$D$1007=AA38) *
        (Transactions!$H$3:$H$1007={"Cash Deposit","Crypto Deposit","Buy","Transfer Deposit","DRIP","Airdrop/Rewards"}) *
        Transactions!$I$3:$I$1007
    )
    - SUMPRODUCT(
        (Transactions!$D$3:$D$1007=AA38) *
        (Transactions!$H$3:$H$1007={"Sell","Transfer Send","Cash Withdrawal","Crypto Withdrawal"}) *
        Transactions!$I$3:$I$1007
    )
)</f>
        <v>55.93</v>
      </c>
      <c r="AC38" s="2" cm="1">
        <f t="array" ref="AC38">IF(ISBLANK(AA38), "", LOOKUP(2, 1/(Transactions!D:D=AA38), Transactions!P:P))</f>
        <v>3.44</v>
      </c>
      <c r="AD38" s="2" cm="1">
        <f t="array" ref="AD38">IF(ISBLANK(AA38),"",IFERROR(_FV(AA38,"price"),INDEX('CoinGeko API'!E:E,MATCH(Portfolio_v2!AA38,'CoinGeko API'!C:C,0))))</f>
        <v>3.86</v>
      </c>
      <c r="AF38" s="39" cm="1">
        <f t="array" ref="AF38">IF(ISBLANK(AA38),"",IFERROR(_FV(AA38,"Change (%)",TRUE),INDEX('CoinGeko API'!G:G,MATCH(Portfolio_v2!AA38,'CoinGeko API'!C:C,0))))</f>
        <v>2.6769100000000001E-2</v>
      </c>
      <c r="AG38" s="34" cm="1">
        <f t="array" ref="AG38">IF(ISBLANK(AA38),"",IFERROR(_FV(AA38,"change"),INDEX('CoinGeko API'!F:F,MATCH(Portfolio_v2!AA38,'CoinGeko API'!C:C,0))))</f>
        <v>0.100531</v>
      </c>
      <c r="AH38" s="2">
        <f t="shared" si="13"/>
        <v>192.39920000000001</v>
      </c>
      <c r="AI38" s="2">
        <f t="shared" si="14"/>
        <v>215.88979999999998</v>
      </c>
      <c r="AJ38" s="40">
        <f t="shared" si="15"/>
        <v>0.12209302325581381</v>
      </c>
      <c r="AK38" s="2">
        <f t="shared" si="16"/>
        <v>23.490599999999972</v>
      </c>
      <c r="AL38" s="119">
        <f>IF(OR(ISBLANK(AA38), COUNTIFS(Transactions!$D$3:$D1042, AA38) = 0), "",
    SUMIFS(Transactions!$M$3:$M1042, Transactions!$H$3:$H1042, "Sell", Transactions!$D$3:$D1042, AA38) +
    SUMIFS(Transactions!$M$3:$M1042, Transactions!$H$3:$H1042, "Dividend", Transactions!$D$3:$D1042, AA38) -
    SUMIFS(Transactions!$M$3:$M1042, Transactions!$H$3:$H1042, "Buy", Transactions!$D$3:$D1042, AA38) -
    SUMIFS(Transactions!$M$3:$M1042, Transactions!$H$3:$H1042, "Crypto Deposit", Transactions!$D$3:$D1042, AA38) -
    SUMIFS(Transactions!$M$3:$M1042, Transactions!$H$3:$H1042, "DRIP", Transactions!$D$3:$D1042, AA38) +
    SUMIFS($AH$3:$AH1034, $AA$3:$AA1034, AA38) +
    SUMIFS(Transactions!$M$3:$M1042, Transactions!$L$3:$L1042, "Stablecoin", Transactions!$B$3:$B1042, AA38)
)</f>
        <v>0</v>
      </c>
      <c r="AM38" s="120">
        <f t="shared" si="17"/>
        <v>23.490599999999972</v>
      </c>
      <c r="AN38" s="145"/>
      <c r="AO38" s="145"/>
      <c r="AP38" s="41">
        <f t="shared" si="1"/>
        <v>1.346166762825865E-3</v>
      </c>
      <c r="AR38" s="41">
        <f t="shared" si="18"/>
        <v>1.346166762825865E-3</v>
      </c>
      <c r="AS38" s="1" t="str">
        <f>_xlfn.XLOOKUP(AA38,Transactions!$D$3:$D$1007,Transactions!$F$3:$F$1007)</f>
        <v>Crypto</v>
      </c>
      <c r="AT38" s="41">
        <f t="shared" si="19"/>
        <v>0.81515627319794193</v>
      </c>
      <c r="AU38" s="41">
        <f t="shared" si="20"/>
        <v>0</v>
      </c>
      <c r="AV38" s="41">
        <f t="shared" si="21"/>
        <v>0.81515627319794193</v>
      </c>
      <c r="AW38" s="18" t="s">
        <v>17</v>
      </c>
    </row>
    <row r="39" spans="1:49" ht="18" customHeight="1">
      <c r="A39" s="17" t="str">
        <f t="shared" si="2"/>
        <v>Osmosis</v>
      </c>
      <c r="B39" s="1" t="str">
        <f t="shared" si="3"/>
        <v>OSMO</v>
      </c>
      <c r="C39" s="118">
        <f t="shared" si="4"/>
        <v>567.5</v>
      </c>
      <c r="D39" s="2" cm="1">
        <f t="array" ref="D39">IF($A39="", "",
    IFERROR(
        _xlfn.SWITCH(
            TRUE,
            AND(Y39="USD", Transactions!$Q$2="USD"), AC39,
            AND(Y39="USD", Transactions!$Q$2="GBP"), AC39*Transactions!$Z$3,
            AND(Y39="USD", Transactions!$Q$2="HKD"), AC39*Transactions!$Z$4,
            AND(Y39="USD", Transactions!$Q$2="EUR"), AC39*Transactions!$Z$5,
            AND(Y39="GBP", Transactions!$Q$2="GBP"), AC39,
            AND(Y39="GBP", Transactions!$Q$2="USD"), AC39*Transactions!$Z$6,
            AND(Y39="GBP", Transactions!$Q$2="HKD"), AC39*Transactions!$Z$7,
            AND(Y39="HKG", Transactions!$Q$2="HKG"), AC39,
            AND(Y39="HKD", Transactions!$Q$2="USD"), AC39*Transactions!$Z$9,
            AND(Y39="HKD", Transactions!$Q$2="GBP"), AC39*Transactions!$Z$10,
            AND(Y39="HKD", Transactions!$Q$2="EUR"), AC39*Transactions!$Z$11,
            AND(Y39="EUR", Transactions!$Q$2="EUR"), AC39,
            AND(Y39="EUR", Transactions!$Q$2="USD"), AC39*Transactions!$Z$12,
            AND(Y39="EUR", Transactions!$Q$2="GBP"), AC39*Transactions!$Z$13,
            AND(Y39="EUR", Transactions!$Q$2="HKD"), AC39*Transactions!$Z$14,
        ),
        0
    )
)</f>
        <v>1.78</v>
      </c>
      <c r="E39" s="2" cm="1">
        <f t="array" ref="E39">IF($A39="", "",
    IFERROR(
        _xlfn.SWITCH(
            TRUE,
            AND(Y39="USD", Transactions!$Q$2="USD"), AD39,
            AND(Y39="USD", Transactions!$Q$2="GBP"), AD39*Transactions!$Z$3,
            AND(Y39="USD", Transactions!$Q$2="HKD"), AD39*Transactions!$Z$4,
            AND(Y39="USD", Transactions!$Q$2="EUR"), AD39*Transactions!$Z$5,
            AND(Y39="GBP", Transactions!$Q$2="GBP"), AD39,
            AND(Y39="GBP", Transactions!$Q$2="USD"), AD39*Transactions!$Z$6,
            AND(Y39="GBP", Transactions!$Q$2="HKD"), AD39*Transactions!$Z$7,
            AND(Y39="HKG", Transactions!$Q$2="HKG"), AD39,
            AND(Y39="HKD", Transactions!$Q$2="USD"), AD39*Transactions!$Z$9,
            AND(Y39="HKD", Transactions!$Q$2="GBP"), AD39*Transactions!$Z$10,
            AND(Y39="HKD", Transactions!$Q$2="EUR"), AD39*Transactions!$Z$11,
            AND(Y39="EUR", Transactions!$Q$2="EUR"), AD39,
            AND(Y39="EUR", Transactions!$Q$2="USD"), AD39*Transactions!$Z$12,
            AND(Y39="EUR", Transactions!$Q$2="GBP"), AD39*Transactions!$Z$13,
            AND(Y39="EUR", Transactions!$Q$2="HKD"), AD39*Transactions!$Z$14,
        ),
        0
    )
)</f>
        <v>1.37</v>
      </c>
      <c r="G39" s="121">
        <v>0</v>
      </c>
      <c r="H39" s="34" cm="1">
        <f t="array" ref="H39">IF($A39="", "",
    IFERROR(
        _xlfn.SWITCH(
            TRUE,
            AND(Y39="USD", Transactions!$Q$2="USD"), AG39,
            AND(Y39="USD", Transactions!$Q$2="GBP"), AG39*Transactions!$Z$3,
            AND(Y39="USD", Transactions!$Q$2="HKD"), AG39*Transactions!$Z$4,
            AND(Y39="USD", Transactions!$Q$2="EUR"), AG39*Transactions!$Z$5,
            AND(Y39="GBP", Transactions!$Q$2="GBP"), AG39,
            AND(Y39="GBP", Transactions!$Q$2="USD"), AG39*Transactions!$Z$6,
            AND(Y39="GBP", Transactions!$Q$2="HKD"), AG39*Transactions!$Z$7,
            AND(Y39="HKG", Transactions!$Q$2="HKG"), AG39,
            AND(Y39="HKD", Transactions!$Q$2="USD"), AG39*Transactions!$Z$9,
            AND(Y39="HKD", Transactions!$Q$2="GBP"), AG39*Transactions!$Z$10,
            AND(Y39="HKD", Transactions!$Q$2="EUR"), AG39*Transactions!$Z$11,
            AND(Y39="EUR", Transactions!$Q$2="EUR"), AG39,
            AND(Y39="EUR", Transactions!$Q$2="USD"), AG39*Transactions!$Z$12,
            AND(Y39="EUR", Transactions!$Q$2="GBP"), AG39*Transactions!$Z$13,
            AND(Y39="EUR", Transactions!$Q$2="HKD"), AG39*Transactions!$Z$14,
        ),
        0
    )
)</f>
        <v>5.2483000000000002E-2</v>
      </c>
      <c r="I39" s="2" cm="1">
        <f t="array" ref="I39">IF($A39="", "",
    IFERROR(
        _xlfn.SWITCH(
            TRUE,
            AND(Y39="USD", Transactions!$Q$2="USD"), AH39,
            AND(Y39="USD", Transactions!$Q$2="GBP"), AH39*Transactions!$Z$3,
            AND(Y39="USD", Transactions!$Q$2="HKD"), AH39*Transactions!$Z$4,
            AND(Y39="USD", Transactions!$Q$2="EUR"), AH39*Transactions!$Z$5,
            AND(Y39="GBP", Transactions!$Q$2="GBP"), AH39,
            AND(Y39="GBP", Transactions!$Q$2="USD"), AH39*Transactions!$Z$6,
            AND(Y39="GBP", Transactions!$Q$2="HKD"), AH39*Transactions!$Z$7,
            AND(Y39="HKG", Transactions!$Q$2="HKG"), AH39,
            AND(Y39="HKD", Transactions!$Q$2="USD"), AH39*Transactions!$Z$9,
            AND(Y39="HKD", Transactions!$Q$2="GBP"), AH39*Transactions!$Z$10,
            AND(Y39="HKD", Transactions!$Q$2="EUR"), AH39*Transactions!$Z$11,
            AND(Y39="EUR", Transactions!$Q$2="EUR"), AH39,
            AND(Y39="EUR", Transactions!$Q$2="USD"), AH39*Transactions!$Z$12,
            AND(Y39="EUR", Transactions!$Q$2="GBP"), AH39*Transactions!$Z$13,
            AND(Y39="EUR", Transactions!$Q$2="HKD"), AH39*Transactions!$Z$14,
        ),
        0
    )
)</f>
        <v>1010.15</v>
      </c>
      <c r="J39" s="2" cm="1">
        <f t="array" ref="J39">IF($A39="", "",
    IFERROR(
        _xlfn.SWITCH(
            TRUE,
            AND(Y39="USD", Transactions!$Q$2="USD"), AI39,
            AND(Y39="USD", Transactions!$Q$2="GBP"), AI39*Transactions!$Z$3,
            AND(Y39="USD", Transactions!$Q$2="HKD"), AI39*Transactions!$Z$4,
            AND(Y39="USD", Transactions!$Q$2="EUR"), AI39*Transactions!$Z$5,
            AND(Y39="GBP", Transactions!$Q$2="GBP"), AI39,
            AND(Y39="GBP", Transactions!$Q$2="USD"), AI39*Transactions!$Z$6,
            AND(Y39="GBP", Transactions!$Q$2="HKD"), AI39*Transactions!$Z$7,
            AND(Y39="HKG", Transactions!$Q$2="HKG"), AI39,
            AND(Y39="HKD", Transactions!$Q$2="USD"), AI39*Transactions!$Z$9,
            AND(Y39="HKD", Transactions!$Q$2="GBP"), AI39*Transactions!$Z$10,
            AND(Y39="HKD", Transactions!$Q$2="EUR"), AI39*Transactions!$Z$11,
            AND(Y39="EUR", Transactions!$Q$2="EUR"), AI39,
            AND(Y39="EUR", Transactions!$Q$2="USD"), AI39*Transactions!$Z$12,
            AND(Y39="EUR", Transactions!$Q$2="GBP"), AI39*Transactions!$Z$13,
            AND(Y39="EUR", Transactions!$Q$2="HKD"), AI39*Transactions!$Z$14,
        ),
        0
    )
)</f>
        <v>777.47500000000002</v>
      </c>
      <c r="K39" s="41">
        <f t="shared" si="23"/>
        <v>-0.23033707865168535</v>
      </c>
      <c r="L39" s="2" cm="1">
        <f t="array" ref="L39">IF($A39="", "",
    IFERROR(
        _xlfn.SWITCH(
            TRUE,
            AND(Y39="USD", Transactions!$Q$2="USD"), AK39,
            AND(Y39="USD", Transactions!$Q$2="GBP"), AK39*Transactions!$Z$3,
            AND(Y39="USD", Transactions!$Q$2="HKD"), AK39*Transactions!$Z$4,
            AND(Y39="USD", Transactions!$Q$2="EUR"), AK39*Transactions!$Z$5,
            AND(Y39="GBP", Transactions!$Q$2="GBP"), AK39,
            AND(Y39="GBP", Transactions!$Q$2="USD"), AK39*Transactions!$Z$6,
            AND(Y39="GBP", Transactions!$Q$2="HKD"), AK39*Transactions!$Z$7,
            AND(Y39="HKG", Transactions!$Q$2="HKG"), AK39,
            AND(Y39="HKD", Transactions!$Q$2="USD"), AK39*Transactions!$Z$9,
            AND(Y39="HKD", Transactions!$Q$2="GBP"), AK39*Transactions!$Z$10,
            AND(Y39="HKD", Transactions!$Q$2="EUR"), AK39*Transactions!$Z$11,
            AND(Y39="EUR", Transactions!$Q$2="EUR"), AK39,
            AND(Y39="EUR", Transactions!$Q$2="USD"), AK39*Transactions!$Z$12,
            AND(Y39="EUR", Transactions!$Q$2="GBP"), AK39*Transactions!$Z$13,
            AND(Y39="EUR", Transactions!$Q$2="HKD"), AK39*Transactions!$Z$14,
        ),
        0
    )
)</f>
        <v>-232.67499999999995</v>
      </c>
      <c r="M39" s="119" cm="1">
        <f t="array" ref="M39">IF($A39="", "",
    IFERROR(
        _xlfn.SWITCH(
            TRUE,
            AND(Y39="USD", Transactions!$Q$2="USD"), AL39,
            AND(Y39="USD", Transactions!$Q$2="GBP"), AL39*Transactions!$Z$3,
            AND(Y39="USD", Transactions!$Q$2="HKD"), AL39*Transactions!$Z$4,
            AND(Y39="USD", Transactions!$Q$2="EUR"), AL39*Transactions!$Z$5,
            AND(Y39="GBP", Transactions!$Q$2="GBP"), AL39,
            AND(Y39="GBP", Transactions!$Q$2="USD"), AL39*Transactions!$Z$6,
            AND(Y39="GBP", Transactions!$Q$2="HKD"), AL39*Transactions!$Z$7,
            AND(Y39="HKG", Transactions!$Q$2="HKG"), AL39,
            AND(Y39="HKD", Transactions!$Q$2="USD"), AL39*Transactions!$Z$9,
            AND(Y39="HKD", Transactions!$Q$2="GBP"), AL39*Transactions!$Z$10,
            AND(Y39="HKD", Transactions!$Q$2="EUR"), AL39*Transactions!$Z$11,
            AND(Y39="EUR", Transactions!$Q$2="EUR"), AL39,
            AND(Y39="EUR", Transactions!$Q$2="USD"), AL39*Transactions!$Z$12,
            AND(Y39="EUR", Transactions!$Q$2="GBP"), AL39*Transactions!$Z$13,
            AND(Y39="EUR", Transactions!$Q$2="HKD"), AL39*Transactions!$Z$14,
        ),
        0
    )
)</f>
        <v>0</v>
      </c>
      <c r="N39" s="120" cm="1">
        <f t="array" ref="N39">IF($A39="", "",
    IFERROR(
        _xlfn.SWITCH(
            TRUE,
            AND(Y39="USD", Transactions!$Q$2="USD"), AM39,
            AND(Y39="USD", Transactions!$Q$2="GBP"), AM39*Transactions!$Z$3,
            AND(Y39="USD", Transactions!$Q$2="HKD"), AM39*Transactions!$Z$4,
            AND(Y39="USD", Transactions!$Q$2="EUR"), AM39*Transactions!$Z$5,
            AND(Y39="GBP", Transactions!$Q$2="GBP"), AM39,
            AND(Y39="GBP", Transactions!$Q$2="USD"), AM39*Transactions!$Z$6,
            AND(Y39="GBP", Transactions!$Q$2="HKD"), AM39*Transactions!$Z$7,
            AND(Y39="HKG", Transactions!$Q$2="HKG"), AM39,
            AND(Y39="HKD", Transactions!$Q$2="USD"), AM39*Transactions!$Z$9,
            AND(Y39="HKD", Transactions!$Q$2="GBP"), AM39*Transactions!$Z$10,
            AND(Y39="HKD", Transactions!$Q$2="EUR"), AM39*Transactions!$Z$11,
            AND(Y39="EUR", Transactions!$Q$2="EUR"), AM39,
            AND(Y39="EUR", Transactions!$Q$2="USD"), AM39*Transactions!$Z$12,
            AND(Y39="EUR", Transactions!$Q$2="GBP"), AM39*Transactions!$Z$13,
            AND(Y39="EUR", Transactions!$Q$2="HKD"), AM39*Transactions!$Z$14,
        ),
        0
    )
)</f>
        <v>-232.67499999999995</v>
      </c>
      <c r="O39" s="145"/>
      <c r="P39" s="145"/>
      <c r="Q39" s="41">
        <f t="shared" si="24"/>
        <v>4.8478946385055689E-3</v>
      </c>
      <c r="S39" s="41">
        <f t="shared" si="25"/>
        <v>4.8478946385055689E-3</v>
      </c>
      <c r="T39" s="1" t="str">
        <f t="shared" si="26"/>
        <v>Crypto</v>
      </c>
      <c r="U39" s="41">
        <f t="shared" si="27"/>
        <v>0.81515627319794193</v>
      </c>
      <c r="V39" s="41">
        <f t="shared" si="28"/>
        <v>0</v>
      </c>
      <c r="W39" s="41">
        <f t="shared" si="29"/>
        <v>0.81515627319794193</v>
      </c>
      <c r="X39" s="1" t="str">
        <f t="shared" si="29"/>
        <v>Defi/Crosschain</v>
      </c>
      <c r="Y39" s="17" t="str">
        <f>IFERROR(IF(ISBLANK(AA39), "", IF(VLOOKUP(AA39, Transactions!D:F, 3, FALSE) = "Stablecoin", AA39, INDEX(Transactions!$B$3:$B1043, MATCH(AA39, Transactions!$D$3:$D1043, 0)))), "")</f>
        <v>USD</v>
      </c>
      <c r="Z39" s="1" t="str">
        <f>_xlfn.XLOOKUP(AA39,Transactions!$D$3:$D$1007,Transactions!$E$3:$E$1007)</f>
        <v>Osmosis</v>
      </c>
      <c r="AA39" s="1" t="str">
        <v>OSMO</v>
      </c>
      <c r="AB39" s="118" cm="1">
        <f t="array" ref="AB39">IF(ISBLANK(AA39), "",
    SUMPRODUCT(
        (Transactions!$D$3:$D$1007=AA39) *
        (Transactions!$H$3:$H$1007={"Cash Deposit","Crypto Deposit","Buy","Transfer Deposit","DRIP","Airdrop/Rewards"}) *
        Transactions!$I$3:$I$1007
    )
    - SUMPRODUCT(
        (Transactions!$D$3:$D$1007=AA39) *
        (Transactions!$H$3:$H$1007={"Sell","Transfer Send","Cash Withdrawal","Crypto Withdrawal"}) *
        Transactions!$I$3:$I$1007
    )
)</f>
        <v>567.5</v>
      </c>
      <c r="AC39" s="2" cm="1">
        <f t="array" ref="AC39">IF(ISBLANK(AA39), "", LOOKUP(2, 1/(Transactions!D:D=AA39), Transactions!P:P))</f>
        <v>1.78</v>
      </c>
      <c r="AD39" s="2" cm="1">
        <f t="array" ref="AD39">IF(ISBLANK(AA39),"",IFERROR(_FV(AA39,"price"),INDEX('CoinGeko API'!E:E,MATCH(Portfolio_v2!AA39,'CoinGeko API'!C:C,0))))</f>
        <v>1.37</v>
      </c>
      <c r="AF39" s="39" cm="1">
        <f t="array" ref="AF39">IF(ISBLANK(AA39),"",IFERROR(_FV(AA39,"Change (%)",TRUE),INDEX('CoinGeko API'!G:G,MATCH(Portfolio_v2!AA39,'CoinGeko API'!C:C,0))))</f>
        <v>3.9958399999999998E-2</v>
      </c>
      <c r="AG39" s="34" cm="1">
        <f t="array" ref="AG39">IF(ISBLANK(AA39),"",IFERROR(_FV(AA39,"change"),INDEX('CoinGeko API'!F:F,MATCH(Portfolio_v2!AA39,'CoinGeko API'!C:C,0))))</f>
        <v>5.2483000000000002E-2</v>
      </c>
      <c r="AH39" s="2">
        <f t="shared" si="13"/>
        <v>1010.15</v>
      </c>
      <c r="AI39" s="2">
        <f t="shared" si="14"/>
        <v>777.47500000000002</v>
      </c>
      <c r="AJ39" s="40">
        <f t="shared" si="15"/>
        <v>-0.23033707865168535</v>
      </c>
      <c r="AK39" s="2">
        <f t="shared" si="16"/>
        <v>-232.67499999999995</v>
      </c>
      <c r="AL39" s="119">
        <f>IF(OR(ISBLANK(AA39), COUNTIFS(Transactions!$D$3:$D1043, AA39) = 0), "",
    SUMIFS(Transactions!$M$3:$M1043, Transactions!$H$3:$H1043, "Sell", Transactions!$D$3:$D1043, AA39) +
    SUMIFS(Transactions!$M$3:$M1043, Transactions!$H$3:$H1043, "Dividend", Transactions!$D$3:$D1043, AA39) -
    SUMIFS(Transactions!$M$3:$M1043, Transactions!$H$3:$H1043, "Buy", Transactions!$D$3:$D1043, AA39) -
    SUMIFS(Transactions!$M$3:$M1043, Transactions!$H$3:$H1043, "Crypto Deposit", Transactions!$D$3:$D1043, AA39) -
    SUMIFS(Transactions!$M$3:$M1043, Transactions!$H$3:$H1043, "DRIP", Transactions!$D$3:$D1043, AA39) +
    SUMIFS($AH$3:$AH1035, $AA$3:$AA1035, AA39) +
    SUMIFS(Transactions!$M$3:$M1043, Transactions!$L$3:$L1043, "Stablecoin", Transactions!$B$3:$B1043, AA39)
)</f>
        <v>0</v>
      </c>
      <c r="AM39" s="120">
        <f t="shared" si="17"/>
        <v>-232.67499999999995</v>
      </c>
      <c r="AN39" s="145"/>
      <c r="AO39" s="145"/>
      <c r="AP39" s="41">
        <f t="shared" si="1"/>
        <v>4.8478946385055689E-3</v>
      </c>
      <c r="AR39" s="41">
        <f t="shared" si="18"/>
        <v>4.8478946385055689E-3</v>
      </c>
      <c r="AS39" s="1" t="str">
        <f>_xlfn.XLOOKUP(AA39,Transactions!$D$3:$D$1007,Transactions!$F$3:$F$1007)</f>
        <v>Crypto</v>
      </c>
      <c r="AT39" s="41">
        <f t="shared" si="19"/>
        <v>0.81515627319794193</v>
      </c>
      <c r="AU39" s="41">
        <f t="shared" si="20"/>
        <v>0</v>
      </c>
      <c r="AV39" s="41">
        <f t="shared" si="21"/>
        <v>0.81515627319794193</v>
      </c>
      <c r="AW39" s="18" t="s">
        <v>18</v>
      </c>
    </row>
    <row r="40" spans="1:49" ht="18" customHeight="1">
      <c r="A40" s="17" t="str">
        <f t="shared" si="2"/>
        <v>Pendle</v>
      </c>
      <c r="B40" s="1" t="str">
        <f t="shared" si="3"/>
        <v>Pendle</v>
      </c>
      <c r="C40" s="118">
        <f t="shared" si="4"/>
        <v>32.24</v>
      </c>
      <c r="D40" s="2" cm="1">
        <f t="array" ref="D40">IF($A40="", "",
    IFERROR(
        _xlfn.SWITCH(
            TRUE,
            AND(Y40="USD", Transactions!$Q$2="USD"), AC40,
            AND(Y40="USD", Transactions!$Q$2="GBP"), AC40*Transactions!$Z$3,
            AND(Y40="USD", Transactions!$Q$2="HKD"), AC40*Transactions!$Z$4,
            AND(Y40="USD", Transactions!$Q$2="EUR"), AC40*Transactions!$Z$5,
            AND(Y40="GBP", Transactions!$Q$2="GBP"), AC40,
            AND(Y40="GBP", Transactions!$Q$2="USD"), AC40*Transactions!$Z$6,
            AND(Y40="GBP", Transactions!$Q$2="HKD"), AC40*Transactions!$Z$7,
            AND(Y40="HKG", Transactions!$Q$2="HKG"), AC40,
            AND(Y40="HKD", Transactions!$Q$2="USD"), AC40*Transactions!$Z$9,
            AND(Y40="HKD", Transactions!$Q$2="GBP"), AC40*Transactions!$Z$10,
            AND(Y40="HKD", Transactions!$Q$2="EUR"), AC40*Transactions!$Z$11,
            AND(Y40="EUR", Transactions!$Q$2="EUR"), AC40,
            AND(Y40="EUR", Transactions!$Q$2="USD"), AC40*Transactions!$Z$12,
            AND(Y40="EUR", Transactions!$Q$2="GBP"), AC40*Transactions!$Z$13,
            AND(Y40="EUR", Transactions!$Q$2="HKD"), AC40*Transactions!$Z$14,
        ),
        0
    )
)</f>
        <v>3.1017369727047144</v>
      </c>
      <c r="E40" s="2" cm="1">
        <f t="array" ref="E40">IF($A40="", "",
    IFERROR(
        _xlfn.SWITCH(
            TRUE,
            AND(Y40="USD", Transactions!$Q$2="USD"), AD40,
            AND(Y40="USD", Transactions!$Q$2="GBP"), AD40*Transactions!$Z$3,
            AND(Y40="USD", Transactions!$Q$2="HKD"), AD40*Transactions!$Z$4,
            AND(Y40="USD", Transactions!$Q$2="EUR"), AD40*Transactions!$Z$5,
            AND(Y40="GBP", Transactions!$Q$2="GBP"), AD40,
            AND(Y40="GBP", Transactions!$Q$2="USD"), AD40*Transactions!$Z$6,
            AND(Y40="GBP", Transactions!$Q$2="HKD"), AD40*Transactions!$Z$7,
            AND(Y40="HKG", Transactions!$Q$2="HKG"), AD40,
            AND(Y40="HKD", Transactions!$Q$2="USD"), AD40*Transactions!$Z$9,
            AND(Y40="HKD", Transactions!$Q$2="GBP"), AD40*Transactions!$Z$10,
            AND(Y40="HKD", Transactions!$Q$2="EUR"), AD40*Transactions!$Z$11,
            AND(Y40="EUR", Transactions!$Q$2="EUR"), AD40,
            AND(Y40="EUR", Transactions!$Q$2="USD"), AD40*Transactions!$Z$12,
            AND(Y40="EUR", Transactions!$Q$2="GBP"), AD40*Transactions!$Z$13,
            AND(Y40="EUR", Transactions!$Q$2="HKD"), AD40*Transactions!$Z$14,
        ),
        0
    )
)</f>
        <v>3.97</v>
      </c>
      <c r="G40" s="121">
        <f t="shared" ref="G40:G62" si="30">AF40</f>
        <v>0.1078736</v>
      </c>
      <c r="H40" s="34" cm="1">
        <f t="array" ref="H40">IF($A40="", "",
    IFERROR(
        _xlfn.SWITCH(
            TRUE,
            AND(Y40="USD", Transactions!$Q$2="USD"), AG40,
            AND(Y40="USD", Transactions!$Q$2="GBP"), AG40*Transactions!$Z$3,
            AND(Y40="USD", Transactions!$Q$2="HKD"), AG40*Transactions!$Z$4,
            AND(Y40="USD", Transactions!$Q$2="EUR"), AG40*Transactions!$Z$5,
            AND(Y40="GBP", Transactions!$Q$2="GBP"), AG40,
            AND(Y40="GBP", Transactions!$Q$2="USD"), AG40*Transactions!$Z$6,
            AND(Y40="GBP", Transactions!$Q$2="HKD"), AG40*Transactions!$Z$7,
            AND(Y40="HKG", Transactions!$Q$2="HKG"), AG40,
            AND(Y40="HKD", Transactions!$Q$2="USD"), AG40*Transactions!$Z$9,
            AND(Y40="HKD", Transactions!$Q$2="GBP"), AG40*Transactions!$Z$10,
            AND(Y40="HKD", Transactions!$Q$2="EUR"), AG40*Transactions!$Z$11,
            AND(Y40="EUR", Transactions!$Q$2="EUR"), AG40,
            AND(Y40="EUR", Transactions!$Q$2="USD"), AG40*Transactions!$Z$12,
            AND(Y40="EUR", Transactions!$Q$2="GBP"), AG40*Transactions!$Z$13,
            AND(Y40="EUR", Transactions!$Q$2="HKD"), AG40*Transactions!$Z$14,
        ),
        0
    )
)</f>
        <v>0.38638499999999998</v>
      </c>
      <c r="I40" s="2" cm="1">
        <f t="array" ref="I40">IF($A40="", "",
    IFERROR(
        _xlfn.SWITCH(
            TRUE,
            AND(Y40="USD", Transactions!$Q$2="USD"), AH40,
            AND(Y40="USD", Transactions!$Q$2="GBP"), AH40*Transactions!$Z$3,
            AND(Y40="USD", Transactions!$Q$2="HKD"), AH40*Transactions!$Z$4,
            AND(Y40="USD", Transactions!$Q$2="EUR"), AH40*Transactions!$Z$5,
            AND(Y40="GBP", Transactions!$Q$2="GBP"), AH40,
            AND(Y40="GBP", Transactions!$Q$2="USD"), AH40*Transactions!$Z$6,
            AND(Y40="GBP", Transactions!$Q$2="HKD"), AH40*Transactions!$Z$7,
            AND(Y40="HKG", Transactions!$Q$2="HKG"), AH40,
            AND(Y40="HKD", Transactions!$Q$2="USD"), AH40*Transactions!$Z$9,
            AND(Y40="HKD", Transactions!$Q$2="GBP"), AH40*Transactions!$Z$10,
            AND(Y40="HKD", Transactions!$Q$2="EUR"), AH40*Transactions!$Z$11,
            AND(Y40="EUR", Transactions!$Q$2="EUR"), AH40,
            AND(Y40="EUR", Transactions!$Q$2="USD"), AH40*Transactions!$Z$12,
            AND(Y40="EUR", Transactions!$Q$2="GBP"), AH40*Transactions!$Z$13,
            AND(Y40="EUR", Transactions!$Q$2="HKD"), AH40*Transactions!$Z$14,
        ),
        0
    )
)</f>
        <v>100</v>
      </c>
      <c r="J40" s="2" cm="1">
        <f t="array" ref="J40">IF($A40="", "",
    IFERROR(
        _xlfn.SWITCH(
            TRUE,
            AND(Y40="USD", Transactions!$Q$2="USD"), AI40,
            AND(Y40="USD", Transactions!$Q$2="GBP"), AI40*Transactions!$Z$3,
            AND(Y40="USD", Transactions!$Q$2="HKD"), AI40*Transactions!$Z$4,
            AND(Y40="USD", Transactions!$Q$2="EUR"), AI40*Transactions!$Z$5,
            AND(Y40="GBP", Transactions!$Q$2="GBP"), AI40,
            AND(Y40="GBP", Transactions!$Q$2="USD"), AI40*Transactions!$Z$6,
            AND(Y40="GBP", Transactions!$Q$2="HKD"), AI40*Transactions!$Z$7,
            AND(Y40="HKG", Transactions!$Q$2="HKG"), AI40,
            AND(Y40="HKD", Transactions!$Q$2="USD"), AI40*Transactions!$Z$9,
            AND(Y40="HKD", Transactions!$Q$2="GBP"), AI40*Transactions!$Z$10,
            AND(Y40="HKD", Transactions!$Q$2="EUR"), AI40*Transactions!$Z$11,
            AND(Y40="EUR", Transactions!$Q$2="EUR"), AI40,
            AND(Y40="EUR", Transactions!$Q$2="USD"), AI40*Transactions!$Z$12,
            AND(Y40="EUR", Transactions!$Q$2="GBP"), AI40*Transactions!$Z$13,
            AND(Y40="EUR", Transactions!$Q$2="HKD"), AI40*Transactions!$Z$14,
        ),
        0
    )
)</f>
        <v>127.99280000000002</v>
      </c>
      <c r="K40" s="41">
        <f t="shared" si="23"/>
        <v>0.27992800000000018</v>
      </c>
      <c r="L40" s="2" cm="1">
        <f t="array" ref="L40">IF($A40="", "",
    IFERROR(
        _xlfn.SWITCH(
            TRUE,
            AND(Y40="USD", Transactions!$Q$2="USD"), AK40,
            AND(Y40="USD", Transactions!$Q$2="GBP"), AK40*Transactions!$Z$3,
            AND(Y40="USD", Transactions!$Q$2="HKD"), AK40*Transactions!$Z$4,
            AND(Y40="USD", Transactions!$Q$2="EUR"), AK40*Transactions!$Z$5,
            AND(Y40="GBP", Transactions!$Q$2="GBP"), AK40,
            AND(Y40="GBP", Transactions!$Q$2="USD"), AK40*Transactions!$Z$6,
            AND(Y40="GBP", Transactions!$Q$2="HKD"), AK40*Transactions!$Z$7,
            AND(Y40="HKG", Transactions!$Q$2="HKG"), AK40,
            AND(Y40="HKD", Transactions!$Q$2="USD"), AK40*Transactions!$Z$9,
            AND(Y40="HKD", Transactions!$Q$2="GBP"), AK40*Transactions!$Z$10,
            AND(Y40="HKD", Transactions!$Q$2="EUR"), AK40*Transactions!$Z$11,
            AND(Y40="EUR", Transactions!$Q$2="EUR"), AK40,
            AND(Y40="EUR", Transactions!$Q$2="USD"), AK40*Transactions!$Z$12,
            AND(Y40="EUR", Transactions!$Q$2="GBP"), AK40*Transactions!$Z$13,
            AND(Y40="EUR", Transactions!$Q$2="HKD"), AK40*Transactions!$Z$14,
        ),
        0
    )
)</f>
        <v>27.992800000000017</v>
      </c>
      <c r="M40" s="119" cm="1">
        <f t="array" ref="M40">IF($A40="", "",
    IFERROR(
        _xlfn.SWITCH(
            TRUE,
            AND(Y40="USD", Transactions!$Q$2="USD"), AL40,
            AND(Y40="USD", Transactions!$Q$2="GBP"), AL40*Transactions!$Z$3,
            AND(Y40="USD", Transactions!$Q$2="HKD"), AL40*Transactions!$Z$4,
            AND(Y40="USD", Transactions!$Q$2="EUR"), AL40*Transactions!$Z$5,
            AND(Y40="GBP", Transactions!$Q$2="GBP"), AL40,
            AND(Y40="GBP", Transactions!$Q$2="USD"), AL40*Transactions!$Z$6,
            AND(Y40="GBP", Transactions!$Q$2="HKD"), AL40*Transactions!$Z$7,
            AND(Y40="HKG", Transactions!$Q$2="HKG"), AL40,
            AND(Y40="HKD", Transactions!$Q$2="USD"), AL40*Transactions!$Z$9,
            AND(Y40="HKD", Transactions!$Q$2="GBP"), AL40*Transactions!$Z$10,
            AND(Y40="HKD", Transactions!$Q$2="EUR"), AL40*Transactions!$Z$11,
            AND(Y40="EUR", Transactions!$Q$2="EUR"), AL40,
            AND(Y40="EUR", Transactions!$Q$2="USD"), AL40*Transactions!$Z$12,
            AND(Y40="EUR", Transactions!$Q$2="GBP"), AL40*Transactions!$Z$13,
            AND(Y40="EUR", Transactions!$Q$2="HKD"), AL40*Transactions!$Z$14,
        ),
        0
    )
)</f>
        <v>0</v>
      </c>
      <c r="N40" s="120" cm="1">
        <f t="array" ref="N40">IF($A40="", "",
    IFERROR(
        _xlfn.SWITCH(
            TRUE,
            AND(Y40="USD", Transactions!$Q$2="USD"), AM40,
            AND(Y40="USD", Transactions!$Q$2="GBP"), AM40*Transactions!$Z$3,
            AND(Y40="USD", Transactions!$Q$2="HKD"), AM40*Transactions!$Z$4,
            AND(Y40="USD", Transactions!$Q$2="EUR"), AM40*Transactions!$Z$5,
            AND(Y40="GBP", Transactions!$Q$2="GBP"), AM40,
            AND(Y40="GBP", Transactions!$Q$2="USD"), AM40*Transactions!$Z$6,
            AND(Y40="GBP", Transactions!$Q$2="HKD"), AM40*Transactions!$Z$7,
            AND(Y40="HKG", Transactions!$Q$2="HKG"), AM40,
            AND(Y40="HKD", Transactions!$Q$2="USD"), AM40*Transactions!$Z$9,
            AND(Y40="HKD", Transactions!$Q$2="GBP"), AM40*Transactions!$Z$10,
            AND(Y40="HKD", Transactions!$Q$2="EUR"), AM40*Transactions!$Z$11,
            AND(Y40="EUR", Transactions!$Q$2="EUR"), AM40,
            AND(Y40="EUR", Transactions!$Q$2="USD"), AM40*Transactions!$Z$12,
            AND(Y40="EUR", Transactions!$Q$2="GBP"), AM40*Transactions!$Z$13,
            AND(Y40="EUR", Transactions!$Q$2="HKD"), AM40*Transactions!$Z$14,
        ),
        0
    )
)</f>
        <v>27.992800000000017</v>
      </c>
      <c r="O40" s="145"/>
      <c r="P40" s="145"/>
      <c r="Q40" s="41">
        <f t="shared" si="24"/>
        <v>7.9809075389860207E-4</v>
      </c>
      <c r="S40" s="41">
        <f t="shared" si="25"/>
        <v>7.9809075389860207E-4</v>
      </c>
      <c r="T40" s="1" t="str">
        <f t="shared" si="26"/>
        <v>Crypto</v>
      </c>
      <c r="U40" s="41">
        <f t="shared" si="27"/>
        <v>0.81515627319794193</v>
      </c>
      <c r="V40" s="41">
        <f t="shared" si="28"/>
        <v>0</v>
      </c>
      <c r="W40" s="41">
        <f t="shared" si="29"/>
        <v>0.81515627319794193</v>
      </c>
      <c r="X40" s="1" t="str">
        <f t="shared" si="29"/>
        <v>Defi/Crosschain</v>
      </c>
      <c r="Y40" s="17" t="str">
        <f>IFERROR(IF(ISBLANK(AA40), "", IF(VLOOKUP(AA40, Transactions!D:F, 3, FALSE) = "Stablecoin", AA40, INDEX(Transactions!$B$3:$B1044, MATCH(AA40, Transactions!$D$3:$D1044, 0)))), "")</f>
        <v>USD</v>
      </c>
      <c r="Z40" s="1" t="str">
        <f>_xlfn.XLOOKUP(AA40,Transactions!$D$3:$D$1007,Transactions!$E$3:$E$1007)</f>
        <v>Pendle</v>
      </c>
      <c r="AA40" s="1" t="str">
        <v>Pendle</v>
      </c>
      <c r="AB40" s="118" cm="1">
        <f t="array" ref="AB40">IF(ISBLANK(AA40), "",
    SUMPRODUCT(
        (Transactions!$D$3:$D$1007=AA40) *
        (Transactions!$H$3:$H$1007={"Cash Deposit","Crypto Deposit","Buy","Transfer Deposit","DRIP","Airdrop/Rewards"}) *
        Transactions!$I$3:$I$1007
    )
    - SUMPRODUCT(
        (Transactions!$D$3:$D$1007=AA40) *
        (Transactions!$H$3:$H$1007={"Sell","Transfer Send","Cash Withdrawal","Crypto Withdrawal"}) *
        Transactions!$I$3:$I$1007
    )
)</f>
        <v>32.24</v>
      </c>
      <c r="AC40" s="2" cm="1">
        <f t="array" ref="AC40">IF(ISBLANK(AA40), "", LOOKUP(2, 1/(Transactions!D:D=AA40), Transactions!P:P))</f>
        <v>3.1017369727047144</v>
      </c>
      <c r="AD40" s="2" cm="1">
        <f t="array" ref="AD40">IF(ISBLANK(AA40),"",IFERROR(_FV(AA40,"price"),INDEX('CoinGeko API'!E:E,MATCH(Portfolio_v2!AA40,'CoinGeko API'!C:C,0))))</f>
        <v>3.97</v>
      </c>
      <c r="AF40" s="39" cm="1">
        <f t="array" ref="AF40">IF(ISBLANK(AA40),"",IFERROR(_FV(AA40,"Change (%)",TRUE),INDEX('CoinGeko API'!G:G,MATCH(Portfolio_v2!AA40,'CoinGeko API'!C:C,0))))</f>
        <v>0.1078736</v>
      </c>
      <c r="AG40" s="34" cm="1">
        <f t="array" ref="AG40">IF(ISBLANK(AA40),"",IFERROR(_FV(AA40,"change"),INDEX('CoinGeko API'!F:F,MATCH(Portfolio_v2!AA40,'CoinGeko API'!C:C,0))))</f>
        <v>0.38638499999999998</v>
      </c>
      <c r="AH40" s="2">
        <f t="shared" si="13"/>
        <v>100</v>
      </c>
      <c r="AI40" s="2">
        <f t="shared" si="14"/>
        <v>127.99280000000002</v>
      </c>
      <c r="AJ40" s="40">
        <f t="shared" si="15"/>
        <v>0.27992800000000018</v>
      </c>
      <c r="AK40" s="2">
        <f t="shared" si="16"/>
        <v>27.992800000000017</v>
      </c>
      <c r="AL40" s="119">
        <f>IF(OR(ISBLANK(AA40), COUNTIFS(Transactions!$D$3:$D1044, AA40) = 0), "",
    SUMIFS(Transactions!$M$3:$M1044, Transactions!$H$3:$H1044, "Sell", Transactions!$D$3:$D1044, AA40) +
    SUMIFS(Transactions!$M$3:$M1044, Transactions!$H$3:$H1044, "Dividend", Transactions!$D$3:$D1044, AA40) -
    SUMIFS(Transactions!$M$3:$M1044, Transactions!$H$3:$H1044, "Buy", Transactions!$D$3:$D1044, AA40) -
    SUMIFS(Transactions!$M$3:$M1044, Transactions!$H$3:$H1044, "Crypto Deposit", Transactions!$D$3:$D1044, AA40) -
    SUMIFS(Transactions!$M$3:$M1044, Transactions!$H$3:$H1044, "DRIP", Transactions!$D$3:$D1044, AA40) +
    SUMIFS($AH$3:$AH1036, $AA$3:$AA1036, AA40) +
    SUMIFS(Transactions!$M$3:$M1044, Transactions!$L$3:$L1044, "Stablecoin", Transactions!$B$3:$B1044, AA40)
)</f>
        <v>0</v>
      </c>
      <c r="AM40" s="120">
        <f t="shared" si="17"/>
        <v>27.992800000000017</v>
      </c>
      <c r="AN40" s="145"/>
      <c r="AO40" s="145"/>
      <c r="AP40" s="41">
        <f t="shared" si="1"/>
        <v>7.9809075389860207E-4</v>
      </c>
      <c r="AR40" s="41">
        <f t="shared" si="18"/>
        <v>7.9809075389860207E-4</v>
      </c>
      <c r="AS40" s="1" t="str">
        <f>_xlfn.XLOOKUP(AA40,Transactions!$D$3:$D$1007,Transactions!$F$3:$F$1007)</f>
        <v>Crypto</v>
      </c>
      <c r="AT40" s="41">
        <f t="shared" si="19"/>
        <v>0.81515627319794193</v>
      </c>
      <c r="AU40" s="41">
        <f t="shared" si="20"/>
        <v>0</v>
      </c>
      <c r="AV40" s="41">
        <f t="shared" si="21"/>
        <v>0.81515627319794193</v>
      </c>
      <c r="AW40" s="18" t="s">
        <v>18</v>
      </c>
    </row>
    <row r="41" spans="1:49" ht="18" customHeight="1">
      <c r="A41" s="17" t="str">
        <f t="shared" si="2"/>
        <v>Pixels</v>
      </c>
      <c r="B41" s="1" t="str">
        <f t="shared" si="3"/>
        <v>PIXEL</v>
      </c>
      <c r="C41" s="118">
        <f t="shared" si="4"/>
        <v>0</v>
      </c>
      <c r="D41" s="2" cm="1">
        <f t="array" ref="D41">IF($A41="", "",
    IFERROR(
        _xlfn.SWITCH(
            TRUE,
            AND(Y41="USD", Transactions!$Q$2="USD"), AC41,
            AND(Y41="USD", Transactions!$Q$2="GBP"), AC41*Transactions!$Z$3,
            AND(Y41="USD", Transactions!$Q$2="HKD"), AC41*Transactions!$Z$4,
            AND(Y41="USD", Transactions!$Q$2="EUR"), AC41*Transactions!$Z$5,
            AND(Y41="GBP", Transactions!$Q$2="GBP"), AC41,
            AND(Y41="GBP", Transactions!$Q$2="USD"), AC41*Transactions!$Z$6,
            AND(Y41="GBP", Transactions!$Q$2="HKD"), AC41*Transactions!$Z$7,
            AND(Y41="HKG", Transactions!$Q$2="HKG"), AC41,
            AND(Y41="HKD", Transactions!$Q$2="USD"), AC41*Transactions!$Z$9,
            AND(Y41="HKD", Transactions!$Q$2="GBP"), AC41*Transactions!$Z$10,
            AND(Y41="HKD", Transactions!$Q$2="EUR"), AC41*Transactions!$Z$11,
            AND(Y41="EUR", Transactions!$Q$2="EUR"), AC41,
            AND(Y41="EUR", Transactions!$Q$2="USD"), AC41*Transactions!$Z$12,
            AND(Y41="EUR", Transactions!$Q$2="GBP"), AC41*Transactions!$Z$13,
            AND(Y41="EUR", Transactions!$Q$2="HKD"), AC41*Transactions!$Z$14,
        ),
        0
    )
)</f>
        <v>0.49859999999999999</v>
      </c>
      <c r="E41" s="2" cm="1">
        <f t="array" ref="E41">IF($A41="", "",
    IFERROR(
        _xlfn.SWITCH(
            TRUE,
            AND(Y41="USD", Transactions!$Q$2="USD"), AD41,
            AND(Y41="USD", Transactions!$Q$2="GBP"), AD41*Transactions!$Z$3,
            AND(Y41="USD", Transactions!$Q$2="HKD"), AD41*Transactions!$Z$4,
            AND(Y41="USD", Transactions!$Q$2="EUR"), AD41*Transactions!$Z$5,
            AND(Y41="GBP", Transactions!$Q$2="GBP"), AD41,
            AND(Y41="GBP", Transactions!$Q$2="USD"), AD41*Transactions!$Z$6,
            AND(Y41="GBP", Transactions!$Q$2="HKD"), AD41*Transactions!$Z$7,
            AND(Y41="HKG", Transactions!$Q$2="HKG"), AD41,
            AND(Y41="HKD", Transactions!$Q$2="USD"), AD41*Transactions!$Z$9,
            AND(Y41="HKD", Transactions!$Q$2="GBP"), AD41*Transactions!$Z$10,
            AND(Y41="HKD", Transactions!$Q$2="EUR"), AD41*Transactions!$Z$11,
            AND(Y41="EUR", Transactions!$Q$2="EUR"), AD41,
            AND(Y41="EUR", Transactions!$Q$2="USD"), AD41*Transactions!$Z$12,
            AND(Y41="EUR", Transactions!$Q$2="GBP"), AD41*Transactions!$Z$13,
            AND(Y41="EUR", Transactions!$Q$2="HKD"), AD41*Transactions!$Z$14,
        ),
        0
    )
)</f>
        <v>0.844669</v>
      </c>
      <c r="G41" s="121">
        <f t="shared" si="30"/>
        <v>6.6393399999999991E-2</v>
      </c>
      <c r="H41" s="34" cm="1">
        <f t="array" ref="H41">IF($A41="", "",
    IFERROR(
        _xlfn.SWITCH(
            TRUE,
            AND(Y41="USD", Transactions!$Q$2="USD"), AG41,
            AND(Y41="USD", Transactions!$Q$2="GBP"), AG41*Transactions!$Z$3,
            AND(Y41="USD", Transactions!$Q$2="HKD"), AG41*Transactions!$Z$4,
            AND(Y41="USD", Transactions!$Q$2="EUR"), AG41*Transactions!$Z$5,
            AND(Y41="GBP", Transactions!$Q$2="GBP"), AG41,
            AND(Y41="GBP", Transactions!$Q$2="USD"), AG41*Transactions!$Z$6,
            AND(Y41="GBP", Transactions!$Q$2="HKD"), AG41*Transactions!$Z$7,
            AND(Y41="HKG", Transactions!$Q$2="HKG"), AG41,
            AND(Y41="HKD", Transactions!$Q$2="USD"), AG41*Transactions!$Z$9,
            AND(Y41="HKD", Transactions!$Q$2="GBP"), AG41*Transactions!$Z$10,
            AND(Y41="HKD", Transactions!$Q$2="EUR"), AG41*Transactions!$Z$11,
            AND(Y41="EUR", Transactions!$Q$2="EUR"), AG41,
            AND(Y41="EUR", Transactions!$Q$2="USD"), AG41*Transactions!$Z$12,
            AND(Y41="EUR", Transactions!$Q$2="GBP"), AG41*Transactions!$Z$13,
            AND(Y41="EUR", Transactions!$Q$2="HKD"), AG41*Transactions!$Z$14,
        ),
        0
    )
)</f>
        <v>5.2588999999999997E-2</v>
      </c>
      <c r="I41" s="2" cm="1">
        <f t="array" ref="I41">IF($A41="", "",
    IFERROR(
        _xlfn.SWITCH(
            TRUE,
            AND(Y41="USD", Transactions!$Q$2="USD"), AH41,
            AND(Y41="USD", Transactions!$Q$2="GBP"), AH41*Transactions!$Z$3,
            AND(Y41="USD", Transactions!$Q$2="HKD"), AH41*Transactions!$Z$4,
            AND(Y41="USD", Transactions!$Q$2="EUR"), AH41*Transactions!$Z$5,
            AND(Y41="GBP", Transactions!$Q$2="GBP"), AH41,
            AND(Y41="GBP", Transactions!$Q$2="USD"), AH41*Transactions!$Z$6,
            AND(Y41="GBP", Transactions!$Q$2="HKD"), AH41*Transactions!$Z$7,
            AND(Y41="HKG", Transactions!$Q$2="HKG"), AH41,
            AND(Y41="HKD", Transactions!$Q$2="USD"), AH41*Transactions!$Z$9,
            AND(Y41="HKD", Transactions!$Q$2="GBP"), AH41*Transactions!$Z$10,
            AND(Y41="HKD", Transactions!$Q$2="EUR"), AH41*Transactions!$Z$11,
            AND(Y41="EUR", Transactions!$Q$2="EUR"), AH41,
            AND(Y41="EUR", Transactions!$Q$2="USD"), AH41*Transactions!$Z$12,
            AND(Y41="EUR", Transactions!$Q$2="GBP"), AH41*Transactions!$Z$13,
            AND(Y41="EUR", Transactions!$Q$2="HKD"), AH41*Transactions!$Z$14,
        ),
        0
    )
)</f>
        <v>0</v>
      </c>
      <c r="J41" s="2" cm="1">
        <f t="array" ref="J41">IF($A41="", "",
    IFERROR(
        _xlfn.SWITCH(
            TRUE,
            AND(Y41="USD", Transactions!$Q$2="USD"), AI41,
            AND(Y41="USD", Transactions!$Q$2="GBP"), AI41*Transactions!$Z$3,
            AND(Y41="USD", Transactions!$Q$2="HKD"), AI41*Transactions!$Z$4,
            AND(Y41="USD", Transactions!$Q$2="EUR"), AI41*Transactions!$Z$5,
            AND(Y41="GBP", Transactions!$Q$2="GBP"), AI41,
            AND(Y41="GBP", Transactions!$Q$2="USD"), AI41*Transactions!$Z$6,
            AND(Y41="GBP", Transactions!$Q$2="HKD"), AI41*Transactions!$Z$7,
            AND(Y41="HKG", Transactions!$Q$2="HKG"), AI41,
            AND(Y41="HKD", Transactions!$Q$2="USD"), AI41*Transactions!$Z$9,
            AND(Y41="HKD", Transactions!$Q$2="GBP"), AI41*Transactions!$Z$10,
            AND(Y41="HKD", Transactions!$Q$2="EUR"), AI41*Transactions!$Z$11,
            AND(Y41="EUR", Transactions!$Q$2="EUR"), AI41,
            AND(Y41="EUR", Transactions!$Q$2="USD"), AI41*Transactions!$Z$12,
            AND(Y41="EUR", Transactions!$Q$2="GBP"), AI41*Transactions!$Z$13,
            AND(Y41="EUR", Transactions!$Q$2="HKD"), AI41*Transactions!$Z$14,
        ),
        0
    )
)</f>
        <v>0</v>
      </c>
      <c r="K41" s="41">
        <f t="shared" si="23"/>
        <v>0</v>
      </c>
      <c r="L41" s="2" cm="1">
        <f t="array" ref="L41">IF($A41="", "",
    IFERROR(
        _xlfn.SWITCH(
            TRUE,
            AND(Y41="USD", Transactions!$Q$2="USD"), AK41,
            AND(Y41="USD", Transactions!$Q$2="GBP"), AK41*Transactions!$Z$3,
            AND(Y41="USD", Transactions!$Q$2="HKD"), AK41*Transactions!$Z$4,
            AND(Y41="USD", Transactions!$Q$2="EUR"), AK41*Transactions!$Z$5,
            AND(Y41="GBP", Transactions!$Q$2="GBP"), AK41,
            AND(Y41="GBP", Transactions!$Q$2="USD"), AK41*Transactions!$Z$6,
            AND(Y41="GBP", Transactions!$Q$2="HKD"), AK41*Transactions!$Z$7,
            AND(Y41="HKG", Transactions!$Q$2="HKG"), AK41,
            AND(Y41="HKD", Transactions!$Q$2="USD"), AK41*Transactions!$Z$9,
            AND(Y41="HKD", Transactions!$Q$2="GBP"), AK41*Transactions!$Z$10,
            AND(Y41="HKD", Transactions!$Q$2="EUR"), AK41*Transactions!$Z$11,
            AND(Y41="EUR", Transactions!$Q$2="EUR"), AK41,
            AND(Y41="EUR", Transactions!$Q$2="USD"), AK41*Transactions!$Z$12,
            AND(Y41="EUR", Transactions!$Q$2="GBP"), AK41*Transactions!$Z$13,
            AND(Y41="EUR", Transactions!$Q$2="HKD"), AK41*Transactions!$Z$14,
        ),
        0
    )
)</f>
        <v>0</v>
      </c>
      <c r="M41" s="119" cm="1">
        <f t="array" ref="M41">IF($A41="", "",
    IFERROR(
        _xlfn.SWITCH(
            TRUE,
            AND(Y41="USD", Transactions!$Q$2="USD"), AL41,
            AND(Y41="USD", Transactions!$Q$2="GBP"), AL41*Transactions!$Z$3,
            AND(Y41="USD", Transactions!$Q$2="HKD"), AL41*Transactions!$Z$4,
            AND(Y41="USD", Transactions!$Q$2="EUR"), AL41*Transactions!$Z$5,
            AND(Y41="GBP", Transactions!$Q$2="GBP"), AL41,
            AND(Y41="GBP", Transactions!$Q$2="USD"), AL41*Transactions!$Z$6,
            AND(Y41="GBP", Transactions!$Q$2="HKD"), AL41*Transactions!$Z$7,
            AND(Y41="HKG", Transactions!$Q$2="HKG"), AL41,
            AND(Y41="HKD", Transactions!$Q$2="USD"), AL41*Transactions!$Z$9,
            AND(Y41="HKD", Transactions!$Q$2="GBP"), AL41*Transactions!$Z$10,
            AND(Y41="HKD", Transactions!$Q$2="EUR"), AL41*Transactions!$Z$11,
            AND(Y41="EUR", Transactions!$Q$2="EUR"), AL41,
            AND(Y41="EUR", Transactions!$Q$2="USD"), AL41*Transactions!$Z$12,
            AND(Y41="EUR", Transactions!$Q$2="GBP"), AL41*Transactions!$Z$13,
            AND(Y41="EUR", Transactions!$Q$2="HKD"), AL41*Transactions!$Z$14,
        ),
        0
    )
)</f>
        <v>90.246600000000001</v>
      </c>
      <c r="N41" s="120" cm="1">
        <f t="array" ref="N41">IF($A41="", "",
    IFERROR(
        _xlfn.SWITCH(
            TRUE,
            AND(Y41="USD", Transactions!$Q$2="USD"), AM41,
            AND(Y41="USD", Transactions!$Q$2="GBP"), AM41*Transactions!$Z$3,
            AND(Y41="USD", Transactions!$Q$2="HKD"), AM41*Transactions!$Z$4,
            AND(Y41="USD", Transactions!$Q$2="EUR"), AM41*Transactions!$Z$5,
            AND(Y41="GBP", Transactions!$Q$2="GBP"), AM41,
            AND(Y41="GBP", Transactions!$Q$2="USD"), AM41*Transactions!$Z$6,
            AND(Y41="GBP", Transactions!$Q$2="HKD"), AM41*Transactions!$Z$7,
            AND(Y41="HKG", Transactions!$Q$2="HKG"), AM41,
            AND(Y41="HKD", Transactions!$Q$2="USD"), AM41*Transactions!$Z$9,
            AND(Y41="HKD", Transactions!$Q$2="GBP"), AM41*Transactions!$Z$10,
            AND(Y41="HKD", Transactions!$Q$2="EUR"), AM41*Transactions!$Z$11,
            AND(Y41="EUR", Transactions!$Q$2="EUR"), AM41,
            AND(Y41="EUR", Transactions!$Q$2="USD"), AM41*Transactions!$Z$12,
            AND(Y41="EUR", Transactions!$Q$2="GBP"), AM41*Transactions!$Z$13,
            AND(Y41="EUR", Transactions!$Q$2="HKD"), AM41*Transactions!$Z$14,
        ),
        0
    )
)</f>
        <v>90.246600000000001</v>
      </c>
      <c r="O41" s="145"/>
      <c r="P41" s="145"/>
      <c r="Q41" s="41">
        <f t="shared" si="24"/>
        <v>0</v>
      </c>
      <c r="S41" s="41">
        <f t="shared" si="25"/>
        <v>0</v>
      </c>
      <c r="T41" s="1" t="str">
        <f t="shared" si="26"/>
        <v>Crypto</v>
      </c>
      <c r="U41" s="41">
        <f t="shared" si="27"/>
        <v>0.81515627319794193</v>
      </c>
      <c r="V41" s="41">
        <f t="shared" si="28"/>
        <v>0</v>
      </c>
      <c r="W41" s="41">
        <f t="shared" si="29"/>
        <v>0.81515627319794193</v>
      </c>
      <c r="X41" s="1" t="str">
        <f t="shared" si="29"/>
        <v>Luanchpool</v>
      </c>
      <c r="Y41" s="17" t="str">
        <f>IFERROR(IF(ISBLANK(AA41), "", IF(VLOOKUP(AA41, Transactions!D:F, 3, FALSE) = "Stablecoin", AA41, INDEX(Transactions!$B$3:$B1045, MATCH(AA41, Transactions!$D$3:$D1045, 0)))), "")</f>
        <v>USD</v>
      </c>
      <c r="Z41" s="1" t="str">
        <f>_xlfn.XLOOKUP(AA41,Transactions!$D$3:$D$1007,Transactions!$E$3:$E$1007)</f>
        <v>Pixels</v>
      </c>
      <c r="AA41" s="1" t="str">
        <v>PIXEL</v>
      </c>
      <c r="AB41" s="118" cm="1">
        <f t="array" ref="AB41">IF(ISBLANK(AA41), "",
    SUMPRODUCT(
        (Transactions!$D$3:$D$1007=AA41) *
        (Transactions!$H$3:$H$1007={"Cash Deposit","Crypto Deposit","Buy","Transfer Deposit","DRIP","Airdrop/Rewards"}) *
        Transactions!$I$3:$I$1007
    )
    - SUMPRODUCT(
        (Transactions!$D$3:$D$1007=AA41) *
        (Transactions!$H$3:$H$1007={"Sell","Transfer Send","Cash Withdrawal","Crypto Withdrawal"}) *
        Transactions!$I$3:$I$1007
    )
)</f>
        <v>0</v>
      </c>
      <c r="AC41" s="2" cm="1">
        <f t="array" ref="AC41">IF(ISBLANK(AA41), "", LOOKUP(2, 1/(Transactions!D:D=AA41), Transactions!P:P))</f>
        <v>0.49859999999999999</v>
      </c>
      <c r="AD41" s="2" cm="1">
        <f t="array" ref="AD41">IF(ISBLANK(AA41),"",IFERROR(_FV(AA41,"price"),INDEX('CoinGeko API'!E:E,MATCH(Portfolio_v2!AA41,'CoinGeko API'!C:C,0))))</f>
        <v>0.844669</v>
      </c>
      <c r="AF41" s="39" cm="1">
        <f t="array" ref="AF41">IF(ISBLANK(AA41),"",IFERROR(_FV(AA41,"Change (%)",TRUE),INDEX('CoinGeko API'!G:G,MATCH(Portfolio_v2!AA41,'CoinGeko API'!C:C,0))))</f>
        <v>6.6393399999999991E-2</v>
      </c>
      <c r="AG41" s="34" cm="1">
        <f t="array" ref="AG41">IF(ISBLANK(AA41),"",IFERROR(_FV(AA41,"change"),INDEX('CoinGeko API'!F:F,MATCH(Portfolio_v2!AA41,'CoinGeko API'!C:C,0))))</f>
        <v>5.2588999999999997E-2</v>
      </c>
      <c r="AH41" s="2">
        <f t="shared" si="13"/>
        <v>0</v>
      </c>
      <c r="AI41" s="2">
        <f t="shared" si="14"/>
        <v>0</v>
      </c>
      <c r="AJ41" s="40">
        <f t="shared" si="15"/>
        <v>0</v>
      </c>
      <c r="AK41" s="2">
        <f t="shared" si="16"/>
        <v>0</v>
      </c>
      <c r="AL41" s="119">
        <f>IF(OR(ISBLANK(AA41), COUNTIFS(Transactions!$D$3:$D1045, AA41) = 0), "",
    SUMIFS(Transactions!$M$3:$M1045, Transactions!$H$3:$H1045, "Sell", Transactions!$D$3:$D1045, AA41) +
    SUMIFS(Transactions!$M$3:$M1045, Transactions!$H$3:$H1045, "Dividend", Transactions!$D$3:$D1045, AA41) -
    SUMIFS(Transactions!$M$3:$M1045, Transactions!$H$3:$H1045, "Buy", Transactions!$D$3:$D1045, AA41) -
    SUMIFS(Transactions!$M$3:$M1045, Transactions!$H$3:$H1045, "Crypto Deposit", Transactions!$D$3:$D1045, AA41) -
    SUMIFS(Transactions!$M$3:$M1045, Transactions!$H$3:$H1045, "DRIP", Transactions!$D$3:$D1045, AA41) +
    SUMIFS($AH$3:$AH1037, $AA$3:$AA1037, AA41) +
    SUMIFS(Transactions!$M$3:$M1045, Transactions!$L$3:$L1045, "Stablecoin", Transactions!$B$3:$B1045, AA41)
)</f>
        <v>90.246600000000001</v>
      </c>
      <c r="AM41" s="120">
        <f t="shared" si="17"/>
        <v>90.246600000000001</v>
      </c>
      <c r="AN41" s="145"/>
      <c r="AO41" s="145"/>
      <c r="AP41" s="41">
        <f t="shared" si="1"/>
        <v>0</v>
      </c>
      <c r="AR41" s="41">
        <f t="shared" si="18"/>
        <v>0</v>
      </c>
      <c r="AS41" s="1" t="str">
        <f>_xlfn.XLOOKUP(AA41,Transactions!$D$3:$D$1007,Transactions!$F$3:$F$1007)</f>
        <v>Crypto</v>
      </c>
      <c r="AT41" s="41">
        <f t="shared" si="19"/>
        <v>0.81515627319794193</v>
      </c>
      <c r="AU41" s="41">
        <f t="shared" si="20"/>
        <v>0</v>
      </c>
      <c r="AV41" s="41">
        <f t="shared" si="21"/>
        <v>0.81515627319794193</v>
      </c>
      <c r="AW41" s="18" t="s">
        <v>478</v>
      </c>
    </row>
    <row r="42" spans="1:49" ht="18" customHeight="1">
      <c r="A42" s="17" t="str">
        <f t="shared" si="2"/>
        <v>The Sandbox</v>
      </c>
      <c r="B42" s="1" t="str">
        <f t="shared" si="3"/>
        <v>SAND</v>
      </c>
      <c r="C42" s="118">
        <f t="shared" si="4"/>
        <v>156</v>
      </c>
      <c r="D42" s="2" cm="1">
        <f t="array" ref="D42">IF($A42="", "",
    IFERROR(
        _xlfn.SWITCH(
            TRUE,
            AND(Y42="USD", Transactions!$Q$2="USD"), AC42,
            AND(Y42="USD", Transactions!$Q$2="GBP"), AC42*Transactions!$Z$3,
            AND(Y42="USD", Transactions!$Q$2="HKD"), AC42*Transactions!$Z$4,
            AND(Y42="USD", Transactions!$Q$2="EUR"), AC42*Transactions!$Z$5,
            AND(Y42="GBP", Transactions!$Q$2="GBP"), AC42,
            AND(Y42="GBP", Transactions!$Q$2="USD"), AC42*Transactions!$Z$6,
            AND(Y42="GBP", Transactions!$Q$2="HKD"), AC42*Transactions!$Z$7,
            AND(Y42="HKG", Transactions!$Q$2="HKG"), AC42,
            AND(Y42="HKD", Transactions!$Q$2="USD"), AC42*Transactions!$Z$9,
            AND(Y42="HKD", Transactions!$Q$2="GBP"), AC42*Transactions!$Z$10,
            AND(Y42="HKD", Transactions!$Q$2="EUR"), AC42*Transactions!$Z$11,
            AND(Y42="EUR", Transactions!$Q$2="EUR"), AC42,
            AND(Y42="EUR", Transactions!$Q$2="USD"), AC42*Transactions!$Z$12,
            AND(Y42="EUR", Transactions!$Q$2="GBP"), AC42*Transactions!$Z$13,
            AND(Y42="EUR", Transactions!$Q$2="HKD"), AC42*Transactions!$Z$14,
        ),
        0
    )
)</f>
        <v>0.7843</v>
      </c>
      <c r="E42" s="2" cm="1">
        <f t="array" ref="E42">IF($A42="", "",
    IFERROR(
        _xlfn.SWITCH(
            TRUE,
            AND(Y42="USD", Transactions!$Q$2="USD"), AD42,
            AND(Y42="USD", Transactions!$Q$2="GBP"), AD42*Transactions!$Z$3,
            AND(Y42="USD", Transactions!$Q$2="HKD"), AD42*Transactions!$Z$4,
            AND(Y42="USD", Transactions!$Q$2="EUR"), AD42*Transactions!$Z$5,
            AND(Y42="GBP", Transactions!$Q$2="GBP"), AD42,
            AND(Y42="GBP", Transactions!$Q$2="USD"), AD42*Transactions!$Z$6,
            AND(Y42="GBP", Transactions!$Q$2="HKD"), AD42*Transactions!$Z$7,
            AND(Y42="HKG", Transactions!$Q$2="HKG"), AD42,
            AND(Y42="HKD", Transactions!$Q$2="USD"), AD42*Transactions!$Z$9,
            AND(Y42="HKD", Transactions!$Q$2="GBP"), AD42*Transactions!$Z$10,
            AND(Y42="HKD", Transactions!$Q$2="EUR"), AD42*Transactions!$Z$11,
            AND(Y42="EUR", Transactions!$Q$2="EUR"), AD42,
            AND(Y42="EUR", Transactions!$Q$2="USD"), AD42*Transactions!$Z$12,
            AND(Y42="EUR", Transactions!$Q$2="GBP"), AD42*Transactions!$Z$13,
            AND(Y42="EUR", Transactions!$Q$2="HKD"), AD42*Transactions!$Z$14,
        ),
        0
    )
)</f>
        <v>0.70988399999999996</v>
      </c>
      <c r="G42" s="121">
        <f t="shared" si="30"/>
        <v>2.7628799999999998E-2</v>
      </c>
      <c r="H42" s="34" cm="1">
        <f t="array" ref="H42">IF($A42="", "",
    IFERROR(
        _xlfn.SWITCH(
            TRUE,
            AND(Y42="USD", Transactions!$Q$2="USD"), AG42,
            AND(Y42="USD", Transactions!$Q$2="GBP"), AG42*Transactions!$Z$3,
            AND(Y42="USD", Transactions!$Q$2="HKD"), AG42*Transactions!$Z$4,
            AND(Y42="USD", Transactions!$Q$2="EUR"), AG42*Transactions!$Z$5,
            AND(Y42="GBP", Transactions!$Q$2="GBP"), AG42,
            AND(Y42="GBP", Transactions!$Q$2="USD"), AG42*Transactions!$Z$6,
            AND(Y42="GBP", Transactions!$Q$2="HKD"), AG42*Transactions!$Z$7,
            AND(Y42="HKG", Transactions!$Q$2="HKG"), AG42,
            AND(Y42="HKD", Transactions!$Q$2="USD"), AG42*Transactions!$Z$9,
            AND(Y42="HKD", Transactions!$Q$2="GBP"), AG42*Transactions!$Z$10,
            AND(Y42="HKD", Transactions!$Q$2="EUR"), AG42*Transactions!$Z$11,
            AND(Y42="EUR", Transactions!$Q$2="EUR"), AG42,
            AND(Y42="EUR", Transactions!$Q$2="USD"), AG42*Transactions!$Z$12,
            AND(Y42="EUR", Transactions!$Q$2="GBP"), AG42*Transactions!$Z$13,
            AND(Y42="EUR", Transactions!$Q$2="HKD"), AG42*Transactions!$Z$14,
        ),
        0
    )
)</f>
        <v>1.9085930000000001E-2</v>
      </c>
      <c r="I42" s="2" cm="1">
        <f t="array" ref="I42">IF($A42="", "",
    IFERROR(
        _xlfn.SWITCH(
            TRUE,
            AND(Y42="USD", Transactions!$Q$2="USD"), AH42,
            AND(Y42="USD", Transactions!$Q$2="GBP"), AH42*Transactions!$Z$3,
            AND(Y42="USD", Transactions!$Q$2="HKD"), AH42*Transactions!$Z$4,
            AND(Y42="USD", Transactions!$Q$2="EUR"), AH42*Transactions!$Z$5,
            AND(Y42="GBP", Transactions!$Q$2="GBP"), AH42,
            AND(Y42="GBP", Transactions!$Q$2="USD"), AH42*Transactions!$Z$6,
            AND(Y42="GBP", Transactions!$Q$2="HKD"), AH42*Transactions!$Z$7,
            AND(Y42="HKG", Transactions!$Q$2="HKG"), AH42,
            AND(Y42="HKD", Transactions!$Q$2="USD"), AH42*Transactions!$Z$9,
            AND(Y42="HKD", Transactions!$Q$2="GBP"), AH42*Transactions!$Z$10,
            AND(Y42="HKD", Transactions!$Q$2="EUR"), AH42*Transactions!$Z$11,
            AND(Y42="EUR", Transactions!$Q$2="EUR"), AH42,
            AND(Y42="EUR", Transactions!$Q$2="USD"), AH42*Transactions!$Z$12,
            AND(Y42="EUR", Transactions!$Q$2="GBP"), AH42*Transactions!$Z$13,
            AND(Y42="EUR", Transactions!$Q$2="HKD"), AH42*Transactions!$Z$14,
        ),
        0
    )
)</f>
        <v>122.35079999999999</v>
      </c>
      <c r="J42" s="2" cm="1">
        <f t="array" ref="J42">IF($A42="", "",
    IFERROR(
        _xlfn.SWITCH(
            TRUE,
            AND(Y42="USD", Transactions!$Q$2="USD"), AI42,
            AND(Y42="USD", Transactions!$Q$2="GBP"), AI42*Transactions!$Z$3,
            AND(Y42="USD", Transactions!$Q$2="HKD"), AI42*Transactions!$Z$4,
            AND(Y42="USD", Transactions!$Q$2="EUR"), AI42*Transactions!$Z$5,
            AND(Y42="GBP", Transactions!$Q$2="GBP"), AI42,
            AND(Y42="GBP", Transactions!$Q$2="USD"), AI42*Transactions!$Z$6,
            AND(Y42="GBP", Transactions!$Q$2="HKD"), AI42*Transactions!$Z$7,
            AND(Y42="HKG", Transactions!$Q$2="HKG"), AI42,
            AND(Y42="HKD", Transactions!$Q$2="USD"), AI42*Transactions!$Z$9,
            AND(Y42="HKD", Transactions!$Q$2="GBP"), AI42*Transactions!$Z$10,
            AND(Y42="HKD", Transactions!$Q$2="EUR"), AI42*Transactions!$Z$11,
            AND(Y42="EUR", Transactions!$Q$2="EUR"), AI42,
            AND(Y42="EUR", Transactions!$Q$2="USD"), AI42*Transactions!$Z$12,
            AND(Y42="EUR", Transactions!$Q$2="GBP"), AI42*Transactions!$Z$13,
            AND(Y42="EUR", Transactions!$Q$2="HKD"), AI42*Transactions!$Z$14,
        ),
        0
    )
)</f>
        <v>110.74190399999999</v>
      </c>
      <c r="K42" s="41">
        <f t="shared" si="23"/>
        <v>-9.4882060436057652E-2</v>
      </c>
      <c r="L42" s="2" cm="1">
        <f t="array" ref="L42">IF($A42="", "",
    IFERROR(
        _xlfn.SWITCH(
            TRUE,
            AND(Y42="USD", Transactions!$Q$2="USD"), AK42,
            AND(Y42="USD", Transactions!$Q$2="GBP"), AK42*Transactions!$Z$3,
            AND(Y42="USD", Transactions!$Q$2="HKD"), AK42*Transactions!$Z$4,
            AND(Y42="USD", Transactions!$Q$2="EUR"), AK42*Transactions!$Z$5,
            AND(Y42="GBP", Transactions!$Q$2="GBP"), AK42,
            AND(Y42="GBP", Transactions!$Q$2="USD"), AK42*Transactions!$Z$6,
            AND(Y42="GBP", Transactions!$Q$2="HKD"), AK42*Transactions!$Z$7,
            AND(Y42="HKG", Transactions!$Q$2="HKG"), AK42,
            AND(Y42="HKD", Transactions!$Q$2="USD"), AK42*Transactions!$Z$9,
            AND(Y42="HKD", Transactions!$Q$2="GBP"), AK42*Transactions!$Z$10,
            AND(Y42="HKD", Transactions!$Q$2="EUR"), AK42*Transactions!$Z$11,
            AND(Y42="EUR", Transactions!$Q$2="EUR"), AK42,
            AND(Y42="EUR", Transactions!$Q$2="USD"), AK42*Transactions!$Z$12,
            AND(Y42="EUR", Transactions!$Q$2="GBP"), AK42*Transactions!$Z$13,
            AND(Y42="EUR", Transactions!$Q$2="HKD"), AK42*Transactions!$Z$14,
        ),
        0
    )
)</f>
        <v>-11.608896000000001</v>
      </c>
      <c r="M42" s="119" cm="1">
        <f t="array" ref="M42">IF($A42="", "",
    IFERROR(
        _xlfn.SWITCH(
            TRUE,
            AND(Y42="USD", Transactions!$Q$2="USD"), AL42,
            AND(Y42="USD", Transactions!$Q$2="GBP"), AL42*Transactions!$Z$3,
            AND(Y42="USD", Transactions!$Q$2="HKD"), AL42*Transactions!$Z$4,
            AND(Y42="USD", Transactions!$Q$2="EUR"), AL42*Transactions!$Z$5,
            AND(Y42="GBP", Transactions!$Q$2="GBP"), AL42,
            AND(Y42="GBP", Transactions!$Q$2="USD"), AL42*Transactions!$Z$6,
            AND(Y42="GBP", Transactions!$Q$2="HKD"), AL42*Transactions!$Z$7,
            AND(Y42="HKG", Transactions!$Q$2="HKG"), AL42,
            AND(Y42="HKD", Transactions!$Q$2="USD"), AL42*Transactions!$Z$9,
            AND(Y42="HKD", Transactions!$Q$2="GBP"), AL42*Transactions!$Z$10,
            AND(Y42="HKD", Transactions!$Q$2="EUR"), AL42*Transactions!$Z$11,
            AND(Y42="EUR", Transactions!$Q$2="EUR"), AL42,
            AND(Y42="EUR", Transactions!$Q$2="USD"), AL42*Transactions!$Z$12,
            AND(Y42="EUR", Transactions!$Q$2="GBP"), AL42*Transactions!$Z$13,
            AND(Y42="EUR", Transactions!$Q$2="HKD"), AL42*Transactions!$Z$14,
        ),
        0
    )
)</f>
        <v>0</v>
      </c>
      <c r="N42" s="120" cm="1">
        <f t="array" ref="N42">IF($A42="", "",
    IFERROR(
        _xlfn.SWITCH(
            TRUE,
            AND(Y42="USD", Transactions!$Q$2="USD"), AM42,
            AND(Y42="USD", Transactions!$Q$2="GBP"), AM42*Transactions!$Z$3,
            AND(Y42="USD", Transactions!$Q$2="HKD"), AM42*Transactions!$Z$4,
            AND(Y42="USD", Transactions!$Q$2="EUR"), AM42*Transactions!$Z$5,
            AND(Y42="GBP", Transactions!$Q$2="GBP"), AM42,
            AND(Y42="GBP", Transactions!$Q$2="USD"), AM42*Transactions!$Z$6,
            AND(Y42="GBP", Transactions!$Q$2="HKD"), AM42*Transactions!$Z$7,
            AND(Y42="HKG", Transactions!$Q$2="HKG"), AM42,
            AND(Y42="HKD", Transactions!$Q$2="USD"), AM42*Transactions!$Z$9,
            AND(Y42="HKD", Transactions!$Q$2="GBP"), AM42*Transactions!$Z$10,
            AND(Y42="HKD", Transactions!$Q$2="EUR"), AM42*Transactions!$Z$11,
            AND(Y42="EUR", Transactions!$Q$2="EUR"), AM42,
            AND(Y42="EUR", Transactions!$Q$2="USD"), AM42*Transactions!$Z$12,
            AND(Y42="EUR", Transactions!$Q$2="GBP"), AM42*Transactions!$Z$13,
            AND(Y42="EUR", Transactions!$Q$2="HKD"), AM42*Transactions!$Z$14,
        ),
        0
    )
)</f>
        <v>-11.608896000000001</v>
      </c>
      <c r="O42" s="145"/>
      <c r="P42" s="145"/>
      <c r="Q42" s="41">
        <f t="shared" si="24"/>
        <v>6.9052391737290373E-4</v>
      </c>
      <c r="S42" s="41">
        <f t="shared" si="25"/>
        <v>6.9052391737290373E-4</v>
      </c>
      <c r="T42" s="1" t="str">
        <f t="shared" si="26"/>
        <v>Crypto</v>
      </c>
      <c r="U42" s="41">
        <f t="shared" si="27"/>
        <v>0.81515627319794193</v>
      </c>
      <c r="V42" s="41">
        <f t="shared" si="28"/>
        <v>0</v>
      </c>
      <c r="W42" s="41">
        <f t="shared" si="29"/>
        <v>0.81515627319794193</v>
      </c>
      <c r="X42" s="1" t="str">
        <f t="shared" si="29"/>
        <v>Gamefi</v>
      </c>
      <c r="Y42" s="17" t="str">
        <f>IFERROR(IF(ISBLANK(AA42), "", IF(VLOOKUP(AA42, Transactions!D:F, 3, FALSE) = "Stablecoin", AA42, INDEX(Transactions!$B$3:$B1046, MATCH(AA42, Transactions!$D$3:$D1046, 0)))), "")</f>
        <v>USD</v>
      </c>
      <c r="Z42" s="1" t="str">
        <f>_xlfn.XLOOKUP(AA42,Transactions!$D$3:$D$1007,Transactions!$E$3:$E$1007)</f>
        <v>The Sandbox</v>
      </c>
      <c r="AA42" s="1" t="str">
        <v>SAND</v>
      </c>
      <c r="AB42" s="118" cm="1">
        <f t="array" ref="AB42">IF(ISBLANK(AA42), "",
    SUMPRODUCT(
        (Transactions!$D$3:$D$1007=AA42) *
        (Transactions!$H$3:$H$1007={"Cash Deposit","Crypto Deposit","Buy","Transfer Deposit","DRIP","Airdrop/Rewards"}) *
        Transactions!$I$3:$I$1007
    )
    - SUMPRODUCT(
        (Transactions!$D$3:$D$1007=AA42) *
        (Transactions!$H$3:$H$1007={"Sell","Transfer Send","Cash Withdrawal","Crypto Withdrawal"}) *
        Transactions!$I$3:$I$1007
    )
)</f>
        <v>156</v>
      </c>
      <c r="AC42" s="2" cm="1">
        <f t="array" ref="AC42">IF(ISBLANK(AA42), "", LOOKUP(2, 1/(Transactions!D:D=AA42), Transactions!P:P))</f>
        <v>0.7843</v>
      </c>
      <c r="AD42" s="2" cm="1">
        <f t="array" ref="AD42">IF(ISBLANK(AA42),"",IFERROR(_FV(AA42,"price"),INDEX('CoinGeko API'!E:E,MATCH(Portfolio_v2!AA42,'CoinGeko API'!C:C,0))))</f>
        <v>0.70988399999999996</v>
      </c>
      <c r="AF42" s="39" cm="1">
        <f t="array" ref="AF42">IF(ISBLANK(AA42),"",IFERROR(_FV(AA42,"Change (%)",TRUE),INDEX('CoinGeko API'!G:G,MATCH(Portfolio_v2!AA42,'CoinGeko API'!C:C,0))))</f>
        <v>2.7628799999999998E-2</v>
      </c>
      <c r="AG42" s="34" cm="1">
        <f t="array" ref="AG42">IF(ISBLANK(AA42),"",IFERROR(_FV(AA42,"change"),INDEX('CoinGeko API'!F:F,MATCH(Portfolio_v2!AA42,'CoinGeko API'!C:C,0))))</f>
        <v>1.9085930000000001E-2</v>
      </c>
      <c r="AH42" s="2">
        <f t="shared" si="13"/>
        <v>122.35079999999999</v>
      </c>
      <c r="AI42" s="2">
        <f t="shared" si="14"/>
        <v>110.74190399999999</v>
      </c>
      <c r="AJ42" s="40">
        <f t="shared" si="15"/>
        <v>-9.4882060436057652E-2</v>
      </c>
      <c r="AK42" s="2">
        <f t="shared" si="16"/>
        <v>-11.608896000000001</v>
      </c>
      <c r="AL42" s="119">
        <f>IF(OR(ISBLANK(AA42), COUNTIFS(Transactions!$D$3:$D1046, AA42) = 0), "",
    SUMIFS(Transactions!$M$3:$M1046, Transactions!$H$3:$H1046, "Sell", Transactions!$D$3:$D1046, AA42) +
    SUMIFS(Transactions!$M$3:$M1046, Transactions!$H$3:$H1046, "Dividend", Transactions!$D$3:$D1046, AA42) -
    SUMIFS(Transactions!$M$3:$M1046, Transactions!$H$3:$H1046, "Buy", Transactions!$D$3:$D1046, AA42) -
    SUMIFS(Transactions!$M$3:$M1046, Transactions!$H$3:$H1046, "Crypto Deposit", Transactions!$D$3:$D1046, AA42) -
    SUMIFS(Transactions!$M$3:$M1046, Transactions!$H$3:$H1046, "DRIP", Transactions!$D$3:$D1046, AA42) +
    SUMIFS($AH$3:$AH1038, $AA$3:$AA1038, AA42) +
    SUMIFS(Transactions!$M$3:$M1046, Transactions!$L$3:$L1046, "Stablecoin", Transactions!$B$3:$B1046, AA42)
)</f>
        <v>0</v>
      </c>
      <c r="AM42" s="120">
        <f t="shared" si="17"/>
        <v>-11.608896000000001</v>
      </c>
      <c r="AN42" s="145"/>
      <c r="AO42" s="145"/>
      <c r="AP42" s="41">
        <f t="shared" si="1"/>
        <v>6.9052391737290373E-4</v>
      </c>
      <c r="AR42" s="41">
        <f t="shared" si="18"/>
        <v>6.9052391737290373E-4</v>
      </c>
      <c r="AS42" s="1" t="str">
        <f>_xlfn.XLOOKUP(AA42,Transactions!$D$3:$D$1007,Transactions!$F$3:$F$1007)</f>
        <v>Crypto</v>
      </c>
      <c r="AT42" s="41">
        <f t="shared" si="19"/>
        <v>0.81515627319794193</v>
      </c>
      <c r="AU42" s="41">
        <f t="shared" si="20"/>
        <v>0</v>
      </c>
      <c r="AV42" s="41">
        <f t="shared" si="21"/>
        <v>0.81515627319794193</v>
      </c>
      <c r="AW42" s="18" t="s">
        <v>20</v>
      </c>
    </row>
    <row r="43" spans="1:49" ht="18" customHeight="1">
      <c r="A43" s="17" t="str">
        <f t="shared" si="2"/>
        <v>Solana</v>
      </c>
      <c r="B43" s="1" t="str">
        <f t="shared" si="3"/>
        <v>SOL</v>
      </c>
      <c r="C43" s="118">
        <f t="shared" si="4"/>
        <v>6.3861733199999984</v>
      </c>
      <c r="D43" s="2" cm="1">
        <f t="array" ref="D43">IF($A43="", "",
    IFERROR(
        _xlfn.SWITCH(
            TRUE,
            AND(Y43="USD", Transactions!$Q$2="USD"), AC43,
            AND(Y43="USD", Transactions!$Q$2="GBP"), AC43*Transactions!$Z$3,
            AND(Y43="USD", Transactions!$Q$2="HKD"), AC43*Transactions!$Z$4,
            AND(Y43="USD", Transactions!$Q$2="EUR"), AC43*Transactions!$Z$5,
            AND(Y43="GBP", Transactions!$Q$2="GBP"), AC43,
            AND(Y43="GBP", Transactions!$Q$2="USD"), AC43*Transactions!$Z$6,
            AND(Y43="GBP", Transactions!$Q$2="HKD"), AC43*Transactions!$Z$7,
            AND(Y43="HKG", Transactions!$Q$2="HKG"), AC43,
            AND(Y43="HKD", Transactions!$Q$2="USD"), AC43*Transactions!$Z$9,
            AND(Y43="HKD", Transactions!$Q$2="GBP"), AC43*Transactions!$Z$10,
            AND(Y43="HKD", Transactions!$Q$2="EUR"), AC43*Transactions!$Z$11,
            AND(Y43="EUR", Transactions!$Q$2="EUR"), AC43,
            AND(Y43="EUR", Transactions!$Q$2="USD"), AC43*Transactions!$Z$12,
            AND(Y43="EUR", Transactions!$Q$2="GBP"), AC43*Transactions!$Z$13,
            AND(Y43="EUR", Transactions!$Q$2="HKD"), AC43*Transactions!$Z$14,
        ),
        0
    )
)</f>
        <v>68.153098238054085</v>
      </c>
      <c r="E43" s="2" cm="1">
        <f t="array" ref="E43">IF($A43="", "",
    IFERROR(
        _xlfn.SWITCH(
            TRUE,
            AND(Y43="USD", Transactions!$Q$2="USD"), AD43,
            AND(Y43="USD", Transactions!$Q$2="GBP"), AD43*Transactions!$Z$3,
            AND(Y43="USD", Transactions!$Q$2="HKD"), AD43*Transactions!$Z$4,
            AND(Y43="USD", Transactions!$Q$2="EUR"), AD43*Transactions!$Z$5,
            AND(Y43="GBP", Transactions!$Q$2="GBP"), AD43,
            AND(Y43="GBP", Transactions!$Q$2="USD"), AD43*Transactions!$Z$6,
            AND(Y43="GBP", Transactions!$Q$2="HKD"), AD43*Transactions!$Z$7,
            AND(Y43="HKG", Transactions!$Q$2="HKG"), AD43,
            AND(Y43="HKD", Transactions!$Q$2="USD"), AD43*Transactions!$Z$9,
            AND(Y43="HKD", Transactions!$Q$2="GBP"), AD43*Transactions!$Z$10,
            AND(Y43="HKD", Transactions!$Q$2="EUR"), AD43*Transactions!$Z$11,
            AND(Y43="EUR", Transactions!$Q$2="EUR"), AD43,
            AND(Y43="EUR", Transactions!$Q$2="USD"), AD43*Transactions!$Z$12,
            AND(Y43="EUR", Transactions!$Q$2="GBP"), AD43*Transactions!$Z$13,
            AND(Y43="EUR", Transactions!$Q$2="HKD"), AD43*Transactions!$Z$14,
        ),
        0
    )
)</f>
        <v>189.83</v>
      </c>
      <c r="G43" s="121">
        <f t="shared" si="30"/>
        <v>4.1450800000000003E-2</v>
      </c>
      <c r="H43" s="34" cm="1">
        <f t="array" ref="H43">IF($A43="", "",
    IFERROR(
        _xlfn.SWITCH(
            TRUE,
            AND(Y43="USD", Transactions!$Q$2="USD"), AG43,
            AND(Y43="USD", Transactions!$Q$2="GBP"), AG43*Transactions!$Z$3,
            AND(Y43="USD", Transactions!$Q$2="HKD"), AG43*Transactions!$Z$4,
            AND(Y43="USD", Transactions!$Q$2="EUR"), AG43*Transactions!$Z$5,
            AND(Y43="GBP", Transactions!$Q$2="GBP"), AG43,
            AND(Y43="GBP", Transactions!$Q$2="USD"), AG43*Transactions!$Z$6,
            AND(Y43="GBP", Transactions!$Q$2="HKD"), AG43*Transactions!$Z$7,
            AND(Y43="HKG", Transactions!$Q$2="HKG"), AG43,
            AND(Y43="HKD", Transactions!$Q$2="USD"), AG43*Transactions!$Z$9,
            AND(Y43="HKD", Transactions!$Q$2="GBP"), AG43*Transactions!$Z$10,
            AND(Y43="HKD", Transactions!$Q$2="EUR"), AG43*Transactions!$Z$11,
            AND(Y43="EUR", Transactions!$Q$2="EUR"), AG43,
            AND(Y43="EUR", Transactions!$Q$2="USD"), AG43*Transactions!$Z$12,
            AND(Y43="EUR", Transactions!$Q$2="GBP"), AG43*Transactions!$Z$13,
            AND(Y43="EUR", Transactions!$Q$2="HKD"), AG43*Transactions!$Z$14,
        ),
        0
    )
)</f>
        <v>7.56</v>
      </c>
      <c r="I43" s="2" cm="1">
        <f t="array" ref="I43">IF($A43="", "",
    IFERROR(
        _xlfn.SWITCH(
            TRUE,
            AND(Y43="USD", Transactions!$Q$2="USD"), AH43,
            AND(Y43="USD", Transactions!$Q$2="GBP"), AH43*Transactions!$Z$3,
            AND(Y43="USD", Transactions!$Q$2="HKD"), AH43*Transactions!$Z$4,
            AND(Y43="USD", Transactions!$Q$2="EUR"), AH43*Transactions!$Z$5,
            AND(Y43="GBP", Transactions!$Q$2="GBP"), AH43,
            AND(Y43="GBP", Transactions!$Q$2="USD"), AH43*Transactions!$Z$6,
            AND(Y43="GBP", Transactions!$Q$2="HKD"), AH43*Transactions!$Z$7,
            AND(Y43="HKG", Transactions!$Q$2="HKG"), AH43,
            AND(Y43="HKD", Transactions!$Q$2="USD"), AH43*Transactions!$Z$9,
            AND(Y43="HKD", Transactions!$Q$2="GBP"), AH43*Transactions!$Z$10,
            AND(Y43="HKD", Transactions!$Q$2="EUR"), AH43*Transactions!$Z$11,
            AND(Y43="EUR", Transactions!$Q$2="EUR"), AH43,
            AND(Y43="EUR", Transactions!$Q$2="USD"), AH43*Transactions!$Z$12,
            AND(Y43="EUR", Transactions!$Q$2="GBP"), AH43*Transactions!$Z$13,
            AND(Y43="EUR", Transactions!$Q$2="HKD"), AH43*Transactions!$Z$14,
        ),
        0
    )
)</f>
        <v>435.2374976431999</v>
      </c>
      <c r="J43" s="2" cm="1">
        <f t="array" ref="J43">IF($A43="", "",
    IFERROR(
        _xlfn.SWITCH(
            TRUE,
            AND(Y43="USD", Transactions!$Q$2="USD"), AI43,
            AND(Y43="USD", Transactions!$Q$2="GBP"), AI43*Transactions!$Z$3,
            AND(Y43="USD", Transactions!$Q$2="HKD"), AI43*Transactions!$Z$4,
            AND(Y43="USD", Transactions!$Q$2="EUR"), AI43*Transactions!$Z$5,
            AND(Y43="GBP", Transactions!$Q$2="GBP"), AI43,
            AND(Y43="GBP", Transactions!$Q$2="USD"), AI43*Transactions!$Z$6,
            AND(Y43="GBP", Transactions!$Q$2="HKD"), AI43*Transactions!$Z$7,
            AND(Y43="HKG", Transactions!$Q$2="HKG"), AI43,
            AND(Y43="HKD", Transactions!$Q$2="USD"), AI43*Transactions!$Z$9,
            AND(Y43="HKD", Transactions!$Q$2="GBP"), AI43*Transactions!$Z$10,
            AND(Y43="HKD", Transactions!$Q$2="EUR"), AI43*Transactions!$Z$11,
            AND(Y43="EUR", Transactions!$Q$2="EUR"), AI43,
            AND(Y43="EUR", Transactions!$Q$2="USD"), AI43*Transactions!$Z$12,
            AND(Y43="EUR", Transactions!$Q$2="GBP"), AI43*Transactions!$Z$13,
            AND(Y43="EUR", Transactions!$Q$2="HKD"), AI43*Transactions!$Z$14,
        ),
        0
    )
)</f>
        <v>1212.2872813355998</v>
      </c>
      <c r="K43" s="41">
        <f t="shared" si="23"/>
        <v>1.7853465932970043</v>
      </c>
      <c r="L43" s="2" cm="1">
        <f t="array" ref="L43">IF($A43="", "",
    IFERROR(
        _xlfn.SWITCH(
            TRUE,
            AND(Y43="USD", Transactions!$Q$2="USD"), AK43,
            AND(Y43="USD", Transactions!$Q$2="GBP"), AK43*Transactions!$Z$3,
            AND(Y43="USD", Transactions!$Q$2="HKD"), AK43*Transactions!$Z$4,
            AND(Y43="USD", Transactions!$Q$2="EUR"), AK43*Transactions!$Z$5,
            AND(Y43="GBP", Transactions!$Q$2="GBP"), AK43,
            AND(Y43="GBP", Transactions!$Q$2="USD"), AK43*Transactions!$Z$6,
            AND(Y43="GBP", Transactions!$Q$2="HKD"), AK43*Transactions!$Z$7,
            AND(Y43="HKG", Transactions!$Q$2="HKG"), AK43,
            AND(Y43="HKD", Transactions!$Q$2="USD"), AK43*Transactions!$Z$9,
            AND(Y43="HKD", Transactions!$Q$2="GBP"), AK43*Transactions!$Z$10,
            AND(Y43="HKD", Transactions!$Q$2="EUR"), AK43*Transactions!$Z$11,
            AND(Y43="EUR", Transactions!$Q$2="EUR"), AK43,
            AND(Y43="EUR", Transactions!$Q$2="USD"), AK43*Transactions!$Z$12,
            AND(Y43="EUR", Transactions!$Q$2="GBP"), AK43*Transactions!$Z$13,
            AND(Y43="EUR", Transactions!$Q$2="HKD"), AK43*Transactions!$Z$14,
        ),
        0
    )
)</f>
        <v>777.04978369239984</v>
      </c>
      <c r="M43" s="119" cm="1">
        <f t="array" ref="M43">IF($A43="", "",
    IFERROR(
        _xlfn.SWITCH(
            TRUE,
            AND(Y43="USD", Transactions!$Q$2="USD"), AL43,
            AND(Y43="USD", Transactions!$Q$2="GBP"), AL43*Transactions!$Z$3,
            AND(Y43="USD", Transactions!$Q$2="HKD"), AL43*Transactions!$Z$4,
            AND(Y43="USD", Transactions!$Q$2="EUR"), AL43*Transactions!$Z$5,
            AND(Y43="GBP", Transactions!$Q$2="GBP"), AL43,
            AND(Y43="GBP", Transactions!$Q$2="USD"), AL43*Transactions!$Z$6,
            AND(Y43="GBP", Transactions!$Q$2="HKD"), AL43*Transactions!$Z$7,
            AND(Y43="HKG", Transactions!$Q$2="HKG"), AL43,
            AND(Y43="HKD", Transactions!$Q$2="USD"), AL43*Transactions!$Z$9,
            AND(Y43="HKD", Transactions!$Q$2="GBP"), AL43*Transactions!$Z$10,
            AND(Y43="HKD", Transactions!$Q$2="EUR"), AL43*Transactions!$Z$11,
            AND(Y43="EUR", Transactions!$Q$2="EUR"), AL43,
            AND(Y43="EUR", Transactions!$Q$2="USD"), AL43*Transactions!$Z$12,
            AND(Y43="EUR", Transactions!$Q$2="GBP"), AL43*Transactions!$Z$13,
            AND(Y43="EUR", Transactions!$Q$2="HKD"), AL43*Transactions!$Z$14,
        ),
        0
    )
)</f>
        <v>-5.6843418860808015E-14</v>
      </c>
      <c r="N43" s="120" cm="1">
        <f t="array" ref="N43">IF($A43="", "",
    IFERROR(
        _xlfn.SWITCH(
            TRUE,
            AND(Y43="USD", Transactions!$Q$2="USD"), AM43,
            AND(Y43="USD", Transactions!$Q$2="GBP"), AM43*Transactions!$Z$3,
            AND(Y43="USD", Transactions!$Q$2="HKD"), AM43*Transactions!$Z$4,
            AND(Y43="USD", Transactions!$Q$2="EUR"), AM43*Transactions!$Z$5,
            AND(Y43="GBP", Transactions!$Q$2="GBP"), AM43,
            AND(Y43="GBP", Transactions!$Q$2="USD"), AM43*Transactions!$Z$6,
            AND(Y43="GBP", Transactions!$Q$2="HKD"), AM43*Transactions!$Z$7,
            AND(Y43="HKG", Transactions!$Q$2="HKG"), AM43,
            AND(Y43="HKD", Transactions!$Q$2="USD"), AM43*Transactions!$Z$9,
            AND(Y43="HKD", Transactions!$Q$2="GBP"), AM43*Transactions!$Z$10,
            AND(Y43="HKD", Transactions!$Q$2="EUR"), AM43*Transactions!$Z$11,
            AND(Y43="EUR", Transactions!$Q$2="EUR"), AM43,
            AND(Y43="EUR", Transactions!$Q$2="USD"), AM43*Transactions!$Z$12,
            AND(Y43="EUR", Transactions!$Q$2="GBP"), AM43*Transactions!$Z$13,
            AND(Y43="EUR", Transactions!$Q$2="HKD"), AM43*Transactions!$Z$14,
        ),
        0
    )
)</f>
        <v>777.04978369239984</v>
      </c>
      <c r="O43" s="145"/>
      <c r="P43" s="145"/>
      <c r="Q43" s="41">
        <f t="shared" si="24"/>
        <v>7.5591382507673513E-3</v>
      </c>
      <c r="S43" s="41">
        <f t="shared" si="25"/>
        <v>7.5591382507673513E-3</v>
      </c>
      <c r="T43" s="1" t="str">
        <f t="shared" si="26"/>
        <v>Crypto</v>
      </c>
      <c r="U43" s="41">
        <f t="shared" si="27"/>
        <v>0.81515627319794193</v>
      </c>
      <c r="V43" s="41">
        <f t="shared" si="28"/>
        <v>0</v>
      </c>
      <c r="W43" s="41">
        <f t="shared" si="29"/>
        <v>0.81515627319794193</v>
      </c>
      <c r="X43" s="1" t="str">
        <f t="shared" si="29"/>
        <v>Layer 1</v>
      </c>
      <c r="Y43" s="17" t="str">
        <f>IFERROR(IF(ISBLANK(AA43), "", IF(VLOOKUP(AA43, Transactions!D:F, 3, FALSE) = "Stablecoin", AA43, INDEX(Transactions!$B$3:$B1047, MATCH(AA43, Transactions!$D$3:$D1047, 0)))), "")</f>
        <v>USD</v>
      </c>
      <c r="Z43" s="1" t="str">
        <f>_xlfn.XLOOKUP(AA43,Transactions!$D$3:$D$1007,Transactions!$E$3:$E$1007)</f>
        <v>Solana</v>
      </c>
      <c r="AA43" s="1" t="str">
        <v>SOL</v>
      </c>
      <c r="AB43" s="118" cm="1">
        <f t="array" ref="AB43">IF(ISBLANK(AA43), "",
    SUMPRODUCT(
        (Transactions!$D$3:$D$1007=AA43) *
        (Transactions!$H$3:$H$1007={"Cash Deposit","Crypto Deposit","Buy","Transfer Deposit","DRIP","Airdrop/Rewards"}) *
        Transactions!$I$3:$I$1007
    )
    - SUMPRODUCT(
        (Transactions!$D$3:$D$1007=AA43) *
        (Transactions!$H$3:$H$1007={"Sell","Transfer Send","Cash Withdrawal","Crypto Withdrawal"}) *
        Transactions!$I$3:$I$1007
    )
)</f>
        <v>6.3861733199999984</v>
      </c>
      <c r="AC43" s="2" cm="1">
        <f t="array" ref="AC43">IF(ISBLANK(AA43), "", LOOKUP(2, 1/(Transactions!D:D=AA43), Transactions!P:P))</f>
        <v>68.153098238054085</v>
      </c>
      <c r="AD43" s="2" cm="1">
        <f t="array" ref="AD43">IF(ISBLANK(AA43),"",IFERROR(_FV(AA43,"price"),INDEX('CoinGeko API'!E:E,MATCH(Portfolio_v2!AA43,'CoinGeko API'!C:C,0))))</f>
        <v>189.83</v>
      </c>
      <c r="AF43" s="39" cm="1">
        <f t="array" ref="AF43">IF(ISBLANK(AA43),"",IFERROR(_FV(AA43,"Change (%)",TRUE),INDEX('CoinGeko API'!G:G,MATCH(Portfolio_v2!AA43,'CoinGeko API'!C:C,0))))</f>
        <v>4.1450800000000003E-2</v>
      </c>
      <c r="AG43" s="34" cm="1">
        <f t="array" ref="AG43">IF(ISBLANK(AA43),"",IFERROR(_FV(AA43,"change"),INDEX('CoinGeko API'!F:F,MATCH(Portfolio_v2!AA43,'CoinGeko API'!C:C,0))))</f>
        <v>7.56</v>
      </c>
      <c r="AH43" s="2">
        <f t="shared" si="13"/>
        <v>435.2374976431999</v>
      </c>
      <c r="AI43" s="2">
        <f t="shared" si="14"/>
        <v>1212.2872813355998</v>
      </c>
      <c r="AJ43" s="40">
        <f t="shared" si="15"/>
        <v>1.7853465932970043</v>
      </c>
      <c r="AK43" s="2">
        <f t="shared" si="16"/>
        <v>777.04978369239984</v>
      </c>
      <c r="AL43" s="119">
        <f>IF(OR(ISBLANK(AA43), COUNTIFS(Transactions!$D$3:$D1047, AA43) = 0), "",
    SUMIFS(Transactions!$M$3:$M1047, Transactions!$H$3:$H1047, "Sell", Transactions!$D$3:$D1047, AA43) +
    SUMIFS(Transactions!$M$3:$M1047, Transactions!$H$3:$H1047, "Dividend", Transactions!$D$3:$D1047, AA43) -
    SUMIFS(Transactions!$M$3:$M1047, Transactions!$H$3:$H1047, "Buy", Transactions!$D$3:$D1047, AA43) -
    SUMIFS(Transactions!$M$3:$M1047, Transactions!$H$3:$H1047, "Crypto Deposit", Transactions!$D$3:$D1047, AA43) -
    SUMIFS(Transactions!$M$3:$M1047, Transactions!$H$3:$H1047, "DRIP", Transactions!$D$3:$D1047, AA43) +
    SUMIFS($AH$3:$AH1039, $AA$3:$AA1039, AA43) +
    SUMIFS(Transactions!$M$3:$M1047, Transactions!$L$3:$L1047, "Stablecoin", Transactions!$B$3:$B1047, AA43)
)</f>
        <v>-5.6843418860808015E-14</v>
      </c>
      <c r="AM43" s="120">
        <f t="shared" si="17"/>
        <v>777.04978369239984</v>
      </c>
      <c r="AN43" s="145"/>
      <c r="AO43" s="145"/>
      <c r="AP43" s="41">
        <f t="shared" si="1"/>
        <v>7.5591382507673513E-3</v>
      </c>
      <c r="AR43" s="41">
        <f t="shared" si="18"/>
        <v>7.5591382507673513E-3</v>
      </c>
      <c r="AS43" s="1" t="str">
        <f>_xlfn.XLOOKUP(AA43,Transactions!$D$3:$D$1007,Transactions!$F$3:$F$1007)</f>
        <v>Crypto</v>
      </c>
      <c r="AT43" s="41">
        <f t="shared" si="19"/>
        <v>0.81515627319794193</v>
      </c>
      <c r="AU43" s="41">
        <f t="shared" si="20"/>
        <v>0</v>
      </c>
      <c r="AV43" s="41">
        <f t="shared" si="21"/>
        <v>0.81515627319794193</v>
      </c>
      <c r="AW43" s="18" t="s">
        <v>16</v>
      </c>
    </row>
    <row r="44" spans="1:49" ht="18" customHeight="1">
      <c r="A44" s="17" t="str">
        <f t="shared" si="2"/>
        <v>Stacks</v>
      </c>
      <c r="B44" s="1" t="str">
        <f t="shared" si="3"/>
        <v>STX</v>
      </c>
      <c r="C44" s="118">
        <f t="shared" si="4"/>
        <v>962.2311900000002</v>
      </c>
      <c r="D44" s="2" cm="1">
        <f t="array" ref="D44">IF($A44="", "",
    IFERROR(
        _xlfn.SWITCH(
            TRUE,
            AND(Y44="USD", Transactions!$Q$2="USD"), AC44,
            AND(Y44="USD", Transactions!$Q$2="GBP"), AC44*Transactions!$Z$3,
            AND(Y44="USD", Transactions!$Q$2="HKD"), AC44*Transactions!$Z$4,
            AND(Y44="USD", Transactions!$Q$2="EUR"), AC44*Transactions!$Z$5,
            AND(Y44="GBP", Transactions!$Q$2="GBP"), AC44,
            AND(Y44="GBP", Transactions!$Q$2="USD"), AC44*Transactions!$Z$6,
            AND(Y44="GBP", Transactions!$Q$2="HKD"), AC44*Transactions!$Z$7,
            AND(Y44="HKG", Transactions!$Q$2="HKG"), AC44,
            AND(Y44="HKD", Transactions!$Q$2="USD"), AC44*Transactions!$Z$9,
            AND(Y44="HKD", Transactions!$Q$2="GBP"), AC44*Transactions!$Z$10,
            AND(Y44="HKD", Transactions!$Q$2="EUR"), AC44*Transactions!$Z$11,
            AND(Y44="EUR", Transactions!$Q$2="EUR"), AC44,
            AND(Y44="EUR", Transactions!$Q$2="USD"), AC44*Transactions!$Z$12,
            AND(Y44="EUR", Transactions!$Q$2="GBP"), AC44*Transactions!$Z$13,
            AND(Y44="EUR", Transactions!$Q$2="HKD"), AC44*Transactions!$Z$14,
        ),
        0
    )
)</f>
        <v>1.0026386834332401</v>
      </c>
      <c r="E44" s="2" cm="1">
        <f t="array" ref="E44">IF($A44="", "",
    IFERROR(
        _xlfn.SWITCH(
            TRUE,
            AND(Y44="USD", Transactions!$Q$2="USD"), AD44,
            AND(Y44="USD", Transactions!$Q$2="GBP"), AD44*Transactions!$Z$3,
            AND(Y44="USD", Transactions!$Q$2="HKD"), AD44*Transactions!$Z$4,
            AND(Y44="USD", Transactions!$Q$2="EUR"), AD44*Transactions!$Z$5,
            AND(Y44="GBP", Transactions!$Q$2="GBP"), AD44,
            AND(Y44="GBP", Transactions!$Q$2="USD"), AD44*Transactions!$Z$6,
            AND(Y44="GBP", Transactions!$Q$2="HKD"), AD44*Transactions!$Z$7,
            AND(Y44="HKG", Transactions!$Q$2="HKG"), AD44,
            AND(Y44="HKD", Transactions!$Q$2="USD"), AD44*Transactions!$Z$9,
            AND(Y44="HKD", Transactions!$Q$2="GBP"), AD44*Transactions!$Z$10,
            AND(Y44="HKD", Transactions!$Q$2="EUR"), AD44*Transactions!$Z$11,
            AND(Y44="EUR", Transactions!$Q$2="EUR"), AD44,
            AND(Y44="EUR", Transactions!$Q$2="USD"), AD44*Transactions!$Z$12,
            AND(Y44="EUR", Transactions!$Q$2="GBP"), AD44*Transactions!$Z$13,
            AND(Y44="EUR", Transactions!$Q$2="HKD"), AD44*Transactions!$Z$14,
        ),
        0
    )
)</f>
        <v>3.59</v>
      </c>
      <c r="G44" s="121">
        <f t="shared" si="30"/>
        <v>4.2870999999999994E-3</v>
      </c>
      <c r="H44" s="34" cm="1">
        <f t="array" ref="H44">IF($A44="", "",
    IFERROR(
        _xlfn.SWITCH(
            TRUE,
            AND(Y44="USD", Transactions!$Q$2="USD"), AG44,
            AND(Y44="USD", Transactions!$Q$2="GBP"), AG44*Transactions!$Z$3,
            AND(Y44="USD", Transactions!$Q$2="HKD"), AG44*Transactions!$Z$4,
            AND(Y44="USD", Transactions!$Q$2="EUR"), AG44*Transactions!$Z$5,
            AND(Y44="GBP", Transactions!$Q$2="GBP"), AG44,
            AND(Y44="GBP", Transactions!$Q$2="USD"), AG44*Transactions!$Z$6,
            AND(Y44="GBP", Transactions!$Q$2="HKD"), AG44*Transactions!$Z$7,
            AND(Y44="HKG", Transactions!$Q$2="HKG"), AG44,
            AND(Y44="HKD", Transactions!$Q$2="USD"), AG44*Transactions!$Z$9,
            AND(Y44="HKD", Transactions!$Q$2="GBP"), AG44*Transactions!$Z$10,
            AND(Y44="HKD", Transactions!$Q$2="EUR"), AG44*Transactions!$Z$11,
            AND(Y44="EUR", Transactions!$Q$2="EUR"), AG44,
            AND(Y44="EUR", Transactions!$Q$2="USD"), AG44*Transactions!$Z$12,
            AND(Y44="EUR", Transactions!$Q$2="GBP"), AG44*Transactions!$Z$13,
            AND(Y44="EUR", Transactions!$Q$2="HKD"), AG44*Transactions!$Z$14,
        ),
        0
    )
)</f>
        <v>1.5326350000000001E-2</v>
      </c>
      <c r="I44" s="2" cm="1">
        <f t="array" ref="I44">IF($A44="", "",
    IFERROR(
        _xlfn.SWITCH(
            TRUE,
            AND(Y44="USD", Transactions!$Q$2="USD"), AH44,
            AND(Y44="USD", Transactions!$Q$2="GBP"), AH44*Transactions!$Z$3,
            AND(Y44="USD", Transactions!$Q$2="HKD"), AH44*Transactions!$Z$4,
            AND(Y44="USD", Transactions!$Q$2="EUR"), AH44*Transactions!$Z$5,
            AND(Y44="GBP", Transactions!$Q$2="GBP"), AH44,
            AND(Y44="GBP", Transactions!$Q$2="USD"), AH44*Transactions!$Z$6,
            AND(Y44="GBP", Transactions!$Q$2="HKD"), AH44*Transactions!$Z$7,
            AND(Y44="HKG", Transactions!$Q$2="HKG"), AH44,
            AND(Y44="HKD", Transactions!$Q$2="USD"), AH44*Transactions!$Z$9,
            AND(Y44="HKD", Transactions!$Q$2="GBP"), AH44*Transactions!$Z$10,
            AND(Y44="HKD", Transactions!$Q$2="EUR"), AH44*Transactions!$Z$11,
            AND(Y44="EUR", Transactions!$Q$2="EUR"), AH44,
            AND(Y44="EUR", Transactions!$Q$2="USD"), AH44*Transactions!$Z$12,
            AND(Y44="EUR", Transactions!$Q$2="GBP"), AH44*Transactions!$Z$13,
            AND(Y44="EUR", Transactions!$Q$2="HKD"), AH44*Transactions!$Z$14,
        ),
        0
    )
)</f>
        <v>964.77021350000018</v>
      </c>
      <c r="J44" s="2" cm="1">
        <f t="array" ref="J44">IF($A44="", "",
    IFERROR(
        _xlfn.SWITCH(
            TRUE,
            AND(Y44="USD", Transactions!$Q$2="USD"), AI44,
            AND(Y44="USD", Transactions!$Q$2="GBP"), AI44*Transactions!$Z$3,
            AND(Y44="USD", Transactions!$Q$2="HKD"), AI44*Transactions!$Z$4,
            AND(Y44="USD", Transactions!$Q$2="EUR"), AI44*Transactions!$Z$5,
            AND(Y44="GBP", Transactions!$Q$2="GBP"), AI44,
            AND(Y44="GBP", Transactions!$Q$2="USD"), AI44*Transactions!$Z$6,
            AND(Y44="GBP", Transactions!$Q$2="HKD"), AI44*Transactions!$Z$7,
            AND(Y44="HKG", Transactions!$Q$2="HKG"), AI44,
            AND(Y44="HKD", Transactions!$Q$2="USD"), AI44*Transactions!$Z$9,
            AND(Y44="HKD", Transactions!$Q$2="GBP"), AI44*Transactions!$Z$10,
            AND(Y44="HKD", Transactions!$Q$2="EUR"), AI44*Transactions!$Z$11,
            AND(Y44="EUR", Transactions!$Q$2="EUR"), AI44,
            AND(Y44="EUR", Transactions!$Q$2="USD"), AI44*Transactions!$Z$12,
            AND(Y44="EUR", Transactions!$Q$2="GBP"), AI44*Transactions!$Z$13,
            AND(Y44="EUR", Transactions!$Q$2="HKD"), AI44*Transactions!$Z$14,
        ),
        0
    )
)</f>
        <v>3454.4099721000007</v>
      </c>
      <c r="K44" s="41">
        <f t="shared" si="23"/>
        <v>2.5805520566063787</v>
      </c>
      <c r="L44" s="2" cm="1">
        <f t="array" ref="L44">IF($A44="", "",
    IFERROR(
        _xlfn.SWITCH(
            TRUE,
            AND(Y44="USD", Transactions!$Q$2="USD"), AK44,
            AND(Y44="USD", Transactions!$Q$2="GBP"), AK44*Transactions!$Z$3,
            AND(Y44="USD", Transactions!$Q$2="HKD"), AK44*Transactions!$Z$4,
            AND(Y44="USD", Transactions!$Q$2="EUR"), AK44*Transactions!$Z$5,
            AND(Y44="GBP", Transactions!$Q$2="GBP"), AK44,
            AND(Y44="GBP", Transactions!$Q$2="USD"), AK44*Transactions!$Z$6,
            AND(Y44="GBP", Transactions!$Q$2="HKD"), AK44*Transactions!$Z$7,
            AND(Y44="HKG", Transactions!$Q$2="HKG"), AK44,
            AND(Y44="HKD", Transactions!$Q$2="USD"), AK44*Transactions!$Z$9,
            AND(Y44="HKD", Transactions!$Q$2="GBP"), AK44*Transactions!$Z$10,
            AND(Y44="HKD", Transactions!$Q$2="EUR"), AK44*Transactions!$Z$11,
            AND(Y44="EUR", Transactions!$Q$2="EUR"), AK44,
            AND(Y44="EUR", Transactions!$Q$2="USD"), AK44*Transactions!$Z$12,
            AND(Y44="EUR", Transactions!$Q$2="GBP"), AK44*Transactions!$Z$13,
            AND(Y44="EUR", Transactions!$Q$2="HKD"), AK44*Transactions!$Z$14,
        ),
        0
    )
)</f>
        <v>2489.6397586000003</v>
      </c>
      <c r="M44" s="119" cm="1">
        <f t="array" ref="M44">IF($A44="", "",
    IFERROR(
        _xlfn.SWITCH(
            TRUE,
            AND(Y44="USD", Transactions!$Q$2="USD"), AL44,
            AND(Y44="USD", Transactions!$Q$2="GBP"), AL44*Transactions!$Z$3,
            AND(Y44="USD", Transactions!$Q$2="HKD"), AL44*Transactions!$Z$4,
            AND(Y44="USD", Transactions!$Q$2="EUR"), AL44*Transactions!$Z$5,
            AND(Y44="GBP", Transactions!$Q$2="GBP"), AL44,
            AND(Y44="GBP", Transactions!$Q$2="USD"), AL44*Transactions!$Z$6,
            AND(Y44="GBP", Transactions!$Q$2="HKD"), AL44*Transactions!$Z$7,
            AND(Y44="HKG", Transactions!$Q$2="HKG"), AL44,
            AND(Y44="HKD", Transactions!$Q$2="USD"), AL44*Transactions!$Z$9,
            AND(Y44="HKD", Transactions!$Q$2="GBP"), AL44*Transactions!$Z$10,
            AND(Y44="HKD", Transactions!$Q$2="EUR"), AL44*Transactions!$Z$11,
            AND(Y44="EUR", Transactions!$Q$2="EUR"), AL44,
            AND(Y44="EUR", Transactions!$Q$2="USD"), AL44*Transactions!$Z$12,
            AND(Y44="EUR", Transactions!$Q$2="GBP"), AL44*Transactions!$Z$13,
            AND(Y44="EUR", Transactions!$Q$2="HKD"), AL44*Transactions!$Z$14,
        ),
        0
    )
)</f>
        <v>276.10500000000025</v>
      </c>
      <c r="N44" s="120" cm="1">
        <f t="array" ref="N44">IF($A44="", "",
    IFERROR(
        _xlfn.SWITCH(
            TRUE,
            AND(Y44="USD", Transactions!$Q$2="USD"), AM44,
            AND(Y44="USD", Transactions!$Q$2="GBP"), AM44*Transactions!$Z$3,
            AND(Y44="USD", Transactions!$Q$2="HKD"), AM44*Transactions!$Z$4,
            AND(Y44="USD", Transactions!$Q$2="EUR"), AM44*Transactions!$Z$5,
            AND(Y44="GBP", Transactions!$Q$2="GBP"), AM44,
            AND(Y44="GBP", Transactions!$Q$2="USD"), AM44*Transactions!$Z$6,
            AND(Y44="GBP", Transactions!$Q$2="HKD"), AM44*Transactions!$Z$7,
            AND(Y44="HKG", Transactions!$Q$2="HKG"), AM44,
            AND(Y44="HKD", Transactions!$Q$2="USD"), AM44*Transactions!$Z$9,
            AND(Y44="HKD", Transactions!$Q$2="GBP"), AM44*Transactions!$Z$10,
            AND(Y44="HKD", Transactions!$Q$2="EUR"), AM44*Transactions!$Z$11,
            AND(Y44="EUR", Transactions!$Q$2="EUR"), AM44,
            AND(Y44="EUR", Transactions!$Q$2="USD"), AM44*Transactions!$Z$12,
            AND(Y44="EUR", Transactions!$Q$2="GBP"), AM44*Transactions!$Z$13,
            AND(Y44="EUR", Transactions!$Q$2="HKD"), AM44*Transactions!$Z$14,
        ),
        0
    )
)</f>
        <v>2765.7447586000008</v>
      </c>
      <c r="O44" s="145"/>
      <c r="P44" s="145"/>
      <c r="Q44" s="41">
        <f t="shared" si="24"/>
        <v>2.1539748008545308E-2</v>
      </c>
      <c r="S44" s="41">
        <f t="shared" si="25"/>
        <v>2.1539748008545308E-2</v>
      </c>
      <c r="T44" s="1" t="str">
        <f t="shared" si="26"/>
        <v>Crypto</v>
      </c>
      <c r="U44" s="41">
        <f t="shared" si="27"/>
        <v>0.81515627319794193</v>
      </c>
      <c r="V44" s="41">
        <f t="shared" si="28"/>
        <v>0</v>
      </c>
      <c r="W44" s="41">
        <f t="shared" si="29"/>
        <v>0.81515627319794193</v>
      </c>
      <c r="X44" s="1" t="str">
        <f t="shared" si="29"/>
        <v>Layer 2</v>
      </c>
      <c r="Y44" s="17" t="str">
        <f>IFERROR(IF(ISBLANK(AA44), "", IF(VLOOKUP(AA44, Transactions!D:F, 3, FALSE) = "Stablecoin", AA44, INDEX(Transactions!$B$3:$B1048, MATCH(AA44, Transactions!$D$3:$D1048, 0)))), "")</f>
        <v>USD</v>
      </c>
      <c r="Z44" s="1" t="str">
        <f>_xlfn.XLOOKUP(AA44,Transactions!$D$3:$D$1007,Transactions!$E$3:$E$1007)</f>
        <v>Stacks</v>
      </c>
      <c r="AA44" s="1" t="str">
        <v>STX</v>
      </c>
      <c r="AB44" s="118" cm="1">
        <f t="array" ref="AB44">IF(ISBLANK(AA44), "",
    SUMPRODUCT(
        (Transactions!$D$3:$D$1007=AA44) *
        (Transactions!$H$3:$H$1007={"Cash Deposit","Crypto Deposit","Buy","Transfer Deposit","DRIP","Airdrop/Rewards"}) *
        Transactions!$I$3:$I$1007
    )
    - SUMPRODUCT(
        (Transactions!$D$3:$D$1007=AA44) *
        (Transactions!$H$3:$H$1007={"Sell","Transfer Send","Cash Withdrawal","Crypto Withdrawal"}) *
        Transactions!$I$3:$I$1007
    )
)</f>
        <v>962.2311900000002</v>
      </c>
      <c r="AC44" s="2" cm="1">
        <f t="array" ref="AC44">IF(ISBLANK(AA44), "", LOOKUP(2, 1/(Transactions!D:D=AA44), Transactions!P:P))</f>
        <v>1.0026386834332401</v>
      </c>
      <c r="AD44" s="2" cm="1">
        <f t="array" ref="AD44">IF(ISBLANK(AA44),"",IFERROR(_FV(AA44,"price"),INDEX('CoinGeko API'!E:E,MATCH(Portfolio_v2!AA44,'CoinGeko API'!C:C,0))))</f>
        <v>3.59</v>
      </c>
      <c r="AF44" s="39" cm="1">
        <f t="array" ref="AF44">IF(ISBLANK(AA44),"",IFERROR(_FV(AA44,"Change (%)",TRUE),INDEX('CoinGeko API'!G:G,MATCH(Portfolio_v2!AA44,'CoinGeko API'!C:C,0))))</f>
        <v>4.2870999999999994E-3</v>
      </c>
      <c r="AG44" s="34" cm="1">
        <f t="array" ref="AG44">IF(ISBLANK(AA44),"",IFERROR(_FV(AA44,"change"),INDEX('CoinGeko API'!F:F,MATCH(Portfolio_v2!AA44,'CoinGeko API'!C:C,0))))</f>
        <v>1.5326350000000001E-2</v>
      </c>
      <c r="AH44" s="2">
        <f t="shared" si="13"/>
        <v>964.77021350000018</v>
      </c>
      <c r="AI44" s="2">
        <f t="shared" si="14"/>
        <v>3454.4099721000007</v>
      </c>
      <c r="AJ44" s="40">
        <f t="shared" si="15"/>
        <v>2.5805520566063787</v>
      </c>
      <c r="AK44" s="2">
        <f t="shared" si="16"/>
        <v>2489.6397586000003</v>
      </c>
      <c r="AL44" s="119">
        <f>IF(OR(ISBLANK(AA44), COUNTIFS(Transactions!$D$3:$D1048, AA44) = 0), "",
    SUMIFS(Transactions!$M$3:$M1048, Transactions!$H$3:$H1048, "Sell", Transactions!$D$3:$D1048, AA44) +
    SUMIFS(Transactions!$M$3:$M1048, Transactions!$H$3:$H1048, "Dividend", Transactions!$D$3:$D1048, AA44) -
    SUMIFS(Transactions!$M$3:$M1048, Transactions!$H$3:$H1048, "Buy", Transactions!$D$3:$D1048, AA44) -
    SUMIFS(Transactions!$M$3:$M1048, Transactions!$H$3:$H1048, "Crypto Deposit", Transactions!$D$3:$D1048, AA44) -
    SUMIFS(Transactions!$M$3:$M1048, Transactions!$H$3:$H1048, "DRIP", Transactions!$D$3:$D1048, AA44) +
    SUMIFS($AH$3:$AH1040, $AA$3:$AA1040, AA44) +
    SUMIFS(Transactions!$M$3:$M1048, Transactions!$L$3:$L1048, "Stablecoin", Transactions!$B$3:$B1048, AA44)
)</f>
        <v>276.10500000000025</v>
      </c>
      <c r="AM44" s="120">
        <f t="shared" si="17"/>
        <v>2765.7447586000008</v>
      </c>
      <c r="AN44" s="145"/>
      <c r="AO44" s="145"/>
      <c r="AP44" s="41">
        <f t="shared" si="1"/>
        <v>2.1539748008545308E-2</v>
      </c>
      <c r="AR44" s="41">
        <f t="shared" si="18"/>
        <v>2.1539748008545308E-2</v>
      </c>
      <c r="AS44" s="1" t="str">
        <f>_xlfn.XLOOKUP(AA44,Transactions!$D$3:$D$1007,Transactions!$F$3:$F$1007)</f>
        <v>Crypto</v>
      </c>
      <c r="AT44" s="41">
        <f t="shared" si="19"/>
        <v>0.81515627319794193</v>
      </c>
      <c r="AU44" s="41">
        <f t="shared" si="20"/>
        <v>0</v>
      </c>
      <c r="AV44" s="41">
        <f t="shared" si="21"/>
        <v>0.81515627319794193</v>
      </c>
      <c r="AW44" s="18" t="s">
        <v>17</v>
      </c>
    </row>
    <row r="45" spans="1:49" ht="18" customHeight="1">
      <c r="A45" s="17" t="str">
        <f t="shared" si="2"/>
        <v>SuperVerse</v>
      </c>
      <c r="B45" s="1" t="str">
        <f t="shared" si="3"/>
        <v>SUPER</v>
      </c>
      <c r="C45" s="118">
        <f t="shared" si="4"/>
        <v>300</v>
      </c>
      <c r="D45" s="2" cm="1">
        <f t="array" ref="D45">IF($A45="", "",
    IFERROR(
        _xlfn.SWITCH(
            TRUE,
            AND(Y45="USD", Transactions!$Q$2="USD"), AC45,
            AND(Y45="USD", Transactions!$Q$2="GBP"), AC45*Transactions!$Z$3,
            AND(Y45="USD", Transactions!$Q$2="HKD"), AC45*Transactions!$Z$4,
            AND(Y45="USD", Transactions!$Q$2="EUR"), AC45*Transactions!$Z$5,
            AND(Y45="GBP", Transactions!$Q$2="GBP"), AC45,
            AND(Y45="GBP", Transactions!$Q$2="USD"), AC45*Transactions!$Z$6,
            AND(Y45="GBP", Transactions!$Q$2="HKD"), AC45*Transactions!$Z$7,
            AND(Y45="HKG", Transactions!$Q$2="HKG"), AC45,
            AND(Y45="HKD", Transactions!$Q$2="USD"), AC45*Transactions!$Z$9,
            AND(Y45="HKD", Transactions!$Q$2="GBP"), AC45*Transactions!$Z$10,
            AND(Y45="HKD", Transactions!$Q$2="EUR"), AC45*Transactions!$Z$11,
            AND(Y45="EUR", Transactions!$Q$2="EUR"), AC45,
            AND(Y45="EUR", Transactions!$Q$2="USD"), AC45*Transactions!$Z$12,
            AND(Y45="EUR", Transactions!$Q$2="GBP"), AC45*Transactions!$Z$13,
            AND(Y45="EUR", Transactions!$Q$2="HKD"), AC45*Transactions!$Z$14,
        ),
        0
    )
)</f>
        <v>0.59450000000000003</v>
      </c>
      <c r="E45" s="2" cm="1">
        <f t="array" ref="E45">IF($A45="", "",
    IFERROR(
        _xlfn.SWITCH(
            TRUE,
            AND(Y45="USD", Transactions!$Q$2="USD"), AD45,
            AND(Y45="USD", Transactions!$Q$2="GBP"), AD45*Transactions!$Z$3,
            AND(Y45="USD", Transactions!$Q$2="HKD"), AD45*Transactions!$Z$4,
            AND(Y45="USD", Transactions!$Q$2="EUR"), AD45*Transactions!$Z$5,
            AND(Y45="GBP", Transactions!$Q$2="GBP"), AD45,
            AND(Y45="GBP", Transactions!$Q$2="USD"), AD45*Transactions!$Z$6,
            AND(Y45="GBP", Transactions!$Q$2="HKD"), AD45*Transactions!$Z$7,
            AND(Y45="HKG", Transactions!$Q$2="HKG"), AD45,
            AND(Y45="HKD", Transactions!$Q$2="USD"), AD45*Transactions!$Z$9,
            AND(Y45="HKD", Transactions!$Q$2="GBP"), AD45*Transactions!$Z$10,
            AND(Y45="HKD", Transactions!$Q$2="EUR"), AD45*Transactions!$Z$11,
            AND(Y45="EUR", Transactions!$Q$2="EUR"), AD45,
            AND(Y45="EUR", Transactions!$Q$2="USD"), AD45*Transactions!$Z$12,
            AND(Y45="EUR", Transactions!$Q$2="GBP"), AD45*Transactions!$Z$13,
            AND(Y45="EUR", Transactions!$Q$2="HKD"), AD45*Transactions!$Z$14,
        ),
        0
    )
)</f>
        <v>1.34</v>
      </c>
      <c r="G45" s="121">
        <f t="shared" si="30"/>
        <v>4.0689500000000003E-2</v>
      </c>
      <c r="H45" s="34" cm="1">
        <f t="array" ref="H45">IF($A45="", "",
    IFERROR(
        _xlfn.SWITCH(
            TRUE,
            AND(Y45="USD", Transactions!$Q$2="USD"), AG45,
            AND(Y45="USD", Transactions!$Q$2="GBP"), AG45*Transactions!$Z$3,
            AND(Y45="USD", Transactions!$Q$2="HKD"), AG45*Transactions!$Z$4,
            AND(Y45="USD", Transactions!$Q$2="EUR"), AG45*Transactions!$Z$5,
            AND(Y45="GBP", Transactions!$Q$2="GBP"), AG45,
            AND(Y45="GBP", Transactions!$Q$2="USD"), AG45*Transactions!$Z$6,
            AND(Y45="GBP", Transactions!$Q$2="HKD"), AG45*Transactions!$Z$7,
            AND(Y45="HKG", Transactions!$Q$2="HKG"), AG45,
            AND(Y45="HKD", Transactions!$Q$2="USD"), AG45*Transactions!$Z$9,
            AND(Y45="HKD", Transactions!$Q$2="GBP"), AG45*Transactions!$Z$10,
            AND(Y45="HKD", Transactions!$Q$2="EUR"), AG45*Transactions!$Z$11,
            AND(Y45="EUR", Transactions!$Q$2="EUR"), AG45,
            AND(Y45="EUR", Transactions!$Q$2="USD"), AG45*Transactions!$Z$12,
            AND(Y45="EUR", Transactions!$Q$2="GBP"), AG45*Transactions!$Z$13,
            AND(Y45="EUR", Transactions!$Q$2="HKD"), AG45*Transactions!$Z$14,
        ),
        0
    )
)</f>
        <v>5.2236999999999999E-2</v>
      </c>
      <c r="I45" s="2" cm="1">
        <f t="array" ref="I45">IF($A45="", "",
    IFERROR(
        _xlfn.SWITCH(
            TRUE,
            AND(Y45="USD", Transactions!$Q$2="USD"), AH45,
            AND(Y45="USD", Transactions!$Q$2="GBP"), AH45*Transactions!$Z$3,
            AND(Y45="USD", Transactions!$Q$2="HKD"), AH45*Transactions!$Z$4,
            AND(Y45="USD", Transactions!$Q$2="EUR"), AH45*Transactions!$Z$5,
            AND(Y45="GBP", Transactions!$Q$2="GBP"), AH45,
            AND(Y45="GBP", Transactions!$Q$2="USD"), AH45*Transactions!$Z$6,
            AND(Y45="GBP", Transactions!$Q$2="HKD"), AH45*Transactions!$Z$7,
            AND(Y45="HKG", Transactions!$Q$2="HKG"), AH45,
            AND(Y45="HKD", Transactions!$Q$2="USD"), AH45*Transactions!$Z$9,
            AND(Y45="HKD", Transactions!$Q$2="GBP"), AH45*Transactions!$Z$10,
            AND(Y45="HKD", Transactions!$Q$2="EUR"), AH45*Transactions!$Z$11,
            AND(Y45="EUR", Transactions!$Q$2="EUR"), AH45,
            AND(Y45="EUR", Transactions!$Q$2="USD"), AH45*Transactions!$Z$12,
            AND(Y45="EUR", Transactions!$Q$2="GBP"), AH45*Transactions!$Z$13,
            AND(Y45="EUR", Transactions!$Q$2="HKD"), AH45*Transactions!$Z$14,
        ),
        0
    )
)</f>
        <v>178.35000000000002</v>
      </c>
      <c r="J45" s="2" cm="1">
        <f t="array" ref="J45">IF($A45="", "",
    IFERROR(
        _xlfn.SWITCH(
            TRUE,
            AND(Y45="USD", Transactions!$Q$2="USD"), AI45,
            AND(Y45="USD", Transactions!$Q$2="GBP"), AI45*Transactions!$Z$3,
            AND(Y45="USD", Transactions!$Q$2="HKD"), AI45*Transactions!$Z$4,
            AND(Y45="USD", Transactions!$Q$2="EUR"), AI45*Transactions!$Z$5,
            AND(Y45="GBP", Transactions!$Q$2="GBP"), AI45,
            AND(Y45="GBP", Transactions!$Q$2="USD"), AI45*Transactions!$Z$6,
            AND(Y45="GBP", Transactions!$Q$2="HKD"), AI45*Transactions!$Z$7,
            AND(Y45="HKG", Transactions!$Q$2="HKG"), AI45,
            AND(Y45="HKD", Transactions!$Q$2="USD"), AI45*Transactions!$Z$9,
            AND(Y45="HKD", Transactions!$Q$2="GBP"), AI45*Transactions!$Z$10,
            AND(Y45="HKD", Transactions!$Q$2="EUR"), AI45*Transactions!$Z$11,
            AND(Y45="EUR", Transactions!$Q$2="EUR"), AI45,
            AND(Y45="EUR", Transactions!$Q$2="USD"), AI45*Transactions!$Z$12,
            AND(Y45="EUR", Transactions!$Q$2="GBP"), AI45*Transactions!$Z$13,
            AND(Y45="EUR", Transactions!$Q$2="HKD"), AI45*Transactions!$Z$14,
        ),
        0
    )
)</f>
        <v>402</v>
      </c>
      <c r="K45" s="41">
        <f t="shared" si="23"/>
        <v>1.2539949537426407</v>
      </c>
      <c r="L45" s="2" cm="1">
        <f t="array" ref="L45">IF($A45="", "",
    IFERROR(
        _xlfn.SWITCH(
            TRUE,
            AND(Y45="USD", Transactions!$Q$2="USD"), AK45,
            AND(Y45="USD", Transactions!$Q$2="GBP"), AK45*Transactions!$Z$3,
            AND(Y45="USD", Transactions!$Q$2="HKD"), AK45*Transactions!$Z$4,
            AND(Y45="USD", Transactions!$Q$2="EUR"), AK45*Transactions!$Z$5,
            AND(Y45="GBP", Transactions!$Q$2="GBP"), AK45,
            AND(Y45="GBP", Transactions!$Q$2="USD"), AK45*Transactions!$Z$6,
            AND(Y45="GBP", Transactions!$Q$2="HKD"), AK45*Transactions!$Z$7,
            AND(Y45="HKG", Transactions!$Q$2="HKG"), AK45,
            AND(Y45="HKD", Transactions!$Q$2="USD"), AK45*Transactions!$Z$9,
            AND(Y45="HKD", Transactions!$Q$2="GBP"), AK45*Transactions!$Z$10,
            AND(Y45="HKD", Transactions!$Q$2="EUR"), AK45*Transactions!$Z$11,
            AND(Y45="EUR", Transactions!$Q$2="EUR"), AK45,
            AND(Y45="EUR", Transactions!$Q$2="USD"), AK45*Transactions!$Z$12,
            AND(Y45="EUR", Transactions!$Q$2="GBP"), AK45*Transactions!$Z$13,
            AND(Y45="EUR", Transactions!$Q$2="HKD"), AK45*Transactions!$Z$14,
        ),
        0
    )
)</f>
        <v>223.64999999999998</v>
      </c>
      <c r="M45" s="119" cm="1">
        <f t="array" ref="M45">IF($A45="", "",
    IFERROR(
        _xlfn.SWITCH(
            TRUE,
            AND(Y45="USD", Transactions!$Q$2="USD"), AL45,
            AND(Y45="USD", Transactions!$Q$2="GBP"), AL45*Transactions!$Z$3,
            AND(Y45="USD", Transactions!$Q$2="HKD"), AL45*Transactions!$Z$4,
            AND(Y45="USD", Transactions!$Q$2="EUR"), AL45*Transactions!$Z$5,
            AND(Y45="GBP", Transactions!$Q$2="GBP"), AL45,
            AND(Y45="GBP", Transactions!$Q$2="USD"), AL45*Transactions!$Z$6,
            AND(Y45="GBP", Transactions!$Q$2="HKD"), AL45*Transactions!$Z$7,
            AND(Y45="HKG", Transactions!$Q$2="HKG"), AL45,
            AND(Y45="HKD", Transactions!$Q$2="USD"), AL45*Transactions!$Z$9,
            AND(Y45="HKD", Transactions!$Q$2="GBP"), AL45*Transactions!$Z$10,
            AND(Y45="HKD", Transactions!$Q$2="EUR"), AL45*Transactions!$Z$11,
            AND(Y45="EUR", Transactions!$Q$2="EUR"), AL45,
            AND(Y45="EUR", Transactions!$Q$2="USD"), AL45*Transactions!$Z$12,
            AND(Y45="EUR", Transactions!$Q$2="GBP"), AL45*Transactions!$Z$13,
            AND(Y45="EUR", Transactions!$Q$2="HKD"), AL45*Transactions!$Z$14,
        ),
        0
    )
)</f>
        <v>2.8421709430404007E-14</v>
      </c>
      <c r="N45" s="120" cm="1">
        <f t="array" ref="N45">IF($A45="", "",
    IFERROR(
        _xlfn.SWITCH(
            TRUE,
            AND(Y45="USD", Transactions!$Q$2="USD"), AM45,
            AND(Y45="USD", Transactions!$Q$2="GBP"), AM45*Transactions!$Z$3,
            AND(Y45="USD", Transactions!$Q$2="HKD"), AM45*Transactions!$Z$4,
            AND(Y45="USD", Transactions!$Q$2="EUR"), AM45*Transactions!$Z$5,
            AND(Y45="GBP", Transactions!$Q$2="GBP"), AM45,
            AND(Y45="GBP", Transactions!$Q$2="USD"), AM45*Transactions!$Z$6,
            AND(Y45="GBP", Transactions!$Q$2="HKD"), AM45*Transactions!$Z$7,
            AND(Y45="HKG", Transactions!$Q$2="HKG"), AM45,
            AND(Y45="HKD", Transactions!$Q$2="USD"), AM45*Transactions!$Z$9,
            AND(Y45="HKD", Transactions!$Q$2="GBP"), AM45*Transactions!$Z$10,
            AND(Y45="HKD", Transactions!$Q$2="EUR"), AM45*Transactions!$Z$11,
            AND(Y45="EUR", Transactions!$Q$2="EUR"), AM45,
            AND(Y45="EUR", Transactions!$Q$2="USD"), AM45*Transactions!$Z$12,
            AND(Y45="EUR", Transactions!$Q$2="GBP"), AM45*Transactions!$Z$13,
            AND(Y45="EUR", Transactions!$Q$2="HKD"), AM45*Transactions!$Z$14,
        ),
        0
    )
)</f>
        <v>223.65</v>
      </c>
      <c r="O45" s="145"/>
      <c r="P45" s="145"/>
      <c r="Q45" s="41">
        <f t="shared" si="24"/>
        <v>2.5066447727312628E-3</v>
      </c>
      <c r="S45" s="41">
        <f t="shared" si="25"/>
        <v>2.5066447727312628E-3</v>
      </c>
      <c r="T45" s="1" t="str">
        <f t="shared" si="26"/>
        <v>Crypto</v>
      </c>
      <c r="U45" s="41">
        <f t="shared" si="27"/>
        <v>0.81515627319794193</v>
      </c>
      <c r="V45" s="41">
        <f t="shared" si="28"/>
        <v>0</v>
      </c>
      <c r="W45" s="41">
        <f t="shared" si="29"/>
        <v>0.81515627319794193</v>
      </c>
      <c r="X45" s="1" t="str">
        <f t="shared" si="29"/>
        <v>Gamefi</v>
      </c>
      <c r="Y45" s="17" t="str">
        <f>IFERROR(IF(ISBLANK(AA45), "", IF(VLOOKUP(AA45, Transactions!D:F, 3, FALSE) = "Stablecoin", AA45, INDEX(Transactions!$B$3:$B1049, MATCH(AA45, Transactions!$D$3:$D1049, 0)))), "")</f>
        <v>USD</v>
      </c>
      <c r="Z45" s="1" t="str">
        <f>_xlfn.XLOOKUP(AA45,Transactions!$D$3:$D$1007,Transactions!$E$3:$E$1007)</f>
        <v>SuperVerse</v>
      </c>
      <c r="AA45" s="1" t="str">
        <v>SUPER</v>
      </c>
      <c r="AB45" s="118" cm="1">
        <f t="array" ref="AB45">IF(ISBLANK(AA45), "",
    SUMPRODUCT(
        (Transactions!$D$3:$D$1007=AA45) *
        (Transactions!$H$3:$H$1007={"Cash Deposit","Crypto Deposit","Buy","Transfer Deposit","DRIP","Airdrop/Rewards"}) *
        Transactions!$I$3:$I$1007
    )
    - SUMPRODUCT(
        (Transactions!$D$3:$D$1007=AA45) *
        (Transactions!$H$3:$H$1007={"Sell","Transfer Send","Cash Withdrawal","Crypto Withdrawal"}) *
        Transactions!$I$3:$I$1007
    )
)</f>
        <v>300</v>
      </c>
      <c r="AC45" s="2" cm="1">
        <f t="array" ref="AC45">IF(ISBLANK(AA45), "", LOOKUP(2, 1/(Transactions!D:D=AA45), Transactions!P:P))</f>
        <v>0.59450000000000003</v>
      </c>
      <c r="AD45" s="2" cm="1">
        <f t="array" ref="AD45">IF(ISBLANK(AA45),"",IFERROR(_FV(AA45,"price"),INDEX('CoinGeko API'!E:E,MATCH(Portfolio_v2!AA45,'CoinGeko API'!C:C,0))))</f>
        <v>1.34</v>
      </c>
      <c r="AF45" s="39" cm="1">
        <f t="array" ref="AF45">IF(ISBLANK(AA45),"",IFERROR(_FV(AA45,"Change (%)",TRUE),INDEX('CoinGeko API'!G:G,MATCH(Portfolio_v2!AA45,'CoinGeko API'!C:C,0))))</f>
        <v>4.0689500000000003E-2</v>
      </c>
      <c r="AG45" s="34" cm="1">
        <f t="array" ref="AG45">IF(ISBLANK(AA45),"",IFERROR(_FV(AA45,"change"),INDEX('CoinGeko API'!F:F,MATCH(Portfolio_v2!AA45,'CoinGeko API'!C:C,0))))</f>
        <v>5.2236999999999999E-2</v>
      </c>
      <c r="AH45" s="2">
        <f t="shared" si="13"/>
        <v>178.35000000000002</v>
      </c>
      <c r="AI45" s="2">
        <f t="shared" si="14"/>
        <v>402</v>
      </c>
      <c r="AJ45" s="40">
        <f t="shared" si="15"/>
        <v>1.2539949537426407</v>
      </c>
      <c r="AK45" s="2">
        <f t="shared" si="16"/>
        <v>223.64999999999998</v>
      </c>
      <c r="AL45" s="119">
        <f>IF(OR(ISBLANK(AA45), COUNTIFS(Transactions!$D$3:$D1049, AA45) = 0), "",
    SUMIFS(Transactions!$M$3:$M1049, Transactions!$H$3:$H1049, "Sell", Transactions!$D$3:$D1049, AA45) +
    SUMIFS(Transactions!$M$3:$M1049, Transactions!$H$3:$H1049, "Dividend", Transactions!$D$3:$D1049, AA45) -
    SUMIFS(Transactions!$M$3:$M1049, Transactions!$H$3:$H1049, "Buy", Transactions!$D$3:$D1049, AA45) -
    SUMIFS(Transactions!$M$3:$M1049, Transactions!$H$3:$H1049, "Crypto Deposit", Transactions!$D$3:$D1049, AA45) -
    SUMIFS(Transactions!$M$3:$M1049, Transactions!$H$3:$H1049, "DRIP", Transactions!$D$3:$D1049, AA45) +
    SUMIFS($AH$3:$AH1041, $AA$3:$AA1041, AA45) +
    SUMIFS(Transactions!$M$3:$M1049, Transactions!$L$3:$L1049, "Stablecoin", Transactions!$B$3:$B1049, AA45)
)</f>
        <v>2.8421709430404007E-14</v>
      </c>
      <c r="AM45" s="120">
        <f t="shared" si="17"/>
        <v>223.65</v>
      </c>
      <c r="AN45" s="145"/>
      <c r="AO45" s="145"/>
      <c r="AP45" s="41">
        <f t="shared" si="1"/>
        <v>2.5066447727312628E-3</v>
      </c>
      <c r="AR45" s="41">
        <f t="shared" si="18"/>
        <v>2.5066447727312628E-3</v>
      </c>
      <c r="AS45" s="1" t="str">
        <f>_xlfn.XLOOKUP(AA45,Transactions!$D$3:$D$1007,Transactions!$F$3:$F$1007)</f>
        <v>Crypto</v>
      </c>
      <c r="AT45" s="41">
        <f t="shared" si="19"/>
        <v>0.81515627319794193</v>
      </c>
      <c r="AU45" s="41">
        <f t="shared" si="20"/>
        <v>0</v>
      </c>
      <c r="AV45" s="41">
        <f t="shared" si="21"/>
        <v>0.81515627319794193</v>
      </c>
      <c r="AW45" s="18" t="s">
        <v>20</v>
      </c>
    </row>
    <row r="46" spans="1:49" ht="18" customHeight="1">
      <c r="A46" s="17" t="str">
        <f t="shared" si="2"/>
        <v>Thena</v>
      </c>
      <c r="B46" s="1" t="str">
        <f t="shared" si="3"/>
        <v>THE</v>
      </c>
      <c r="C46" s="118">
        <f t="shared" si="4"/>
        <v>1002.97</v>
      </c>
      <c r="D46" s="2" cm="1">
        <f t="array" ref="D46">IF($A46="", "",
    IFERROR(
        _xlfn.SWITCH(
            TRUE,
            AND(Y46="USD", Transactions!$Q$2="USD"), AC46,
            AND(Y46="USD", Transactions!$Q$2="GBP"), AC46*Transactions!$Z$3,
            AND(Y46="USD", Transactions!$Q$2="HKD"), AC46*Transactions!$Z$4,
            AND(Y46="USD", Transactions!$Q$2="EUR"), AC46*Transactions!$Z$5,
            AND(Y46="GBP", Transactions!$Q$2="GBP"), AC46,
            AND(Y46="GBP", Transactions!$Q$2="USD"), AC46*Transactions!$Z$6,
            AND(Y46="GBP", Transactions!$Q$2="HKD"), AC46*Transactions!$Z$7,
            AND(Y46="HKG", Transactions!$Q$2="HKG"), AC46,
            AND(Y46="HKD", Transactions!$Q$2="USD"), AC46*Transactions!$Z$9,
            AND(Y46="HKD", Transactions!$Q$2="GBP"), AC46*Transactions!$Z$10,
            AND(Y46="HKD", Transactions!$Q$2="EUR"), AC46*Transactions!$Z$11,
            AND(Y46="EUR", Transactions!$Q$2="EUR"), AC46,
            AND(Y46="EUR", Transactions!$Q$2="USD"), AC46*Transactions!$Z$12,
            AND(Y46="EUR", Transactions!$Q$2="GBP"), AC46*Transactions!$Z$13,
            AND(Y46="EUR", Transactions!$Q$2="HKD"), AC46*Transactions!$Z$14,
        ),
        0
    )
)</f>
        <v>0.2</v>
      </c>
      <c r="E46" s="2" cm="1">
        <f t="array" ref="E46">IF($A46="", "",
    IFERROR(
        _xlfn.SWITCH(
            TRUE,
            AND(Y46="USD", Transactions!$Q$2="USD"), AD46,
            AND(Y46="USD", Transactions!$Q$2="GBP"), AD46*Transactions!$Z$3,
            AND(Y46="USD", Transactions!$Q$2="HKD"), AD46*Transactions!$Z$4,
            AND(Y46="USD", Transactions!$Q$2="EUR"), AD46*Transactions!$Z$5,
            AND(Y46="GBP", Transactions!$Q$2="GBP"), AD46,
            AND(Y46="GBP", Transactions!$Q$2="USD"), AD46*Transactions!$Z$6,
            AND(Y46="GBP", Transactions!$Q$2="HKD"), AD46*Transactions!$Z$7,
            AND(Y46="HKG", Transactions!$Q$2="HKG"), AD46,
            AND(Y46="HKD", Transactions!$Q$2="USD"), AD46*Transactions!$Z$9,
            AND(Y46="HKD", Transactions!$Q$2="GBP"), AD46*Transactions!$Z$10,
            AND(Y46="HKD", Transactions!$Q$2="EUR"), AD46*Transactions!$Z$11,
            AND(Y46="EUR", Transactions!$Q$2="EUR"), AD46,
            AND(Y46="EUR", Transactions!$Q$2="USD"), AD46*Transactions!$Z$12,
            AND(Y46="EUR", Transactions!$Q$2="GBP"), AD46*Transactions!$Z$13,
            AND(Y46="EUR", Transactions!$Q$2="HKD"), AD46*Transactions!$Z$14,
        ),
        0
    )
)</f>
        <v>0.52973300000000001</v>
      </c>
      <c r="G46" s="121">
        <f t="shared" si="30"/>
        <v>0.14344099999999999</v>
      </c>
      <c r="H46" s="34" cm="1">
        <f t="array" ref="H46">IF($A46="", "",
    IFERROR(
        _xlfn.SWITCH(
            TRUE,
            AND(Y46="USD", Transactions!$Q$2="USD"), AG46,
            AND(Y46="USD", Transactions!$Q$2="GBP"), AG46*Transactions!$Z$3,
            AND(Y46="USD", Transactions!$Q$2="HKD"), AG46*Transactions!$Z$4,
            AND(Y46="USD", Transactions!$Q$2="EUR"), AG46*Transactions!$Z$5,
            AND(Y46="GBP", Transactions!$Q$2="GBP"), AG46,
            AND(Y46="GBP", Transactions!$Q$2="USD"), AG46*Transactions!$Z$6,
            AND(Y46="GBP", Transactions!$Q$2="HKD"), AG46*Transactions!$Z$7,
            AND(Y46="HKG", Transactions!$Q$2="HKG"), AG46,
            AND(Y46="HKD", Transactions!$Q$2="USD"), AG46*Transactions!$Z$9,
            AND(Y46="HKD", Transactions!$Q$2="GBP"), AG46*Transactions!$Z$10,
            AND(Y46="HKD", Transactions!$Q$2="EUR"), AG46*Transactions!$Z$11,
            AND(Y46="EUR", Transactions!$Q$2="EUR"), AG46,
            AND(Y46="EUR", Transactions!$Q$2="USD"), AG46*Transactions!$Z$12,
            AND(Y46="EUR", Transactions!$Q$2="GBP"), AG46*Transactions!$Z$13,
            AND(Y46="EUR", Transactions!$Q$2="HKD"), AG46*Transactions!$Z$14,
        ),
        0
    )
)</f>
        <v>6.6452999999999998E-2</v>
      </c>
      <c r="I46" s="2" cm="1">
        <f t="array" ref="I46">IF($A46="", "",
    IFERROR(
        _xlfn.SWITCH(
            TRUE,
            AND(Y46="USD", Transactions!$Q$2="USD"), AH46,
            AND(Y46="USD", Transactions!$Q$2="GBP"), AH46*Transactions!$Z$3,
            AND(Y46="USD", Transactions!$Q$2="HKD"), AH46*Transactions!$Z$4,
            AND(Y46="USD", Transactions!$Q$2="EUR"), AH46*Transactions!$Z$5,
            AND(Y46="GBP", Transactions!$Q$2="GBP"), AH46,
            AND(Y46="GBP", Transactions!$Q$2="USD"), AH46*Transactions!$Z$6,
            AND(Y46="GBP", Transactions!$Q$2="HKD"), AH46*Transactions!$Z$7,
            AND(Y46="HKG", Transactions!$Q$2="HKG"), AH46,
            AND(Y46="HKD", Transactions!$Q$2="USD"), AH46*Transactions!$Z$9,
            AND(Y46="HKD", Transactions!$Q$2="GBP"), AH46*Transactions!$Z$10,
            AND(Y46="HKD", Transactions!$Q$2="EUR"), AH46*Transactions!$Z$11,
            AND(Y46="EUR", Transactions!$Q$2="EUR"), AH46,
            AND(Y46="EUR", Transactions!$Q$2="USD"), AH46*Transactions!$Z$12,
            AND(Y46="EUR", Transactions!$Q$2="GBP"), AH46*Transactions!$Z$13,
            AND(Y46="EUR", Transactions!$Q$2="HKD"), AH46*Transactions!$Z$14,
        ),
        0
    )
)</f>
        <v>200.59400000000002</v>
      </c>
      <c r="J46" s="2" cm="1">
        <f t="array" ref="J46">IF($A46="", "",
    IFERROR(
        _xlfn.SWITCH(
            TRUE,
            AND(Y46="USD", Transactions!$Q$2="USD"), AI46,
            AND(Y46="USD", Transactions!$Q$2="GBP"), AI46*Transactions!$Z$3,
            AND(Y46="USD", Transactions!$Q$2="HKD"), AI46*Transactions!$Z$4,
            AND(Y46="USD", Transactions!$Q$2="EUR"), AI46*Transactions!$Z$5,
            AND(Y46="GBP", Transactions!$Q$2="GBP"), AI46,
            AND(Y46="GBP", Transactions!$Q$2="USD"), AI46*Transactions!$Z$6,
            AND(Y46="GBP", Transactions!$Q$2="HKD"), AI46*Transactions!$Z$7,
            AND(Y46="HKG", Transactions!$Q$2="HKG"), AI46,
            AND(Y46="HKD", Transactions!$Q$2="USD"), AI46*Transactions!$Z$9,
            AND(Y46="HKD", Transactions!$Q$2="GBP"), AI46*Transactions!$Z$10,
            AND(Y46="HKD", Transactions!$Q$2="EUR"), AI46*Transactions!$Z$11,
            AND(Y46="EUR", Transactions!$Q$2="EUR"), AI46,
            AND(Y46="EUR", Transactions!$Q$2="USD"), AI46*Transactions!$Z$12,
            AND(Y46="EUR", Transactions!$Q$2="GBP"), AI46*Transactions!$Z$13,
            AND(Y46="EUR", Transactions!$Q$2="HKD"), AI46*Transactions!$Z$14,
        ),
        0
    )
)</f>
        <v>531.30630701000007</v>
      </c>
      <c r="K46" s="41">
        <f t="shared" si="23"/>
        <v>1.6486649999999998</v>
      </c>
      <c r="L46" s="2" cm="1">
        <f t="array" ref="L46">IF($A46="", "",
    IFERROR(
        _xlfn.SWITCH(
            TRUE,
            AND(Y46="USD", Transactions!$Q$2="USD"), AK46,
            AND(Y46="USD", Transactions!$Q$2="GBP"), AK46*Transactions!$Z$3,
            AND(Y46="USD", Transactions!$Q$2="HKD"), AK46*Transactions!$Z$4,
            AND(Y46="USD", Transactions!$Q$2="EUR"), AK46*Transactions!$Z$5,
            AND(Y46="GBP", Transactions!$Q$2="GBP"), AK46,
            AND(Y46="GBP", Transactions!$Q$2="USD"), AK46*Transactions!$Z$6,
            AND(Y46="GBP", Transactions!$Q$2="HKD"), AK46*Transactions!$Z$7,
            AND(Y46="HKG", Transactions!$Q$2="HKG"), AK46,
            AND(Y46="HKD", Transactions!$Q$2="USD"), AK46*Transactions!$Z$9,
            AND(Y46="HKD", Transactions!$Q$2="GBP"), AK46*Transactions!$Z$10,
            AND(Y46="HKD", Transactions!$Q$2="EUR"), AK46*Transactions!$Z$11,
            AND(Y46="EUR", Transactions!$Q$2="EUR"), AK46,
            AND(Y46="EUR", Transactions!$Q$2="USD"), AK46*Transactions!$Z$12,
            AND(Y46="EUR", Transactions!$Q$2="GBP"), AK46*Transactions!$Z$13,
            AND(Y46="EUR", Transactions!$Q$2="HKD"), AK46*Transactions!$Z$14,
        ),
        0
    )
)</f>
        <v>330.71230701000002</v>
      </c>
      <c r="M46" s="119" cm="1">
        <f t="array" ref="M46">IF($A46="", "",
    IFERROR(
        _xlfn.SWITCH(
            TRUE,
            AND(Y46="USD", Transactions!$Q$2="USD"), AL46,
            AND(Y46="USD", Transactions!$Q$2="GBP"), AL46*Transactions!$Z$3,
            AND(Y46="USD", Transactions!$Q$2="HKD"), AL46*Transactions!$Z$4,
            AND(Y46="USD", Transactions!$Q$2="EUR"), AL46*Transactions!$Z$5,
            AND(Y46="GBP", Transactions!$Q$2="GBP"), AL46,
            AND(Y46="GBP", Transactions!$Q$2="USD"), AL46*Transactions!$Z$6,
            AND(Y46="GBP", Transactions!$Q$2="HKD"), AL46*Transactions!$Z$7,
            AND(Y46="HKG", Transactions!$Q$2="HKG"), AL46,
            AND(Y46="HKD", Transactions!$Q$2="USD"), AL46*Transactions!$Z$9,
            AND(Y46="HKD", Transactions!$Q$2="GBP"), AL46*Transactions!$Z$10,
            AND(Y46="HKD", Transactions!$Q$2="EUR"), AL46*Transactions!$Z$11,
            AND(Y46="EUR", Transactions!$Q$2="EUR"), AL46,
            AND(Y46="EUR", Transactions!$Q$2="USD"), AL46*Transactions!$Z$12,
            AND(Y46="EUR", Transactions!$Q$2="GBP"), AL46*Transactions!$Z$13,
            AND(Y46="EUR", Transactions!$Q$2="HKD"), AL46*Transactions!$Z$14,
        ),
        0
    )
)</f>
        <v>0</v>
      </c>
      <c r="N46" s="120" cm="1">
        <f t="array" ref="N46">IF($A46="", "",
    IFERROR(
        _xlfn.SWITCH(
            TRUE,
            AND(Y46="USD", Transactions!$Q$2="USD"), AM46,
            AND(Y46="USD", Transactions!$Q$2="GBP"), AM46*Transactions!$Z$3,
            AND(Y46="USD", Transactions!$Q$2="HKD"), AM46*Transactions!$Z$4,
            AND(Y46="USD", Transactions!$Q$2="EUR"), AM46*Transactions!$Z$5,
            AND(Y46="GBP", Transactions!$Q$2="GBP"), AM46,
            AND(Y46="GBP", Transactions!$Q$2="USD"), AM46*Transactions!$Z$6,
            AND(Y46="GBP", Transactions!$Q$2="HKD"), AM46*Transactions!$Z$7,
            AND(Y46="HKG", Transactions!$Q$2="HKG"), AM46,
            AND(Y46="HKD", Transactions!$Q$2="USD"), AM46*Transactions!$Z$9,
            AND(Y46="HKD", Transactions!$Q$2="GBP"), AM46*Transactions!$Z$10,
            AND(Y46="HKD", Transactions!$Q$2="EUR"), AM46*Transactions!$Z$11,
            AND(Y46="EUR", Transactions!$Q$2="EUR"), AM46,
            AND(Y46="EUR", Transactions!$Q$2="USD"), AM46*Transactions!$Z$12,
            AND(Y46="EUR", Transactions!$Q$2="GBP"), AM46*Transactions!$Z$13,
            AND(Y46="EUR", Transactions!$Q$2="HKD"), AM46*Transactions!$Z$14,
        ),
        0
    )
)</f>
        <v>330.71230701000002</v>
      </c>
      <c r="O46" s="145"/>
      <c r="P46" s="145"/>
      <c r="Q46" s="41">
        <f t="shared" si="24"/>
        <v>3.3129258138949458E-3</v>
      </c>
      <c r="S46" s="41">
        <f t="shared" si="25"/>
        <v>3.3129258138949458E-3</v>
      </c>
      <c r="T46" s="1" t="str">
        <f t="shared" si="26"/>
        <v>Crypto</v>
      </c>
      <c r="U46" s="41">
        <f t="shared" si="27"/>
        <v>0.81515627319794193</v>
      </c>
      <c r="V46" s="41">
        <f t="shared" si="28"/>
        <v>0</v>
      </c>
      <c r="W46" s="41">
        <f t="shared" si="29"/>
        <v>0.81515627319794193</v>
      </c>
      <c r="X46" s="1" t="str">
        <f t="shared" si="29"/>
        <v>Defi/Crosschain</v>
      </c>
      <c r="Y46" s="17" t="str">
        <f>IFERROR(IF(ISBLANK(AA46), "", IF(VLOOKUP(AA46, Transactions!D:F, 3, FALSE) = "Stablecoin", AA46, INDEX(Transactions!$B$3:$B1050, MATCH(AA46, Transactions!$D$3:$D1050, 0)))), "")</f>
        <v>USD</v>
      </c>
      <c r="Z46" s="1" t="str">
        <f>_xlfn.XLOOKUP(AA46,Transactions!$D$3:$D$1007,Transactions!$E$3:$E$1007)</f>
        <v>Thena</v>
      </c>
      <c r="AA46" s="1" t="str">
        <v>THE</v>
      </c>
      <c r="AB46" s="118" cm="1">
        <f t="array" ref="AB46">IF(ISBLANK(AA46), "",
    SUMPRODUCT(
        (Transactions!$D$3:$D$1007=AA46) *
        (Transactions!$H$3:$H$1007={"Cash Deposit","Crypto Deposit","Buy","Transfer Deposit","DRIP","Airdrop/Rewards"}) *
        Transactions!$I$3:$I$1007
    )
    - SUMPRODUCT(
        (Transactions!$D$3:$D$1007=AA46) *
        (Transactions!$H$3:$H$1007={"Sell","Transfer Send","Cash Withdrawal","Crypto Withdrawal"}) *
        Transactions!$I$3:$I$1007
    )
)</f>
        <v>1002.97</v>
      </c>
      <c r="AC46" s="2" cm="1">
        <f t="array" ref="AC46">IF(ISBLANK(AA46), "", LOOKUP(2, 1/(Transactions!D:D=AA46), Transactions!P:P))</f>
        <v>0.2</v>
      </c>
      <c r="AD46" s="2" cm="1">
        <f t="array" ref="AD46">IF(ISBLANK(AA46),"",IFERROR(_FV(AA46,"price"),INDEX('CoinGeko API'!E:E,MATCH(Portfolio_v2!AA46,'CoinGeko API'!C:C,0))))</f>
        <v>0.52973300000000001</v>
      </c>
      <c r="AF46" s="39" cm="1">
        <f t="array" ref="AF46">IF(ISBLANK(AA46),"",IFERROR(_FV(AA46,"Change (%)",TRUE),INDEX('CoinGeko API'!G:G,MATCH(Portfolio_v2!AA46,'CoinGeko API'!C:C,0))))</f>
        <v>0.14344099999999999</v>
      </c>
      <c r="AG46" s="34" cm="1">
        <f t="array" ref="AG46">IF(ISBLANK(AA46),"",IFERROR(_FV(AA46,"change"),INDEX('CoinGeko API'!F:F,MATCH(Portfolio_v2!AA46,'CoinGeko API'!C:C,0))))</f>
        <v>6.6452999999999998E-2</v>
      </c>
      <c r="AH46" s="2">
        <f t="shared" si="13"/>
        <v>200.59400000000002</v>
      </c>
      <c r="AI46" s="2">
        <f t="shared" si="14"/>
        <v>531.30630701000007</v>
      </c>
      <c r="AJ46" s="40">
        <f t="shared" si="15"/>
        <v>1.6486649999999998</v>
      </c>
      <c r="AK46" s="2">
        <f t="shared" si="16"/>
        <v>330.71230701000002</v>
      </c>
      <c r="AL46" s="119">
        <f>IF(OR(ISBLANK(AA46), COUNTIFS(Transactions!$D$3:$D1050, AA46) = 0), "",
    SUMIFS(Transactions!$M$3:$M1050, Transactions!$H$3:$H1050, "Sell", Transactions!$D$3:$D1050, AA46) +
    SUMIFS(Transactions!$M$3:$M1050, Transactions!$H$3:$H1050, "Dividend", Transactions!$D$3:$D1050, AA46) -
    SUMIFS(Transactions!$M$3:$M1050, Transactions!$H$3:$H1050, "Buy", Transactions!$D$3:$D1050, AA46) -
    SUMIFS(Transactions!$M$3:$M1050, Transactions!$H$3:$H1050, "Crypto Deposit", Transactions!$D$3:$D1050, AA46) -
    SUMIFS(Transactions!$M$3:$M1050, Transactions!$H$3:$H1050, "DRIP", Transactions!$D$3:$D1050, AA46) +
    SUMIFS($AH$3:$AH1042, $AA$3:$AA1042, AA46) +
    SUMIFS(Transactions!$M$3:$M1050, Transactions!$L$3:$L1050, "Stablecoin", Transactions!$B$3:$B1050, AA46)
)</f>
        <v>0</v>
      </c>
      <c r="AM46" s="120">
        <f t="shared" si="17"/>
        <v>330.71230701000002</v>
      </c>
      <c r="AN46" s="145"/>
      <c r="AO46" s="145"/>
      <c r="AP46" s="41">
        <f t="shared" si="1"/>
        <v>3.3129258138949458E-3</v>
      </c>
      <c r="AR46" s="41">
        <f t="shared" si="18"/>
        <v>3.3129258138949458E-3</v>
      </c>
      <c r="AS46" s="1" t="str">
        <f>_xlfn.XLOOKUP(AA46,Transactions!$D$3:$D$1007,Transactions!$F$3:$F$1007)</f>
        <v>Crypto</v>
      </c>
      <c r="AT46" s="41">
        <f t="shared" si="19"/>
        <v>0.81515627319794193</v>
      </c>
      <c r="AU46" s="41">
        <f t="shared" si="20"/>
        <v>0</v>
      </c>
      <c r="AV46" s="41">
        <f t="shared" si="21"/>
        <v>0.81515627319794193</v>
      </c>
      <c r="AW46" s="18" t="s">
        <v>18</v>
      </c>
    </row>
    <row r="47" spans="1:49" ht="18" customHeight="1">
      <c r="A47" s="17" t="str">
        <f t="shared" si="2"/>
        <v>Celestia</v>
      </c>
      <c r="B47" s="1" t="str">
        <f t="shared" si="3"/>
        <v>TIA</v>
      </c>
      <c r="C47" s="118">
        <f t="shared" si="4"/>
        <v>20</v>
      </c>
      <c r="D47" s="2" cm="1">
        <f t="array" ref="D47">IF($A47="", "",
    IFERROR(
        _xlfn.SWITCH(
            TRUE,
            AND(Y47="USD", Transactions!$Q$2="USD"), AC47,
            AND(Y47="USD", Transactions!$Q$2="GBP"), AC47*Transactions!$Z$3,
            AND(Y47="USD", Transactions!$Q$2="HKD"), AC47*Transactions!$Z$4,
            AND(Y47="USD", Transactions!$Q$2="EUR"), AC47*Transactions!$Z$5,
            AND(Y47="GBP", Transactions!$Q$2="GBP"), AC47,
            AND(Y47="GBP", Transactions!$Q$2="USD"), AC47*Transactions!$Z$6,
            AND(Y47="GBP", Transactions!$Q$2="HKD"), AC47*Transactions!$Z$7,
            AND(Y47="HKG", Transactions!$Q$2="HKG"), AC47,
            AND(Y47="HKD", Transactions!$Q$2="USD"), AC47*Transactions!$Z$9,
            AND(Y47="HKD", Transactions!$Q$2="GBP"), AC47*Transactions!$Z$10,
            AND(Y47="HKD", Transactions!$Q$2="EUR"), AC47*Transactions!$Z$11,
            AND(Y47="EUR", Transactions!$Q$2="EUR"), AC47,
            AND(Y47="EUR", Transactions!$Q$2="USD"), AC47*Transactions!$Z$12,
            AND(Y47="EUR", Transactions!$Q$2="GBP"), AC47*Transactions!$Z$13,
            AND(Y47="EUR", Transactions!$Q$2="HKD"), AC47*Transactions!$Z$14,
        ),
        0
    )
)</f>
        <v>15.85</v>
      </c>
      <c r="E47" s="2" cm="1">
        <f t="array" ref="E47">IF($A47="", "",
    IFERROR(
        _xlfn.SWITCH(
            TRUE,
            AND(Y47="USD", Transactions!$Q$2="USD"), AD47,
            AND(Y47="USD", Transactions!$Q$2="GBP"), AD47*Transactions!$Z$3,
            AND(Y47="USD", Transactions!$Q$2="HKD"), AD47*Transactions!$Z$4,
            AND(Y47="USD", Transactions!$Q$2="EUR"), AD47*Transactions!$Z$5,
            AND(Y47="GBP", Transactions!$Q$2="GBP"), AD47,
            AND(Y47="GBP", Transactions!$Q$2="USD"), AD47*Transactions!$Z$6,
            AND(Y47="GBP", Transactions!$Q$2="HKD"), AD47*Transactions!$Z$7,
            AND(Y47="HKG", Transactions!$Q$2="HKG"), AD47,
            AND(Y47="HKD", Transactions!$Q$2="USD"), AD47*Transactions!$Z$9,
            AND(Y47="HKD", Transactions!$Q$2="GBP"), AD47*Transactions!$Z$10,
            AND(Y47="HKD", Transactions!$Q$2="EUR"), AD47*Transactions!$Z$11,
            AND(Y47="EUR", Transactions!$Q$2="EUR"), AD47,
            AND(Y47="EUR", Transactions!$Q$2="USD"), AD47*Transactions!$Z$12,
            AND(Y47="EUR", Transactions!$Q$2="GBP"), AD47*Transactions!$Z$13,
            AND(Y47="EUR", Transactions!$Q$2="HKD"), AD47*Transactions!$Z$14,
        ),
        0
    )
)</f>
        <v>14.2</v>
      </c>
      <c r="G47" s="121">
        <f t="shared" si="30"/>
        <v>4.1816399999999997E-2</v>
      </c>
      <c r="H47" s="34" cm="1">
        <f t="array" ref="H47">IF($A47="", "",
    IFERROR(
        _xlfn.SWITCH(
            TRUE,
            AND(Y47="USD", Transactions!$Q$2="USD"), AG47,
            AND(Y47="USD", Transactions!$Q$2="GBP"), AG47*Transactions!$Z$3,
            AND(Y47="USD", Transactions!$Q$2="HKD"), AG47*Transactions!$Z$4,
            AND(Y47="USD", Transactions!$Q$2="EUR"), AG47*Transactions!$Z$5,
            AND(Y47="GBP", Transactions!$Q$2="GBP"), AG47,
            AND(Y47="GBP", Transactions!$Q$2="USD"), AG47*Transactions!$Z$6,
            AND(Y47="GBP", Transactions!$Q$2="HKD"), AG47*Transactions!$Z$7,
            AND(Y47="HKG", Transactions!$Q$2="HKG"), AG47,
            AND(Y47="HKD", Transactions!$Q$2="USD"), AG47*Transactions!$Z$9,
            AND(Y47="HKD", Transactions!$Q$2="GBP"), AG47*Transactions!$Z$10,
            AND(Y47="HKD", Transactions!$Q$2="EUR"), AG47*Transactions!$Z$11,
            AND(Y47="EUR", Transactions!$Q$2="EUR"), AG47,
            AND(Y47="EUR", Transactions!$Q$2="USD"), AG47*Transactions!$Z$12,
            AND(Y47="EUR", Transactions!$Q$2="GBP"), AG47*Transactions!$Z$13,
            AND(Y47="EUR", Transactions!$Q$2="HKD"), AG47*Transactions!$Z$14,
        ),
        0
    )
)</f>
        <v>0.57015700000000002</v>
      </c>
      <c r="I47" s="2" cm="1">
        <f t="array" ref="I47">IF($A47="", "",
    IFERROR(
        _xlfn.SWITCH(
            TRUE,
            AND(Y47="USD", Transactions!$Q$2="USD"), AH47,
            AND(Y47="USD", Transactions!$Q$2="GBP"), AH47*Transactions!$Z$3,
            AND(Y47="USD", Transactions!$Q$2="HKD"), AH47*Transactions!$Z$4,
            AND(Y47="USD", Transactions!$Q$2="EUR"), AH47*Transactions!$Z$5,
            AND(Y47="GBP", Transactions!$Q$2="GBP"), AH47,
            AND(Y47="GBP", Transactions!$Q$2="USD"), AH47*Transactions!$Z$6,
            AND(Y47="GBP", Transactions!$Q$2="HKD"), AH47*Transactions!$Z$7,
            AND(Y47="HKG", Transactions!$Q$2="HKG"), AH47,
            AND(Y47="HKD", Transactions!$Q$2="USD"), AH47*Transactions!$Z$9,
            AND(Y47="HKD", Transactions!$Q$2="GBP"), AH47*Transactions!$Z$10,
            AND(Y47="HKD", Transactions!$Q$2="EUR"), AH47*Transactions!$Z$11,
            AND(Y47="EUR", Transactions!$Q$2="EUR"), AH47,
            AND(Y47="EUR", Transactions!$Q$2="USD"), AH47*Transactions!$Z$12,
            AND(Y47="EUR", Transactions!$Q$2="GBP"), AH47*Transactions!$Z$13,
            AND(Y47="EUR", Transactions!$Q$2="HKD"), AH47*Transactions!$Z$14,
        ),
        0
    )
)</f>
        <v>317</v>
      </c>
      <c r="J47" s="2" cm="1">
        <f t="array" ref="J47">IF($A47="", "",
    IFERROR(
        _xlfn.SWITCH(
            TRUE,
            AND(Y47="USD", Transactions!$Q$2="USD"), AI47,
            AND(Y47="USD", Transactions!$Q$2="GBP"), AI47*Transactions!$Z$3,
            AND(Y47="USD", Transactions!$Q$2="HKD"), AI47*Transactions!$Z$4,
            AND(Y47="USD", Transactions!$Q$2="EUR"), AI47*Transactions!$Z$5,
            AND(Y47="GBP", Transactions!$Q$2="GBP"), AI47,
            AND(Y47="GBP", Transactions!$Q$2="USD"), AI47*Transactions!$Z$6,
            AND(Y47="GBP", Transactions!$Q$2="HKD"), AI47*Transactions!$Z$7,
            AND(Y47="HKG", Transactions!$Q$2="HKG"), AI47,
            AND(Y47="HKD", Transactions!$Q$2="USD"), AI47*Transactions!$Z$9,
            AND(Y47="HKD", Transactions!$Q$2="GBP"), AI47*Transactions!$Z$10,
            AND(Y47="HKD", Transactions!$Q$2="EUR"), AI47*Transactions!$Z$11,
            AND(Y47="EUR", Transactions!$Q$2="EUR"), AI47,
            AND(Y47="EUR", Transactions!$Q$2="USD"), AI47*Transactions!$Z$12,
            AND(Y47="EUR", Transactions!$Q$2="GBP"), AI47*Transactions!$Z$13,
            AND(Y47="EUR", Transactions!$Q$2="HKD"), AI47*Transactions!$Z$14,
        ),
        0
    )
)</f>
        <v>284</v>
      </c>
      <c r="K47" s="41">
        <f t="shared" si="23"/>
        <v>-0.10410094637223975</v>
      </c>
      <c r="L47" s="2" cm="1">
        <f t="array" ref="L47">IF($A47="", "",
    IFERROR(
        _xlfn.SWITCH(
            TRUE,
            AND(Y47="USD", Transactions!$Q$2="USD"), AK47,
            AND(Y47="USD", Transactions!$Q$2="GBP"), AK47*Transactions!$Z$3,
            AND(Y47="USD", Transactions!$Q$2="HKD"), AK47*Transactions!$Z$4,
            AND(Y47="USD", Transactions!$Q$2="EUR"), AK47*Transactions!$Z$5,
            AND(Y47="GBP", Transactions!$Q$2="GBP"), AK47,
            AND(Y47="GBP", Transactions!$Q$2="USD"), AK47*Transactions!$Z$6,
            AND(Y47="GBP", Transactions!$Q$2="HKD"), AK47*Transactions!$Z$7,
            AND(Y47="HKG", Transactions!$Q$2="HKG"), AK47,
            AND(Y47="HKD", Transactions!$Q$2="USD"), AK47*Transactions!$Z$9,
            AND(Y47="HKD", Transactions!$Q$2="GBP"), AK47*Transactions!$Z$10,
            AND(Y47="HKD", Transactions!$Q$2="EUR"), AK47*Transactions!$Z$11,
            AND(Y47="EUR", Transactions!$Q$2="EUR"), AK47,
            AND(Y47="EUR", Transactions!$Q$2="USD"), AK47*Transactions!$Z$12,
            AND(Y47="EUR", Transactions!$Q$2="GBP"), AK47*Transactions!$Z$13,
            AND(Y47="EUR", Transactions!$Q$2="HKD"), AK47*Transactions!$Z$14,
        ),
        0
    )
)</f>
        <v>-33</v>
      </c>
      <c r="M47" s="119" cm="1">
        <f t="array" ref="M47">IF($A47="", "",
    IFERROR(
        _xlfn.SWITCH(
            TRUE,
            AND(Y47="USD", Transactions!$Q$2="USD"), AL47,
            AND(Y47="USD", Transactions!$Q$2="GBP"), AL47*Transactions!$Z$3,
            AND(Y47="USD", Transactions!$Q$2="HKD"), AL47*Transactions!$Z$4,
            AND(Y47="USD", Transactions!$Q$2="EUR"), AL47*Transactions!$Z$5,
            AND(Y47="GBP", Transactions!$Q$2="GBP"), AL47,
            AND(Y47="GBP", Transactions!$Q$2="USD"), AL47*Transactions!$Z$6,
            AND(Y47="GBP", Transactions!$Q$2="HKD"), AL47*Transactions!$Z$7,
            AND(Y47="HKG", Transactions!$Q$2="HKG"), AL47,
            AND(Y47="HKD", Transactions!$Q$2="USD"), AL47*Transactions!$Z$9,
            AND(Y47="HKD", Transactions!$Q$2="GBP"), AL47*Transactions!$Z$10,
            AND(Y47="HKD", Transactions!$Q$2="EUR"), AL47*Transactions!$Z$11,
            AND(Y47="EUR", Transactions!$Q$2="EUR"), AL47,
            AND(Y47="EUR", Transactions!$Q$2="USD"), AL47*Transactions!$Z$12,
            AND(Y47="EUR", Transactions!$Q$2="GBP"), AL47*Transactions!$Z$13,
            AND(Y47="EUR", Transactions!$Q$2="HKD"), AL47*Transactions!$Z$14,
        ),
        0
    )
)</f>
        <v>0</v>
      </c>
      <c r="N47" s="120" cm="1">
        <f t="array" ref="N47">IF($A47="", "",
    IFERROR(
        _xlfn.SWITCH(
            TRUE,
            AND(Y47="USD", Transactions!$Q$2="USD"), AM47,
            AND(Y47="USD", Transactions!$Q$2="GBP"), AM47*Transactions!$Z$3,
            AND(Y47="USD", Transactions!$Q$2="HKD"), AM47*Transactions!$Z$4,
            AND(Y47="USD", Transactions!$Q$2="EUR"), AM47*Transactions!$Z$5,
            AND(Y47="GBP", Transactions!$Q$2="GBP"), AM47,
            AND(Y47="GBP", Transactions!$Q$2="USD"), AM47*Transactions!$Z$6,
            AND(Y47="GBP", Transactions!$Q$2="HKD"), AM47*Transactions!$Z$7,
            AND(Y47="HKG", Transactions!$Q$2="HKG"), AM47,
            AND(Y47="HKD", Transactions!$Q$2="USD"), AM47*Transactions!$Z$9,
            AND(Y47="HKD", Transactions!$Q$2="GBP"), AM47*Transactions!$Z$10,
            AND(Y47="HKD", Transactions!$Q$2="EUR"), AM47*Transactions!$Z$11,
            AND(Y47="EUR", Transactions!$Q$2="EUR"), AM47,
            AND(Y47="EUR", Transactions!$Q$2="USD"), AM47*Transactions!$Z$12,
            AND(Y47="EUR", Transactions!$Q$2="GBP"), AM47*Transactions!$Z$13,
            AND(Y47="EUR", Transactions!$Q$2="HKD"), AM47*Transactions!$Z$14,
        ),
        0
    )
)</f>
        <v>-33</v>
      </c>
      <c r="O47" s="145"/>
      <c r="P47" s="145"/>
      <c r="Q47" s="41">
        <f t="shared" si="24"/>
        <v>1.7708634712827827E-3</v>
      </c>
      <c r="S47" s="41">
        <f t="shared" si="25"/>
        <v>1.7708634712827827E-3</v>
      </c>
      <c r="T47" s="1" t="str">
        <f t="shared" si="26"/>
        <v>Crypto</v>
      </c>
      <c r="U47" s="41">
        <f t="shared" si="27"/>
        <v>0.81515627319794193</v>
      </c>
      <c r="V47" s="41">
        <f t="shared" si="28"/>
        <v>0</v>
      </c>
      <c r="W47" s="41">
        <f t="shared" si="29"/>
        <v>0.81515627319794193</v>
      </c>
      <c r="X47" s="1" t="str">
        <f t="shared" si="29"/>
        <v>Infrastructure</v>
      </c>
      <c r="Y47" s="17" t="str">
        <f>IFERROR(IF(ISBLANK(AA47), "", IF(VLOOKUP(AA47, Transactions!D:F, 3, FALSE) = "Stablecoin", AA47, INDEX(Transactions!$B$3:$B1051, MATCH(AA47, Transactions!$D$3:$D1051, 0)))), "")</f>
        <v>USD</v>
      </c>
      <c r="Z47" s="1" t="str">
        <f>_xlfn.XLOOKUP(AA47,Transactions!$D$3:$D$1007,Transactions!$E$3:$E$1007)</f>
        <v>Celestia</v>
      </c>
      <c r="AA47" s="1" t="str">
        <v>TIA</v>
      </c>
      <c r="AB47" s="118" cm="1">
        <f t="array" ref="AB47">IF(ISBLANK(AA47), "",
    SUMPRODUCT(
        (Transactions!$D$3:$D$1007=AA47) *
        (Transactions!$H$3:$H$1007={"Cash Deposit","Crypto Deposit","Buy","Transfer Deposit","DRIP","Airdrop/Rewards"}) *
        Transactions!$I$3:$I$1007
    )
    - SUMPRODUCT(
        (Transactions!$D$3:$D$1007=AA47) *
        (Transactions!$H$3:$H$1007={"Sell","Transfer Send","Cash Withdrawal","Crypto Withdrawal"}) *
        Transactions!$I$3:$I$1007
    )
)</f>
        <v>20</v>
      </c>
      <c r="AC47" s="2" cm="1">
        <f t="array" ref="AC47">IF(ISBLANK(AA47), "", LOOKUP(2, 1/(Transactions!D:D=AA47), Transactions!P:P))</f>
        <v>15.85</v>
      </c>
      <c r="AD47" s="2" cm="1">
        <f t="array" ref="AD47">IF(ISBLANK(AA47),"",IFERROR(_FV(AA47,"price"),INDEX('CoinGeko API'!E:E,MATCH(Portfolio_v2!AA47,'CoinGeko API'!C:C,0))))</f>
        <v>14.2</v>
      </c>
      <c r="AF47" s="39" cm="1">
        <f t="array" ref="AF47">IF(ISBLANK(AA47),"",IFERROR(_FV(AA47,"Change (%)",TRUE),INDEX('CoinGeko API'!G:G,MATCH(Portfolio_v2!AA47,'CoinGeko API'!C:C,0))))</f>
        <v>4.1816399999999997E-2</v>
      </c>
      <c r="AG47" s="34" cm="1">
        <f t="array" ref="AG47">IF(ISBLANK(AA47),"",IFERROR(_FV(AA47,"change"),INDEX('CoinGeko API'!F:F,MATCH(Portfolio_v2!AA47,'CoinGeko API'!C:C,0))))</f>
        <v>0.57015700000000002</v>
      </c>
      <c r="AH47" s="2">
        <f t="shared" si="13"/>
        <v>317</v>
      </c>
      <c r="AI47" s="2">
        <f t="shared" si="14"/>
        <v>284</v>
      </c>
      <c r="AJ47" s="40">
        <f t="shared" si="15"/>
        <v>-0.10410094637223975</v>
      </c>
      <c r="AK47" s="2">
        <f t="shared" si="16"/>
        <v>-33</v>
      </c>
      <c r="AL47" s="119">
        <f>IF(OR(ISBLANK(AA47), COUNTIFS(Transactions!$D$3:$D1051, AA47) = 0), "",
    SUMIFS(Transactions!$M$3:$M1051, Transactions!$H$3:$H1051, "Sell", Transactions!$D$3:$D1051, AA47) +
    SUMIFS(Transactions!$M$3:$M1051, Transactions!$H$3:$H1051, "Dividend", Transactions!$D$3:$D1051, AA47) -
    SUMIFS(Transactions!$M$3:$M1051, Transactions!$H$3:$H1051, "Buy", Transactions!$D$3:$D1051, AA47) -
    SUMIFS(Transactions!$M$3:$M1051, Transactions!$H$3:$H1051, "Crypto Deposit", Transactions!$D$3:$D1051, AA47) -
    SUMIFS(Transactions!$M$3:$M1051, Transactions!$H$3:$H1051, "DRIP", Transactions!$D$3:$D1051, AA47) +
    SUMIFS($AH$3:$AH1043, $AA$3:$AA1043, AA47) +
    SUMIFS(Transactions!$M$3:$M1051, Transactions!$L$3:$L1051, "Stablecoin", Transactions!$B$3:$B1051, AA47)
)</f>
        <v>0</v>
      </c>
      <c r="AM47" s="120">
        <f t="shared" si="17"/>
        <v>-33</v>
      </c>
      <c r="AN47" s="145"/>
      <c r="AO47" s="145"/>
      <c r="AP47" s="41">
        <f t="shared" si="1"/>
        <v>1.7708634712827827E-3</v>
      </c>
      <c r="AR47" s="41">
        <f t="shared" si="18"/>
        <v>1.7708634712827827E-3</v>
      </c>
      <c r="AS47" s="1" t="str">
        <f>_xlfn.XLOOKUP(AA47,Transactions!$D$3:$D$1007,Transactions!$F$3:$F$1007)</f>
        <v>Crypto</v>
      </c>
      <c r="AT47" s="41">
        <f t="shared" si="19"/>
        <v>0.81515627319794193</v>
      </c>
      <c r="AU47" s="41">
        <f t="shared" si="20"/>
        <v>0</v>
      </c>
      <c r="AV47" s="41">
        <f t="shared" si="21"/>
        <v>0.81515627319794193</v>
      </c>
      <c r="AW47" s="18" t="s">
        <v>476</v>
      </c>
    </row>
    <row r="48" spans="1:49" ht="18" customHeight="1">
      <c r="A48" s="17" t="str">
        <f t="shared" si="2"/>
        <v>VeChain</v>
      </c>
      <c r="B48" s="1" t="str">
        <f t="shared" si="3"/>
        <v>VET</v>
      </c>
      <c r="C48" s="118">
        <f t="shared" si="4"/>
        <v>1690</v>
      </c>
      <c r="D48" s="2" cm="1">
        <f t="array" ref="D48">IF($A48="", "",
    IFERROR(
        _xlfn.SWITCH(
            TRUE,
            AND(Y48="USD", Transactions!$Q$2="USD"), AC48,
            AND(Y48="USD", Transactions!$Q$2="GBP"), AC48*Transactions!$Z$3,
            AND(Y48="USD", Transactions!$Q$2="HKD"), AC48*Transactions!$Z$4,
            AND(Y48="USD", Transactions!$Q$2="EUR"), AC48*Transactions!$Z$5,
            AND(Y48="GBP", Transactions!$Q$2="GBP"), AC48,
            AND(Y48="GBP", Transactions!$Q$2="USD"), AC48*Transactions!$Z$6,
            AND(Y48="GBP", Transactions!$Q$2="HKD"), AC48*Transactions!$Z$7,
            AND(Y48="HKG", Transactions!$Q$2="HKG"), AC48,
            AND(Y48="HKD", Transactions!$Q$2="USD"), AC48*Transactions!$Z$9,
            AND(Y48="HKD", Transactions!$Q$2="GBP"), AC48*Transactions!$Z$10,
            AND(Y48="HKD", Transactions!$Q$2="EUR"), AC48*Transactions!$Z$11,
            AND(Y48="EUR", Transactions!$Q$2="EUR"), AC48,
            AND(Y48="EUR", Transactions!$Q$2="USD"), AC48*Transactions!$Z$12,
            AND(Y48="EUR", Transactions!$Q$2="GBP"), AC48*Transactions!$Z$13,
            AND(Y48="EUR", Transactions!$Q$2="HKD"), AC48*Transactions!$Z$14,
        ),
        0
    )
)</f>
        <v>0.11837362</v>
      </c>
      <c r="E48" s="2" cm="1">
        <f t="array" ref="E48">IF($A48="", "",
    IFERROR(
        _xlfn.SWITCH(
            TRUE,
            AND(Y48="USD", Transactions!$Q$2="USD"), AD48,
            AND(Y48="USD", Transactions!$Q$2="GBP"), AD48*Transactions!$Z$3,
            AND(Y48="USD", Transactions!$Q$2="HKD"), AD48*Transactions!$Z$4,
            AND(Y48="USD", Transactions!$Q$2="EUR"), AD48*Transactions!$Z$5,
            AND(Y48="GBP", Transactions!$Q$2="GBP"), AD48,
            AND(Y48="GBP", Transactions!$Q$2="USD"), AD48*Transactions!$Z$6,
            AND(Y48="GBP", Transactions!$Q$2="HKD"), AD48*Transactions!$Z$7,
            AND(Y48="HKG", Transactions!$Q$2="HKG"), AD48,
            AND(Y48="HKD", Transactions!$Q$2="USD"), AD48*Transactions!$Z$9,
            AND(Y48="HKD", Transactions!$Q$2="GBP"), AD48*Transactions!$Z$10,
            AND(Y48="HKD", Transactions!$Q$2="EUR"), AD48*Transactions!$Z$11,
            AND(Y48="EUR", Transactions!$Q$2="EUR"), AD48,
            AND(Y48="EUR", Transactions!$Q$2="USD"), AD48*Transactions!$Z$12,
            AND(Y48="EUR", Transactions!$Q$2="GBP"), AD48*Transactions!$Z$13,
            AND(Y48="EUR", Transactions!$Q$2="HKD"), AD48*Transactions!$Z$14,
        ),
        0
    )
)</f>
        <v>4.5320600000000003E-2</v>
      </c>
      <c r="G48" s="121">
        <f t="shared" si="30"/>
        <v>6.2396399999999998E-2</v>
      </c>
      <c r="H48" s="34" cm="1">
        <f t="array" ref="H48">IF($A48="", "",
    IFERROR(
        _xlfn.SWITCH(
            TRUE,
            AND(Y48="USD", Transactions!$Q$2="USD"), AG48,
            AND(Y48="USD", Transactions!$Q$2="GBP"), AG48*Transactions!$Z$3,
            AND(Y48="USD", Transactions!$Q$2="HKD"), AG48*Transactions!$Z$4,
            AND(Y48="USD", Transactions!$Q$2="EUR"), AG48*Transactions!$Z$5,
            AND(Y48="GBP", Transactions!$Q$2="GBP"), AG48,
            AND(Y48="GBP", Transactions!$Q$2="USD"), AG48*Transactions!$Z$6,
            AND(Y48="GBP", Transactions!$Q$2="HKD"), AG48*Transactions!$Z$7,
            AND(Y48="HKG", Transactions!$Q$2="HKG"), AG48,
            AND(Y48="HKD", Transactions!$Q$2="USD"), AG48*Transactions!$Z$9,
            AND(Y48="HKD", Transactions!$Q$2="GBP"), AG48*Transactions!$Z$10,
            AND(Y48="HKD", Transactions!$Q$2="EUR"), AG48*Transactions!$Z$11,
            AND(Y48="EUR", Transactions!$Q$2="EUR"), AG48,
            AND(Y48="EUR", Transactions!$Q$2="USD"), AG48*Transactions!$Z$12,
            AND(Y48="EUR", Transactions!$Q$2="GBP"), AG48*Transactions!$Z$13,
            AND(Y48="EUR", Transactions!$Q$2="HKD"), AG48*Transactions!$Z$14,
        ),
        0
    )
)</f>
        <v>2.66176E-3</v>
      </c>
      <c r="I48" s="2" cm="1">
        <f t="array" ref="I48">IF($A48="", "",
    IFERROR(
        _xlfn.SWITCH(
            TRUE,
            AND(Y48="USD", Transactions!$Q$2="USD"), AH48,
            AND(Y48="USD", Transactions!$Q$2="GBP"), AH48*Transactions!$Z$3,
            AND(Y48="USD", Transactions!$Q$2="HKD"), AH48*Transactions!$Z$4,
            AND(Y48="USD", Transactions!$Q$2="EUR"), AH48*Transactions!$Z$5,
            AND(Y48="GBP", Transactions!$Q$2="GBP"), AH48,
            AND(Y48="GBP", Transactions!$Q$2="USD"), AH48*Transactions!$Z$6,
            AND(Y48="GBP", Transactions!$Q$2="HKD"), AH48*Transactions!$Z$7,
            AND(Y48="HKG", Transactions!$Q$2="HKG"), AH48,
            AND(Y48="HKD", Transactions!$Q$2="USD"), AH48*Transactions!$Z$9,
            AND(Y48="HKD", Transactions!$Q$2="GBP"), AH48*Transactions!$Z$10,
            AND(Y48="HKD", Transactions!$Q$2="EUR"), AH48*Transactions!$Z$11,
            AND(Y48="EUR", Transactions!$Q$2="EUR"), AH48,
            AND(Y48="EUR", Transactions!$Q$2="USD"), AH48*Transactions!$Z$12,
            AND(Y48="EUR", Transactions!$Q$2="GBP"), AH48*Transactions!$Z$13,
            AND(Y48="EUR", Transactions!$Q$2="HKD"), AH48*Transactions!$Z$14,
        ),
        0
    )
)</f>
        <v>200.0514178</v>
      </c>
      <c r="J48" s="2" cm="1">
        <f t="array" ref="J48">IF($A48="", "",
    IFERROR(
        _xlfn.SWITCH(
            TRUE,
            AND(Y48="USD", Transactions!$Q$2="USD"), AI48,
            AND(Y48="USD", Transactions!$Q$2="GBP"), AI48*Transactions!$Z$3,
            AND(Y48="USD", Transactions!$Q$2="HKD"), AI48*Transactions!$Z$4,
            AND(Y48="USD", Transactions!$Q$2="EUR"), AI48*Transactions!$Z$5,
            AND(Y48="GBP", Transactions!$Q$2="GBP"), AI48,
            AND(Y48="GBP", Transactions!$Q$2="USD"), AI48*Transactions!$Z$6,
            AND(Y48="GBP", Transactions!$Q$2="HKD"), AI48*Transactions!$Z$7,
            AND(Y48="HKG", Transactions!$Q$2="HKG"), AI48,
            AND(Y48="HKD", Transactions!$Q$2="USD"), AI48*Transactions!$Z$9,
            AND(Y48="HKD", Transactions!$Q$2="GBP"), AI48*Transactions!$Z$10,
            AND(Y48="HKD", Transactions!$Q$2="EUR"), AI48*Transactions!$Z$11,
            AND(Y48="EUR", Transactions!$Q$2="EUR"), AI48,
            AND(Y48="EUR", Transactions!$Q$2="USD"), AI48*Transactions!$Z$12,
            AND(Y48="EUR", Transactions!$Q$2="GBP"), AI48*Transactions!$Z$13,
            AND(Y48="EUR", Transactions!$Q$2="HKD"), AI48*Transactions!$Z$14,
        ),
        0
    )
)</f>
        <v>76.591813999999999</v>
      </c>
      <c r="K48" s="41">
        <f t="shared" si="23"/>
        <v>-0.61713935925926744</v>
      </c>
      <c r="L48" s="2" cm="1">
        <f t="array" ref="L48">IF($A48="", "",
    IFERROR(
        _xlfn.SWITCH(
            TRUE,
            AND(Y48="USD", Transactions!$Q$2="USD"), AK48,
            AND(Y48="USD", Transactions!$Q$2="GBP"), AK48*Transactions!$Z$3,
            AND(Y48="USD", Transactions!$Q$2="HKD"), AK48*Transactions!$Z$4,
            AND(Y48="USD", Transactions!$Q$2="EUR"), AK48*Transactions!$Z$5,
            AND(Y48="GBP", Transactions!$Q$2="GBP"), AK48,
            AND(Y48="GBP", Transactions!$Q$2="USD"), AK48*Transactions!$Z$6,
            AND(Y48="GBP", Transactions!$Q$2="HKD"), AK48*Transactions!$Z$7,
            AND(Y48="HKG", Transactions!$Q$2="HKG"), AK48,
            AND(Y48="HKD", Transactions!$Q$2="USD"), AK48*Transactions!$Z$9,
            AND(Y48="HKD", Transactions!$Q$2="GBP"), AK48*Transactions!$Z$10,
            AND(Y48="HKD", Transactions!$Q$2="EUR"), AK48*Transactions!$Z$11,
            AND(Y48="EUR", Transactions!$Q$2="EUR"), AK48,
            AND(Y48="EUR", Transactions!$Q$2="USD"), AK48*Transactions!$Z$12,
            AND(Y48="EUR", Transactions!$Q$2="GBP"), AK48*Transactions!$Z$13,
            AND(Y48="EUR", Transactions!$Q$2="HKD"), AK48*Transactions!$Z$14,
        ),
        0
    )
)</f>
        <v>-123.4596038</v>
      </c>
      <c r="M48" s="119" cm="1">
        <f t="array" ref="M48">IF($A48="", "",
    IFERROR(
        _xlfn.SWITCH(
            TRUE,
            AND(Y48="USD", Transactions!$Q$2="USD"), AL48,
            AND(Y48="USD", Transactions!$Q$2="GBP"), AL48*Transactions!$Z$3,
            AND(Y48="USD", Transactions!$Q$2="HKD"), AL48*Transactions!$Z$4,
            AND(Y48="USD", Transactions!$Q$2="EUR"), AL48*Transactions!$Z$5,
            AND(Y48="GBP", Transactions!$Q$2="GBP"), AL48,
            AND(Y48="GBP", Transactions!$Q$2="USD"), AL48*Transactions!$Z$6,
            AND(Y48="GBP", Transactions!$Q$2="HKD"), AL48*Transactions!$Z$7,
            AND(Y48="HKG", Transactions!$Q$2="HKG"), AL48,
            AND(Y48="HKD", Transactions!$Q$2="USD"), AL48*Transactions!$Z$9,
            AND(Y48="HKD", Transactions!$Q$2="GBP"), AL48*Transactions!$Z$10,
            AND(Y48="HKD", Transactions!$Q$2="EUR"), AL48*Transactions!$Z$11,
            AND(Y48="EUR", Transactions!$Q$2="EUR"), AL48,
            AND(Y48="EUR", Transactions!$Q$2="USD"), AL48*Transactions!$Z$12,
            AND(Y48="EUR", Transactions!$Q$2="GBP"), AL48*Transactions!$Z$13,
            AND(Y48="EUR", Transactions!$Q$2="HKD"), AL48*Transactions!$Z$14,
        ),
        0
    )
)</f>
        <v>0</v>
      </c>
      <c r="N48" s="120" cm="1">
        <f t="array" ref="N48">IF($A48="", "",
    IFERROR(
        _xlfn.SWITCH(
            TRUE,
            AND(Y48="USD", Transactions!$Q$2="USD"), AM48,
            AND(Y48="USD", Transactions!$Q$2="GBP"), AM48*Transactions!$Z$3,
            AND(Y48="USD", Transactions!$Q$2="HKD"), AM48*Transactions!$Z$4,
            AND(Y48="USD", Transactions!$Q$2="EUR"), AM48*Transactions!$Z$5,
            AND(Y48="GBP", Transactions!$Q$2="GBP"), AM48,
            AND(Y48="GBP", Transactions!$Q$2="USD"), AM48*Transactions!$Z$6,
            AND(Y48="GBP", Transactions!$Q$2="HKD"), AM48*Transactions!$Z$7,
            AND(Y48="HKG", Transactions!$Q$2="HKG"), AM48,
            AND(Y48="HKD", Transactions!$Q$2="USD"), AM48*Transactions!$Z$9,
            AND(Y48="HKD", Transactions!$Q$2="GBP"), AM48*Transactions!$Z$10,
            AND(Y48="HKD", Transactions!$Q$2="EUR"), AM48*Transactions!$Z$11,
            AND(Y48="EUR", Transactions!$Q$2="EUR"), AM48,
            AND(Y48="EUR", Transactions!$Q$2="USD"), AM48*Transactions!$Z$12,
            AND(Y48="EUR", Transactions!$Q$2="GBP"), AM48*Transactions!$Z$13,
            AND(Y48="EUR", Transactions!$Q$2="HKD"), AM48*Transactions!$Z$14,
        ),
        0
    )
)</f>
        <v>-123.4596038</v>
      </c>
      <c r="O48" s="145"/>
      <c r="P48" s="145"/>
      <c r="Q48" s="41">
        <f t="shared" si="24"/>
        <v>4.7758325919677901E-4</v>
      </c>
      <c r="S48" s="41">
        <f t="shared" si="25"/>
        <v>4.7758325919677901E-4</v>
      </c>
      <c r="T48" s="1" t="str">
        <f t="shared" si="26"/>
        <v>Crypto</v>
      </c>
      <c r="U48" s="41">
        <f t="shared" si="27"/>
        <v>0.81515627319794193</v>
      </c>
      <c r="V48" s="41">
        <f t="shared" si="28"/>
        <v>0</v>
      </c>
      <c r="W48" s="41">
        <f t="shared" si="29"/>
        <v>0.81515627319794193</v>
      </c>
      <c r="X48" s="1" t="str">
        <f t="shared" si="29"/>
        <v>Infrastructure</v>
      </c>
      <c r="Y48" s="17" t="str">
        <f>IFERROR(IF(ISBLANK(AA48), "", IF(VLOOKUP(AA48, Transactions!D:F, 3, FALSE) = "Stablecoin", AA48, INDEX(Transactions!$B$3:$B1052, MATCH(AA48, Transactions!$D$3:$D1052, 0)))), "")</f>
        <v>USD</v>
      </c>
      <c r="Z48" s="1" t="str">
        <f>_xlfn.XLOOKUP(AA48,Transactions!$D$3:$D$1007,Transactions!$E$3:$E$1007)</f>
        <v>VeChain</v>
      </c>
      <c r="AA48" s="1" t="str">
        <v>VET</v>
      </c>
      <c r="AB48" s="118" cm="1">
        <f t="array" ref="AB48">IF(ISBLANK(AA48), "",
    SUMPRODUCT(
        (Transactions!$D$3:$D$1007=AA48) *
        (Transactions!$H$3:$H$1007={"Cash Deposit","Crypto Deposit","Buy","Transfer Deposit","DRIP","Airdrop/Rewards"}) *
        Transactions!$I$3:$I$1007
    )
    - SUMPRODUCT(
        (Transactions!$D$3:$D$1007=AA48) *
        (Transactions!$H$3:$H$1007={"Sell","Transfer Send","Cash Withdrawal","Crypto Withdrawal"}) *
        Transactions!$I$3:$I$1007
    )
)</f>
        <v>1690</v>
      </c>
      <c r="AC48" s="2" cm="1">
        <f t="array" ref="AC48">IF(ISBLANK(AA48), "", LOOKUP(2, 1/(Transactions!D:D=AA48), Transactions!P:P))</f>
        <v>0.11837362</v>
      </c>
      <c r="AD48" s="2" cm="1">
        <f t="array" ref="AD48">IF(ISBLANK(AA48),"",IFERROR(_FV(AA48,"price"),INDEX('CoinGeko API'!E:E,MATCH(Portfolio_v2!AA48,'CoinGeko API'!C:C,0))))</f>
        <v>4.5320600000000003E-2</v>
      </c>
      <c r="AF48" s="39" cm="1">
        <f t="array" ref="AF48">IF(ISBLANK(AA48),"",IFERROR(_FV(AA48,"Change (%)",TRUE),INDEX('CoinGeko API'!G:G,MATCH(Portfolio_v2!AA48,'CoinGeko API'!C:C,0))))</f>
        <v>6.2396399999999998E-2</v>
      </c>
      <c r="AG48" s="34" cm="1">
        <f t="array" ref="AG48">IF(ISBLANK(AA48),"",IFERROR(_FV(AA48,"change"),INDEX('CoinGeko API'!F:F,MATCH(Portfolio_v2!AA48,'CoinGeko API'!C:C,0))))</f>
        <v>2.66176E-3</v>
      </c>
      <c r="AH48" s="2">
        <f t="shared" si="13"/>
        <v>200.0514178</v>
      </c>
      <c r="AI48" s="2">
        <f t="shared" si="14"/>
        <v>76.591813999999999</v>
      </c>
      <c r="AJ48" s="40">
        <f t="shared" si="15"/>
        <v>-0.61713935925926744</v>
      </c>
      <c r="AK48" s="2">
        <f t="shared" si="16"/>
        <v>-123.4596038</v>
      </c>
      <c r="AL48" s="119">
        <f>IF(OR(ISBLANK(AA48), COUNTIFS(Transactions!$D$3:$D1052, AA48) = 0), "",
    SUMIFS(Transactions!$M$3:$M1052, Transactions!$H$3:$H1052, "Sell", Transactions!$D$3:$D1052, AA48) +
    SUMIFS(Transactions!$M$3:$M1052, Transactions!$H$3:$H1052, "Dividend", Transactions!$D$3:$D1052, AA48) -
    SUMIFS(Transactions!$M$3:$M1052, Transactions!$H$3:$H1052, "Buy", Transactions!$D$3:$D1052, AA48) -
    SUMIFS(Transactions!$M$3:$M1052, Transactions!$H$3:$H1052, "Crypto Deposit", Transactions!$D$3:$D1052, AA48) -
    SUMIFS(Transactions!$M$3:$M1052, Transactions!$H$3:$H1052, "DRIP", Transactions!$D$3:$D1052, AA48) +
    SUMIFS($AH$3:$AH1044, $AA$3:$AA1044, AA48) +
    SUMIFS(Transactions!$M$3:$M1052, Transactions!$L$3:$L1052, "Stablecoin", Transactions!$B$3:$B1052, AA48)
)</f>
        <v>0</v>
      </c>
      <c r="AM48" s="120">
        <f t="shared" si="17"/>
        <v>-123.4596038</v>
      </c>
      <c r="AN48" s="145"/>
      <c r="AO48" s="145"/>
      <c r="AP48" s="41">
        <f t="shared" si="1"/>
        <v>4.7758325919677901E-4</v>
      </c>
      <c r="AR48" s="41">
        <f t="shared" si="18"/>
        <v>4.7758325919677901E-4</v>
      </c>
      <c r="AS48" s="1" t="str">
        <f>_xlfn.XLOOKUP(AA48,Transactions!$D$3:$D$1007,Transactions!$F$3:$F$1007)</f>
        <v>Crypto</v>
      </c>
      <c r="AT48" s="41">
        <f t="shared" si="19"/>
        <v>0.81515627319794193</v>
      </c>
      <c r="AU48" s="41">
        <f t="shared" si="20"/>
        <v>0</v>
      </c>
      <c r="AV48" s="41">
        <f t="shared" si="21"/>
        <v>0.81515627319794193</v>
      </c>
      <c r="AW48" s="18" t="s">
        <v>476</v>
      </c>
    </row>
    <row r="49" spans="1:49" ht="18" customHeight="1">
      <c r="A49" s="17" t="str">
        <f t="shared" si="2"/>
        <v>Wrapped AVAX</v>
      </c>
      <c r="B49" s="1" t="str">
        <f t="shared" si="3"/>
        <v>WAVAX</v>
      </c>
      <c r="C49" s="118">
        <f t="shared" si="4"/>
        <v>8</v>
      </c>
      <c r="D49" s="2" cm="1">
        <f t="array" ref="D49">IF($A49="", "",
    IFERROR(
        _xlfn.SWITCH(
            TRUE,
            AND(Y49="USD", Transactions!$Q$2="USD"), AC49,
            AND(Y49="USD", Transactions!$Q$2="GBP"), AC49*Transactions!$Z$3,
            AND(Y49="USD", Transactions!$Q$2="HKD"), AC49*Transactions!$Z$4,
            AND(Y49="USD", Transactions!$Q$2="EUR"), AC49*Transactions!$Z$5,
            AND(Y49="GBP", Transactions!$Q$2="GBP"), AC49,
            AND(Y49="GBP", Transactions!$Q$2="USD"), AC49*Transactions!$Z$6,
            AND(Y49="GBP", Transactions!$Q$2="HKD"), AC49*Transactions!$Z$7,
            AND(Y49="HKG", Transactions!$Q$2="HKG"), AC49,
            AND(Y49="HKD", Transactions!$Q$2="USD"), AC49*Transactions!$Z$9,
            AND(Y49="HKD", Transactions!$Q$2="GBP"), AC49*Transactions!$Z$10,
            AND(Y49="HKD", Transactions!$Q$2="EUR"), AC49*Transactions!$Z$11,
            AND(Y49="EUR", Transactions!$Q$2="EUR"), AC49,
            AND(Y49="EUR", Transactions!$Q$2="USD"), AC49*Transactions!$Z$12,
            AND(Y49="EUR", Transactions!$Q$2="GBP"), AC49*Transactions!$Z$13,
            AND(Y49="EUR", Transactions!$Q$2="HKD"), AC49*Transactions!$Z$14,
        ),
        0
    )
)</f>
        <v>17.11</v>
      </c>
      <c r="E49" s="2" cm="1">
        <f t="array" ref="E49">IF($A49="", "",
    IFERROR(
        _xlfn.SWITCH(
            TRUE,
            AND(Y49="USD", Transactions!$Q$2="USD"), AD49,
            AND(Y49="USD", Transactions!$Q$2="GBP"), AD49*Transactions!$Z$3,
            AND(Y49="USD", Transactions!$Q$2="HKD"), AD49*Transactions!$Z$4,
            AND(Y49="USD", Transactions!$Q$2="EUR"), AD49*Transactions!$Z$5,
            AND(Y49="GBP", Transactions!$Q$2="GBP"), AD49,
            AND(Y49="GBP", Transactions!$Q$2="USD"), AD49*Transactions!$Z$6,
            AND(Y49="GBP", Transactions!$Q$2="HKD"), AD49*Transactions!$Z$7,
            AND(Y49="HKG", Transactions!$Q$2="HKG"), AD49,
            AND(Y49="HKD", Transactions!$Q$2="USD"), AD49*Transactions!$Z$9,
            AND(Y49="HKD", Transactions!$Q$2="GBP"), AD49*Transactions!$Z$10,
            AND(Y49="HKD", Transactions!$Q$2="EUR"), AD49*Transactions!$Z$11,
            AND(Y49="EUR", Transactions!$Q$2="EUR"), AD49,
            AND(Y49="EUR", Transactions!$Q$2="USD"), AD49*Transactions!$Z$12,
            AND(Y49="EUR", Transactions!$Q$2="GBP"), AD49*Transactions!$Z$13,
            AND(Y49="EUR", Transactions!$Q$2="HKD"), AD49*Transactions!$Z$14,
        ),
        0
    )
)</f>
        <v>58.27</v>
      </c>
      <c r="G49" s="121">
        <f t="shared" si="30"/>
        <v>4.4882499999999999E-2</v>
      </c>
      <c r="H49" s="34" cm="1">
        <f t="array" ref="H49">IF($A49="", "",
    IFERROR(
        _xlfn.SWITCH(
            TRUE,
            AND(Y49="USD", Transactions!$Q$2="USD"), AG49,
            AND(Y49="USD", Transactions!$Q$2="GBP"), AG49*Transactions!$Z$3,
            AND(Y49="USD", Transactions!$Q$2="HKD"), AG49*Transactions!$Z$4,
            AND(Y49="USD", Transactions!$Q$2="EUR"), AG49*Transactions!$Z$5,
            AND(Y49="GBP", Transactions!$Q$2="GBP"), AG49,
            AND(Y49="GBP", Transactions!$Q$2="USD"), AG49*Transactions!$Z$6,
            AND(Y49="GBP", Transactions!$Q$2="HKD"), AG49*Transactions!$Z$7,
            AND(Y49="HKG", Transactions!$Q$2="HKG"), AG49,
            AND(Y49="HKD", Transactions!$Q$2="USD"), AG49*Transactions!$Z$9,
            AND(Y49="HKD", Transactions!$Q$2="GBP"), AG49*Transactions!$Z$10,
            AND(Y49="HKD", Transactions!$Q$2="EUR"), AG49*Transactions!$Z$11,
            AND(Y49="EUR", Transactions!$Q$2="EUR"), AG49,
            AND(Y49="EUR", Transactions!$Q$2="USD"), AG49*Transactions!$Z$12,
            AND(Y49="EUR", Transactions!$Q$2="GBP"), AG49*Transactions!$Z$13,
            AND(Y49="EUR", Transactions!$Q$2="HKD"), AG49*Transactions!$Z$14,
        ),
        0
    )
)</f>
        <v>2.5</v>
      </c>
      <c r="I49" s="2" cm="1">
        <f t="array" ref="I49">IF($A49="", "",
    IFERROR(
        _xlfn.SWITCH(
            TRUE,
            AND(Y49="USD", Transactions!$Q$2="USD"), AH49,
            AND(Y49="USD", Transactions!$Q$2="GBP"), AH49*Transactions!$Z$3,
            AND(Y49="USD", Transactions!$Q$2="HKD"), AH49*Transactions!$Z$4,
            AND(Y49="USD", Transactions!$Q$2="EUR"), AH49*Transactions!$Z$5,
            AND(Y49="GBP", Transactions!$Q$2="GBP"), AH49,
            AND(Y49="GBP", Transactions!$Q$2="USD"), AH49*Transactions!$Z$6,
            AND(Y49="GBP", Transactions!$Q$2="HKD"), AH49*Transactions!$Z$7,
            AND(Y49="HKG", Transactions!$Q$2="HKG"), AH49,
            AND(Y49="HKD", Transactions!$Q$2="USD"), AH49*Transactions!$Z$9,
            AND(Y49="HKD", Transactions!$Q$2="GBP"), AH49*Transactions!$Z$10,
            AND(Y49="HKD", Transactions!$Q$2="EUR"), AH49*Transactions!$Z$11,
            AND(Y49="EUR", Transactions!$Q$2="EUR"), AH49,
            AND(Y49="EUR", Transactions!$Q$2="USD"), AH49*Transactions!$Z$12,
            AND(Y49="EUR", Transactions!$Q$2="GBP"), AH49*Transactions!$Z$13,
            AND(Y49="EUR", Transactions!$Q$2="HKD"), AH49*Transactions!$Z$14,
        ),
        0
    )
)</f>
        <v>136.88</v>
      </c>
      <c r="J49" s="2" cm="1">
        <f t="array" ref="J49">IF($A49="", "",
    IFERROR(
        _xlfn.SWITCH(
            TRUE,
            AND(Y49="USD", Transactions!$Q$2="USD"), AI49,
            AND(Y49="USD", Transactions!$Q$2="GBP"), AI49*Transactions!$Z$3,
            AND(Y49="USD", Transactions!$Q$2="HKD"), AI49*Transactions!$Z$4,
            AND(Y49="USD", Transactions!$Q$2="EUR"), AI49*Transactions!$Z$5,
            AND(Y49="GBP", Transactions!$Q$2="GBP"), AI49,
            AND(Y49="GBP", Transactions!$Q$2="USD"), AI49*Transactions!$Z$6,
            AND(Y49="GBP", Transactions!$Q$2="HKD"), AI49*Transactions!$Z$7,
            AND(Y49="HKG", Transactions!$Q$2="HKG"), AI49,
            AND(Y49="HKD", Transactions!$Q$2="USD"), AI49*Transactions!$Z$9,
            AND(Y49="HKD", Transactions!$Q$2="GBP"), AI49*Transactions!$Z$10,
            AND(Y49="HKD", Transactions!$Q$2="EUR"), AI49*Transactions!$Z$11,
            AND(Y49="EUR", Transactions!$Q$2="EUR"), AI49,
            AND(Y49="EUR", Transactions!$Q$2="USD"), AI49*Transactions!$Z$12,
            AND(Y49="EUR", Transactions!$Q$2="GBP"), AI49*Transactions!$Z$13,
            AND(Y49="EUR", Transactions!$Q$2="HKD"), AI49*Transactions!$Z$14,
        ),
        0
    )
)</f>
        <v>466.16</v>
      </c>
      <c r="K49" s="41">
        <f t="shared" si="23"/>
        <v>2.4056107539450617</v>
      </c>
      <c r="L49" s="2" cm="1">
        <f t="array" ref="L49">IF($A49="", "",
    IFERROR(
        _xlfn.SWITCH(
            TRUE,
            AND(Y49="USD", Transactions!$Q$2="USD"), AK49,
            AND(Y49="USD", Transactions!$Q$2="GBP"), AK49*Transactions!$Z$3,
            AND(Y49="USD", Transactions!$Q$2="HKD"), AK49*Transactions!$Z$4,
            AND(Y49="USD", Transactions!$Q$2="EUR"), AK49*Transactions!$Z$5,
            AND(Y49="GBP", Transactions!$Q$2="GBP"), AK49,
            AND(Y49="GBP", Transactions!$Q$2="USD"), AK49*Transactions!$Z$6,
            AND(Y49="GBP", Transactions!$Q$2="HKD"), AK49*Transactions!$Z$7,
            AND(Y49="HKG", Transactions!$Q$2="HKG"), AK49,
            AND(Y49="HKD", Transactions!$Q$2="USD"), AK49*Transactions!$Z$9,
            AND(Y49="HKD", Transactions!$Q$2="GBP"), AK49*Transactions!$Z$10,
            AND(Y49="HKD", Transactions!$Q$2="EUR"), AK49*Transactions!$Z$11,
            AND(Y49="EUR", Transactions!$Q$2="EUR"), AK49,
            AND(Y49="EUR", Transactions!$Q$2="USD"), AK49*Transactions!$Z$12,
            AND(Y49="EUR", Transactions!$Q$2="GBP"), AK49*Transactions!$Z$13,
            AND(Y49="EUR", Transactions!$Q$2="HKD"), AK49*Transactions!$Z$14,
        ),
        0
    )
)</f>
        <v>329.28000000000003</v>
      </c>
      <c r="M49" s="119" cm="1">
        <f t="array" ref="M49">IF($A49="", "",
    IFERROR(
        _xlfn.SWITCH(
            TRUE,
            AND(Y49="USD", Transactions!$Q$2="USD"), AL49,
            AND(Y49="USD", Transactions!$Q$2="GBP"), AL49*Transactions!$Z$3,
            AND(Y49="USD", Transactions!$Q$2="HKD"), AL49*Transactions!$Z$4,
            AND(Y49="USD", Transactions!$Q$2="EUR"), AL49*Transactions!$Z$5,
            AND(Y49="GBP", Transactions!$Q$2="GBP"), AL49,
            AND(Y49="GBP", Transactions!$Q$2="USD"), AL49*Transactions!$Z$6,
            AND(Y49="GBP", Transactions!$Q$2="HKD"), AL49*Transactions!$Z$7,
            AND(Y49="HKG", Transactions!$Q$2="HKG"), AL49,
            AND(Y49="HKD", Transactions!$Q$2="USD"), AL49*Transactions!$Z$9,
            AND(Y49="HKD", Transactions!$Q$2="GBP"), AL49*Transactions!$Z$10,
            AND(Y49="HKD", Transactions!$Q$2="EUR"), AL49*Transactions!$Z$11,
            AND(Y49="EUR", Transactions!$Q$2="EUR"), AL49,
            AND(Y49="EUR", Transactions!$Q$2="USD"), AL49*Transactions!$Z$12,
            AND(Y49="EUR", Transactions!$Q$2="GBP"), AL49*Transactions!$Z$13,
            AND(Y49="EUR", Transactions!$Q$2="HKD"), AL49*Transactions!$Z$14,
        ),
        0
    )
)</f>
        <v>0</v>
      </c>
      <c r="N49" s="120" cm="1">
        <f t="array" ref="N49">IF($A49="", "",
    IFERROR(
        _xlfn.SWITCH(
            TRUE,
            AND(Y49="USD", Transactions!$Q$2="USD"), AM49,
            AND(Y49="USD", Transactions!$Q$2="GBP"), AM49*Transactions!$Z$3,
            AND(Y49="USD", Transactions!$Q$2="HKD"), AM49*Transactions!$Z$4,
            AND(Y49="USD", Transactions!$Q$2="EUR"), AM49*Transactions!$Z$5,
            AND(Y49="GBP", Transactions!$Q$2="GBP"), AM49,
            AND(Y49="GBP", Transactions!$Q$2="USD"), AM49*Transactions!$Z$6,
            AND(Y49="GBP", Transactions!$Q$2="HKD"), AM49*Transactions!$Z$7,
            AND(Y49="HKG", Transactions!$Q$2="HKG"), AM49,
            AND(Y49="HKD", Transactions!$Q$2="USD"), AM49*Transactions!$Z$9,
            AND(Y49="HKD", Transactions!$Q$2="GBP"), AM49*Transactions!$Z$10,
            AND(Y49="HKD", Transactions!$Q$2="EUR"), AM49*Transactions!$Z$11,
            AND(Y49="EUR", Transactions!$Q$2="EUR"), AM49,
            AND(Y49="EUR", Transactions!$Q$2="USD"), AM49*Transactions!$Z$12,
            AND(Y49="EUR", Transactions!$Q$2="GBP"), AM49*Transactions!$Z$13,
            AND(Y49="EUR", Transactions!$Q$2="HKD"), AM49*Transactions!$Z$14,
        ),
        0
    )
)</f>
        <v>329.28000000000003</v>
      </c>
      <c r="O49" s="145"/>
      <c r="P49" s="145"/>
      <c r="Q49" s="41">
        <f t="shared" si="24"/>
        <v>2.9067102668069791E-3</v>
      </c>
      <c r="S49" s="41">
        <f t="shared" si="25"/>
        <v>2.9067102668069791E-3</v>
      </c>
      <c r="T49" s="1" t="str">
        <f t="shared" si="26"/>
        <v>Crypto</v>
      </c>
      <c r="U49" s="41">
        <f t="shared" si="27"/>
        <v>0.81515627319794193</v>
      </c>
      <c r="V49" s="41">
        <f t="shared" si="28"/>
        <v>0</v>
      </c>
      <c r="W49" s="41">
        <f t="shared" si="29"/>
        <v>0.81515627319794193</v>
      </c>
      <c r="X49" s="1" t="str">
        <f t="shared" si="29"/>
        <v>Layer 1</v>
      </c>
      <c r="Y49" s="17" t="str">
        <f>IFERROR(IF(ISBLANK(AA49), "", IF(VLOOKUP(AA49, Transactions!D:F, 3, FALSE) = "Stablecoin", AA49, INDEX(Transactions!$B$3:$B1053, MATCH(AA49, Transactions!$D$3:$D1053, 0)))), "")</f>
        <v>USD</v>
      </c>
      <c r="Z49" s="1" t="str">
        <f>_xlfn.XLOOKUP(AA49,Transactions!$D$3:$D$1007,Transactions!$E$3:$E$1007)</f>
        <v>Wrapped AVAX</v>
      </c>
      <c r="AA49" s="1" t="str">
        <v>WAVAX</v>
      </c>
      <c r="AB49" s="118" cm="1">
        <f t="array" ref="AB49">IF(ISBLANK(AA49), "",
    SUMPRODUCT(
        (Transactions!$D$3:$D$1007=AA49) *
        (Transactions!$H$3:$H$1007={"Cash Deposit","Crypto Deposit","Buy","Transfer Deposit","DRIP","Airdrop/Rewards"}) *
        Transactions!$I$3:$I$1007
    )
    - SUMPRODUCT(
        (Transactions!$D$3:$D$1007=AA49) *
        (Transactions!$H$3:$H$1007={"Sell","Transfer Send","Cash Withdrawal","Crypto Withdrawal"}) *
        Transactions!$I$3:$I$1007
    )
)</f>
        <v>8</v>
      </c>
      <c r="AC49" s="2" cm="1">
        <f t="array" ref="AC49">IF(ISBLANK(AA49), "", LOOKUP(2, 1/(Transactions!D:D=AA49), Transactions!P:P))</f>
        <v>17.11</v>
      </c>
      <c r="AD49" s="2" cm="1">
        <f t="array" ref="AD49">IF(ISBLANK(AA49),"",IFERROR(_FV(AA49,"price"),INDEX('CoinGeko API'!E:E,MATCH(Portfolio_v2!AA49,'CoinGeko API'!C:C,0))))</f>
        <v>58.27</v>
      </c>
      <c r="AF49" s="39" cm="1">
        <f t="array" ref="AF49">IF(ISBLANK(AA49),"",IFERROR(_FV(AA49,"Change (%)",TRUE),INDEX('CoinGeko API'!G:G,MATCH(Portfolio_v2!AA49,'CoinGeko API'!C:C,0))))</f>
        <v>4.4882499999999999E-2</v>
      </c>
      <c r="AG49" s="34" cm="1">
        <f t="array" ref="AG49">IF(ISBLANK(AA49),"",IFERROR(_FV(AA49,"change"),INDEX('CoinGeko API'!F:F,MATCH(Portfolio_v2!AA49,'CoinGeko API'!C:C,0))))</f>
        <v>2.5</v>
      </c>
      <c r="AH49" s="2">
        <f t="shared" si="13"/>
        <v>136.88</v>
      </c>
      <c r="AI49" s="2">
        <f t="shared" si="14"/>
        <v>466.16</v>
      </c>
      <c r="AJ49" s="40">
        <f t="shared" si="15"/>
        <v>2.4056107539450617</v>
      </c>
      <c r="AK49" s="2">
        <f t="shared" si="16"/>
        <v>329.28000000000003</v>
      </c>
      <c r="AL49" s="119">
        <f>IF(OR(ISBLANK(AA49), COUNTIFS(Transactions!$D$3:$D1053, AA49) = 0), "",
    SUMIFS(Transactions!$M$3:$M1053, Transactions!$H$3:$H1053, "Sell", Transactions!$D$3:$D1053, AA49) +
    SUMIFS(Transactions!$M$3:$M1053, Transactions!$H$3:$H1053, "Dividend", Transactions!$D$3:$D1053, AA49) -
    SUMIFS(Transactions!$M$3:$M1053, Transactions!$H$3:$H1053, "Buy", Transactions!$D$3:$D1053, AA49) -
    SUMIFS(Transactions!$M$3:$M1053, Transactions!$H$3:$H1053, "Crypto Deposit", Transactions!$D$3:$D1053, AA49) -
    SUMIFS(Transactions!$M$3:$M1053, Transactions!$H$3:$H1053, "DRIP", Transactions!$D$3:$D1053, AA49) +
    SUMIFS($AH$3:$AH1045, $AA$3:$AA1045, AA49) +
    SUMIFS(Transactions!$M$3:$M1053, Transactions!$L$3:$L1053, "Stablecoin", Transactions!$B$3:$B1053, AA49)
)</f>
        <v>0</v>
      </c>
      <c r="AM49" s="120">
        <f t="shared" si="17"/>
        <v>329.28000000000003</v>
      </c>
      <c r="AN49" s="145"/>
      <c r="AO49" s="145"/>
      <c r="AP49" s="41">
        <f t="shared" si="1"/>
        <v>2.9067102668069791E-3</v>
      </c>
      <c r="AR49" s="41">
        <f t="shared" si="18"/>
        <v>2.9067102668069791E-3</v>
      </c>
      <c r="AS49" s="1" t="str">
        <f>_xlfn.XLOOKUP(AA49,Transactions!$D$3:$D$1007,Transactions!$F$3:$F$1007)</f>
        <v>Crypto</v>
      </c>
      <c r="AT49" s="41">
        <f t="shared" si="19"/>
        <v>0.81515627319794193</v>
      </c>
      <c r="AU49" s="41">
        <f t="shared" si="20"/>
        <v>0</v>
      </c>
      <c r="AV49" s="41">
        <f t="shared" si="21"/>
        <v>0.81515627319794193</v>
      </c>
      <c r="AW49" s="18" t="s">
        <v>16</v>
      </c>
    </row>
    <row r="50" spans="1:49" ht="18" customHeight="1">
      <c r="A50" s="17" t="str">
        <f t="shared" si="2"/>
        <v>Wrapped Ethereum</v>
      </c>
      <c r="B50" s="1" t="str">
        <f t="shared" si="3"/>
        <v>WETH</v>
      </c>
      <c r="C50" s="118">
        <f t="shared" si="4"/>
        <v>1.2909999999999999</v>
      </c>
      <c r="D50" s="2" cm="1">
        <f t="array" ref="D50">IF($A50="", "",
    IFERROR(
        _xlfn.SWITCH(
            TRUE,
            AND(Y50="USD", Transactions!$Q$2="USD"), AC50,
            AND(Y50="USD", Transactions!$Q$2="GBP"), AC50*Transactions!$Z$3,
            AND(Y50="USD", Transactions!$Q$2="HKD"), AC50*Transactions!$Z$4,
            AND(Y50="USD", Transactions!$Q$2="EUR"), AC50*Transactions!$Z$5,
            AND(Y50="GBP", Transactions!$Q$2="GBP"), AC50,
            AND(Y50="GBP", Transactions!$Q$2="USD"), AC50*Transactions!$Z$6,
            AND(Y50="GBP", Transactions!$Q$2="HKD"), AC50*Transactions!$Z$7,
            AND(Y50="HKG", Transactions!$Q$2="HKG"), AC50,
            AND(Y50="HKD", Transactions!$Q$2="USD"), AC50*Transactions!$Z$9,
            AND(Y50="HKD", Transactions!$Q$2="GBP"), AC50*Transactions!$Z$10,
            AND(Y50="HKD", Transactions!$Q$2="EUR"), AC50*Transactions!$Z$11,
            AND(Y50="EUR", Transactions!$Q$2="EUR"), AC50,
            AND(Y50="EUR", Transactions!$Q$2="USD"), AC50*Transactions!$Z$12,
            AND(Y50="EUR", Transactions!$Q$2="GBP"), AC50*Transactions!$Z$13,
            AND(Y50="EUR", Transactions!$Q$2="HKD"), AC50*Transactions!$Z$14,
        ),
        0
    )
)</f>
        <v>2483.5500000000002</v>
      </c>
      <c r="E50" s="2" cm="1">
        <f t="array" ref="E50">IF($A50="", "",
    IFERROR(
        _xlfn.SWITCH(
            TRUE,
            AND(Y50="USD", Transactions!$Q$2="USD"), AD50,
            AND(Y50="USD", Transactions!$Q$2="GBP"), AD50*Transactions!$Z$3,
            AND(Y50="USD", Transactions!$Q$2="HKD"), AD50*Transactions!$Z$4,
            AND(Y50="USD", Transactions!$Q$2="EUR"), AD50*Transactions!$Z$5,
            AND(Y50="GBP", Transactions!$Q$2="GBP"), AD50,
            AND(Y50="GBP", Transactions!$Q$2="USD"), AD50*Transactions!$Z$6,
            AND(Y50="GBP", Transactions!$Q$2="HKD"), AD50*Transactions!$Z$7,
            AND(Y50="HKG", Transactions!$Q$2="HKG"), AD50,
            AND(Y50="HKD", Transactions!$Q$2="USD"), AD50*Transactions!$Z$9,
            AND(Y50="HKD", Transactions!$Q$2="GBP"), AD50*Transactions!$Z$10,
            AND(Y50="HKD", Transactions!$Q$2="EUR"), AD50*Transactions!$Z$11,
            AND(Y50="EUR", Transactions!$Q$2="EUR"), AD50,
            AND(Y50="EUR", Transactions!$Q$2="USD"), AD50*Transactions!$Z$12,
            AND(Y50="EUR", Transactions!$Q$2="GBP"), AD50*Transactions!$Z$13,
            AND(Y50="EUR", Transactions!$Q$2="HKD"), AD50*Transactions!$Z$14,
        ),
        0
    )
)</f>
        <v>3606.32</v>
      </c>
      <c r="G50" s="121">
        <f t="shared" si="30"/>
        <v>5.1804099999999999E-2</v>
      </c>
      <c r="H50" s="34" cm="1">
        <f t="array" ref="H50">IF($A50="", "",
    IFERROR(
        _xlfn.SWITCH(
            TRUE,
            AND(Y50="USD", Transactions!$Q$2="USD"), AG50,
            AND(Y50="USD", Transactions!$Q$2="GBP"), AG50*Transactions!$Z$3,
            AND(Y50="USD", Transactions!$Q$2="HKD"), AG50*Transactions!$Z$4,
            AND(Y50="USD", Transactions!$Q$2="EUR"), AG50*Transactions!$Z$5,
            AND(Y50="GBP", Transactions!$Q$2="GBP"), AG50,
            AND(Y50="GBP", Transactions!$Q$2="USD"), AG50*Transactions!$Z$6,
            AND(Y50="GBP", Transactions!$Q$2="HKD"), AG50*Transactions!$Z$7,
            AND(Y50="HKG", Transactions!$Q$2="HKG"), AG50,
            AND(Y50="HKD", Transactions!$Q$2="USD"), AG50*Transactions!$Z$9,
            AND(Y50="HKD", Transactions!$Q$2="GBP"), AG50*Transactions!$Z$10,
            AND(Y50="HKD", Transactions!$Q$2="EUR"), AG50*Transactions!$Z$11,
            AND(Y50="EUR", Transactions!$Q$2="EUR"), AG50,
            AND(Y50="EUR", Transactions!$Q$2="USD"), AG50*Transactions!$Z$12,
            AND(Y50="EUR", Transactions!$Q$2="GBP"), AG50*Transactions!$Z$13,
            AND(Y50="EUR", Transactions!$Q$2="HKD"), AG50*Transactions!$Z$14,
        ),
        0
    )
)</f>
        <v>177.62</v>
      </c>
      <c r="I50" s="2" cm="1">
        <f t="array" ref="I50">IF($A50="", "",
    IFERROR(
        _xlfn.SWITCH(
            TRUE,
            AND(Y50="USD", Transactions!$Q$2="USD"), AH50,
            AND(Y50="USD", Transactions!$Q$2="GBP"), AH50*Transactions!$Z$3,
            AND(Y50="USD", Transactions!$Q$2="HKD"), AH50*Transactions!$Z$4,
            AND(Y50="USD", Transactions!$Q$2="EUR"), AH50*Transactions!$Z$5,
            AND(Y50="GBP", Transactions!$Q$2="GBP"), AH50,
            AND(Y50="GBP", Transactions!$Q$2="USD"), AH50*Transactions!$Z$6,
            AND(Y50="GBP", Transactions!$Q$2="HKD"), AH50*Transactions!$Z$7,
            AND(Y50="HKG", Transactions!$Q$2="HKG"), AH50,
            AND(Y50="HKD", Transactions!$Q$2="USD"), AH50*Transactions!$Z$9,
            AND(Y50="HKD", Transactions!$Q$2="GBP"), AH50*Transactions!$Z$10,
            AND(Y50="HKD", Transactions!$Q$2="EUR"), AH50*Transactions!$Z$11,
            AND(Y50="EUR", Transactions!$Q$2="EUR"), AH50,
            AND(Y50="EUR", Transactions!$Q$2="USD"), AH50*Transactions!$Z$12,
            AND(Y50="EUR", Transactions!$Q$2="GBP"), AH50*Transactions!$Z$13,
            AND(Y50="EUR", Transactions!$Q$2="HKD"), AH50*Transactions!$Z$14,
        ),
        0
    )
)</f>
        <v>3206.26305</v>
      </c>
      <c r="J50" s="2" cm="1">
        <f t="array" ref="J50">IF($A50="", "",
    IFERROR(
        _xlfn.SWITCH(
            TRUE,
            AND(Y50="USD", Transactions!$Q$2="USD"), AI50,
            AND(Y50="USD", Transactions!$Q$2="GBP"), AI50*Transactions!$Z$3,
            AND(Y50="USD", Transactions!$Q$2="HKD"), AI50*Transactions!$Z$4,
            AND(Y50="USD", Transactions!$Q$2="EUR"), AI50*Transactions!$Z$5,
            AND(Y50="GBP", Transactions!$Q$2="GBP"), AI50,
            AND(Y50="GBP", Transactions!$Q$2="USD"), AI50*Transactions!$Z$6,
            AND(Y50="GBP", Transactions!$Q$2="HKD"), AI50*Transactions!$Z$7,
            AND(Y50="HKG", Transactions!$Q$2="HKG"), AI50,
            AND(Y50="HKD", Transactions!$Q$2="USD"), AI50*Transactions!$Z$9,
            AND(Y50="HKD", Transactions!$Q$2="GBP"), AI50*Transactions!$Z$10,
            AND(Y50="HKD", Transactions!$Q$2="EUR"), AI50*Transactions!$Z$11,
            AND(Y50="EUR", Transactions!$Q$2="EUR"), AI50,
            AND(Y50="EUR", Transactions!$Q$2="USD"), AI50*Transactions!$Z$12,
            AND(Y50="EUR", Transactions!$Q$2="GBP"), AI50*Transactions!$Z$13,
            AND(Y50="EUR", Transactions!$Q$2="HKD"), AI50*Transactions!$Z$14,
        ),
        0
    )
)</f>
        <v>4655.7591199999997</v>
      </c>
      <c r="K50" s="41">
        <f t="shared" si="23"/>
        <v>0.45208270419359375</v>
      </c>
      <c r="L50" s="2" cm="1">
        <f t="array" ref="L50">IF($A50="", "",
    IFERROR(
        _xlfn.SWITCH(
            TRUE,
            AND(Y50="USD", Transactions!$Q$2="USD"), AK50,
            AND(Y50="USD", Transactions!$Q$2="GBP"), AK50*Transactions!$Z$3,
            AND(Y50="USD", Transactions!$Q$2="HKD"), AK50*Transactions!$Z$4,
            AND(Y50="USD", Transactions!$Q$2="EUR"), AK50*Transactions!$Z$5,
            AND(Y50="GBP", Transactions!$Q$2="GBP"), AK50,
            AND(Y50="GBP", Transactions!$Q$2="USD"), AK50*Transactions!$Z$6,
            AND(Y50="GBP", Transactions!$Q$2="HKD"), AK50*Transactions!$Z$7,
            AND(Y50="HKG", Transactions!$Q$2="HKG"), AK50,
            AND(Y50="HKD", Transactions!$Q$2="USD"), AK50*Transactions!$Z$9,
            AND(Y50="HKD", Transactions!$Q$2="GBP"), AK50*Transactions!$Z$10,
            AND(Y50="HKD", Transactions!$Q$2="EUR"), AK50*Transactions!$Z$11,
            AND(Y50="EUR", Transactions!$Q$2="EUR"), AK50,
            AND(Y50="EUR", Transactions!$Q$2="USD"), AK50*Transactions!$Z$12,
            AND(Y50="EUR", Transactions!$Q$2="GBP"), AK50*Transactions!$Z$13,
            AND(Y50="EUR", Transactions!$Q$2="HKD"), AK50*Transactions!$Z$14,
        ),
        0
    )
)</f>
        <v>1449.4960699999997</v>
      </c>
      <c r="M50" s="119" cm="1">
        <f t="array" ref="M50">IF($A50="", "",
    IFERROR(
        _xlfn.SWITCH(
            TRUE,
            AND(Y50="USD", Transactions!$Q$2="USD"), AL50,
            AND(Y50="USD", Transactions!$Q$2="GBP"), AL50*Transactions!$Z$3,
            AND(Y50="USD", Transactions!$Q$2="HKD"), AL50*Transactions!$Z$4,
            AND(Y50="USD", Transactions!$Q$2="EUR"), AL50*Transactions!$Z$5,
            AND(Y50="GBP", Transactions!$Q$2="GBP"), AL50,
            AND(Y50="GBP", Transactions!$Q$2="USD"), AL50*Transactions!$Z$6,
            AND(Y50="GBP", Transactions!$Q$2="HKD"), AL50*Transactions!$Z$7,
            AND(Y50="HKG", Transactions!$Q$2="HKG"), AL50,
            AND(Y50="HKD", Transactions!$Q$2="USD"), AL50*Transactions!$Z$9,
            AND(Y50="HKD", Transactions!$Q$2="GBP"), AL50*Transactions!$Z$10,
            AND(Y50="HKD", Transactions!$Q$2="EUR"), AL50*Transactions!$Z$11,
            AND(Y50="EUR", Transactions!$Q$2="EUR"), AL50,
            AND(Y50="EUR", Transactions!$Q$2="USD"), AL50*Transactions!$Z$12,
            AND(Y50="EUR", Transactions!$Q$2="GBP"), AL50*Transactions!$Z$13,
            AND(Y50="EUR", Transactions!$Q$2="HKD"), AL50*Transactions!$Z$14,
        ),
        0
    )
)</f>
        <v>0</v>
      </c>
      <c r="N50" s="120" cm="1">
        <f t="array" ref="N50">IF($A50="", "",
    IFERROR(
        _xlfn.SWITCH(
            TRUE,
            AND(Y50="USD", Transactions!$Q$2="USD"), AM50,
            AND(Y50="USD", Transactions!$Q$2="GBP"), AM50*Transactions!$Z$3,
            AND(Y50="USD", Transactions!$Q$2="HKD"), AM50*Transactions!$Z$4,
            AND(Y50="USD", Transactions!$Q$2="EUR"), AM50*Transactions!$Z$5,
            AND(Y50="GBP", Transactions!$Q$2="GBP"), AM50,
            AND(Y50="GBP", Transactions!$Q$2="USD"), AM50*Transactions!$Z$6,
            AND(Y50="GBP", Transactions!$Q$2="HKD"), AM50*Transactions!$Z$7,
            AND(Y50="HKG", Transactions!$Q$2="HKG"), AM50,
            AND(Y50="HKD", Transactions!$Q$2="USD"), AM50*Transactions!$Z$9,
            AND(Y50="HKD", Transactions!$Q$2="GBP"), AM50*Transactions!$Z$10,
            AND(Y50="HKD", Transactions!$Q$2="EUR"), AM50*Transactions!$Z$11,
            AND(Y50="EUR", Transactions!$Q$2="EUR"), AM50,
            AND(Y50="EUR", Transactions!$Q$2="USD"), AM50*Transactions!$Z$12,
            AND(Y50="EUR", Transactions!$Q$2="GBP"), AM50*Transactions!$Z$13,
            AND(Y50="EUR", Transactions!$Q$2="HKD"), AM50*Transactions!$Z$14,
        ),
        0
    )
)</f>
        <v>1449.4960699999997</v>
      </c>
      <c r="O50" s="145"/>
      <c r="P50" s="145"/>
      <c r="Q50" s="41">
        <f t="shared" si="24"/>
        <v>2.9030682241900259E-2</v>
      </c>
      <c r="S50" s="41">
        <f t="shared" si="25"/>
        <v>2.9030682241900259E-2</v>
      </c>
      <c r="T50" s="1" t="str">
        <f t="shared" si="26"/>
        <v>Crypto</v>
      </c>
      <c r="U50" s="41">
        <f t="shared" si="27"/>
        <v>0.81515627319794193</v>
      </c>
      <c r="V50" s="41">
        <f t="shared" si="28"/>
        <v>0</v>
      </c>
      <c r="W50" s="41">
        <f t="shared" si="29"/>
        <v>0.81515627319794193</v>
      </c>
      <c r="X50" s="1" t="str">
        <f t="shared" si="29"/>
        <v>Ethereum</v>
      </c>
      <c r="Y50" s="17" t="str">
        <f>IFERROR(IF(ISBLANK(AA50), "", IF(VLOOKUP(AA50, Transactions!D:F, 3, FALSE) = "Stablecoin", AA50, INDEX(Transactions!$B$3:$B1054, MATCH(AA50, Transactions!$D$3:$D1054, 0)))), "")</f>
        <v>USD</v>
      </c>
      <c r="Z50" s="1" t="str">
        <f>_xlfn.XLOOKUP(AA50,Transactions!$D$3:$D$1007,Transactions!$E$3:$E$1007)</f>
        <v>Wrapped Ethereum</v>
      </c>
      <c r="AA50" s="1" t="str">
        <v>WETH</v>
      </c>
      <c r="AB50" s="118" cm="1">
        <f t="array" ref="AB50">IF(ISBLANK(AA50), "",
    SUMPRODUCT(
        (Transactions!$D$3:$D$1007=AA50) *
        (Transactions!$H$3:$H$1007={"Cash Deposit","Crypto Deposit","Buy","Transfer Deposit","DRIP","Airdrop/Rewards"}) *
        Transactions!$I$3:$I$1007
    )
    - SUMPRODUCT(
        (Transactions!$D$3:$D$1007=AA50) *
        (Transactions!$H$3:$H$1007={"Sell","Transfer Send","Cash Withdrawal","Crypto Withdrawal"}) *
        Transactions!$I$3:$I$1007
    )
)</f>
        <v>1.2909999999999999</v>
      </c>
      <c r="AC50" s="2" cm="1">
        <f t="array" ref="AC50">IF(ISBLANK(AA50), "", LOOKUP(2, 1/(Transactions!D:D=AA50), Transactions!P:P))</f>
        <v>2483.5500000000002</v>
      </c>
      <c r="AD50" s="2" cm="1">
        <f t="array" ref="AD50">IF(ISBLANK(AA50),"",IFERROR(_FV(AA50,"price"),INDEX('CoinGeko API'!E:E,MATCH(Portfolio_v2!AA50,'CoinGeko API'!C:C,0))))</f>
        <v>3606.32</v>
      </c>
      <c r="AF50" s="39" cm="1">
        <f t="array" ref="AF50">IF(ISBLANK(AA50),"",IFERROR(_FV(AA50,"Change (%)",TRUE),INDEX('CoinGeko API'!G:G,MATCH(Portfolio_v2!AA50,'CoinGeko API'!C:C,0))))</f>
        <v>5.1804099999999999E-2</v>
      </c>
      <c r="AG50" s="34" cm="1">
        <f t="array" ref="AG50">IF(ISBLANK(AA50),"",IFERROR(_FV(AA50,"change"),INDEX('CoinGeko API'!F:F,MATCH(Portfolio_v2!AA50,'CoinGeko API'!C:C,0))))</f>
        <v>177.62</v>
      </c>
      <c r="AH50" s="2">
        <f t="shared" si="13"/>
        <v>3206.26305</v>
      </c>
      <c r="AI50" s="2">
        <f t="shared" si="14"/>
        <v>4655.7591199999997</v>
      </c>
      <c r="AJ50" s="40">
        <f t="shared" si="15"/>
        <v>0.45208270419359375</v>
      </c>
      <c r="AK50" s="2">
        <f t="shared" si="16"/>
        <v>1449.4960699999997</v>
      </c>
      <c r="AL50" s="119">
        <f>IF(OR(ISBLANK(AA50), COUNTIFS(Transactions!$D$3:$D1054, AA50) = 0), "",
    SUMIFS(Transactions!$M$3:$M1054, Transactions!$H$3:$H1054, "Sell", Transactions!$D$3:$D1054, AA50) +
    SUMIFS(Transactions!$M$3:$M1054, Transactions!$H$3:$H1054, "Dividend", Transactions!$D$3:$D1054, AA50) -
    SUMIFS(Transactions!$M$3:$M1054, Transactions!$H$3:$H1054, "Buy", Transactions!$D$3:$D1054, AA50) -
    SUMIFS(Transactions!$M$3:$M1054, Transactions!$H$3:$H1054, "Crypto Deposit", Transactions!$D$3:$D1054, AA50) -
    SUMIFS(Transactions!$M$3:$M1054, Transactions!$H$3:$H1054, "DRIP", Transactions!$D$3:$D1054, AA50) +
    SUMIFS($AH$3:$AH1046, $AA$3:$AA1046, AA50) +
    SUMIFS(Transactions!$M$3:$M1054, Transactions!$L$3:$L1054, "Stablecoin", Transactions!$B$3:$B1054, AA50)
)</f>
        <v>0</v>
      </c>
      <c r="AM50" s="120">
        <f t="shared" si="17"/>
        <v>1449.4960699999997</v>
      </c>
      <c r="AN50" s="145"/>
      <c r="AO50" s="145"/>
      <c r="AP50" s="41">
        <f t="shared" si="1"/>
        <v>2.9030682241900259E-2</v>
      </c>
      <c r="AR50" s="41">
        <f t="shared" si="18"/>
        <v>2.9030682241900259E-2</v>
      </c>
      <c r="AS50" s="1" t="str">
        <f>_xlfn.XLOOKUP(AA50,Transactions!$D$3:$D$1007,Transactions!$F$3:$F$1007)</f>
        <v>Crypto</v>
      </c>
      <c r="AT50" s="41">
        <f t="shared" si="19"/>
        <v>0.81515627319794193</v>
      </c>
      <c r="AU50" s="41">
        <f t="shared" si="20"/>
        <v>0</v>
      </c>
      <c r="AV50" s="41">
        <f t="shared" si="21"/>
        <v>0.81515627319794193</v>
      </c>
      <c r="AW50" s="18" t="s">
        <v>24</v>
      </c>
    </row>
    <row r="51" spans="1:49" ht="18" customHeight="1">
      <c r="A51" s="17" t="str">
        <f t="shared" si="2"/>
        <v>Xai</v>
      </c>
      <c r="B51" s="1" t="str">
        <f t="shared" si="3"/>
        <v>XAI</v>
      </c>
      <c r="C51" s="118">
        <f t="shared" si="4"/>
        <v>0</v>
      </c>
      <c r="D51" s="2" cm="1">
        <f t="array" ref="D51">IF($A51="", "",
    IFERROR(
        _xlfn.SWITCH(
            TRUE,
            AND(Y51="USD", Transactions!$Q$2="USD"), AC51,
            AND(Y51="USD", Transactions!$Q$2="GBP"), AC51*Transactions!$Z$3,
            AND(Y51="USD", Transactions!$Q$2="HKD"), AC51*Transactions!$Z$4,
            AND(Y51="USD", Transactions!$Q$2="EUR"), AC51*Transactions!$Z$5,
            AND(Y51="GBP", Transactions!$Q$2="GBP"), AC51,
            AND(Y51="GBP", Transactions!$Q$2="USD"), AC51*Transactions!$Z$6,
            AND(Y51="GBP", Transactions!$Q$2="HKD"), AC51*Transactions!$Z$7,
            AND(Y51="HKG", Transactions!$Q$2="HKG"), AC51,
            AND(Y51="HKD", Transactions!$Q$2="USD"), AC51*Transactions!$Z$9,
            AND(Y51="HKD", Transactions!$Q$2="GBP"), AC51*Transactions!$Z$10,
            AND(Y51="HKD", Transactions!$Q$2="EUR"), AC51*Transactions!$Z$11,
            AND(Y51="EUR", Transactions!$Q$2="EUR"), AC51,
            AND(Y51="EUR", Transactions!$Q$2="USD"), AC51*Transactions!$Z$12,
            AND(Y51="EUR", Transactions!$Q$2="GBP"), AC51*Transactions!$Z$13,
            AND(Y51="EUR", Transactions!$Q$2="HKD"), AC51*Transactions!$Z$14,
        ),
        0
    )
)</f>
        <v>0.7</v>
      </c>
      <c r="E51" s="2" cm="1">
        <f t="array" ref="E51">IF($A51="", "",
    IFERROR(
        _xlfn.SWITCH(
            TRUE,
            AND(Y51="USD", Transactions!$Q$2="USD"), AD51,
            AND(Y51="USD", Transactions!$Q$2="GBP"), AD51*Transactions!$Z$3,
            AND(Y51="USD", Transactions!$Q$2="HKD"), AD51*Transactions!$Z$4,
            AND(Y51="USD", Transactions!$Q$2="EUR"), AD51*Transactions!$Z$5,
            AND(Y51="GBP", Transactions!$Q$2="GBP"), AD51,
            AND(Y51="GBP", Transactions!$Q$2="USD"), AD51*Transactions!$Z$6,
            AND(Y51="GBP", Transactions!$Q$2="HKD"), AD51*Transactions!$Z$7,
            AND(Y51="HKG", Transactions!$Q$2="HKG"), AD51,
            AND(Y51="HKD", Transactions!$Q$2="USD"), AD51*Transactions!$Z$9,
            AND(Y51="HKD", Transactions!$Q$2="GBP"), AD51*Transactions!$Z$10,
            AND(Y51="HKD", Transactions!$Q$2="EUR"), AD51*Transactions!$Z$11,
            AND(Y51="EUR", Transactions!$Q$2="EUR"), AD51,
            AND(Y51="EUR", Transactions!$Q$2="USD"), AD51*Transactions!$Z$12,
            AND(Y51="EUR", Transactions!$Q$2="GBP"), AD51*Transactions!$Z$13,
            AND(Y51="EUR", Transactions!$Q$2="HKD"), AD51*Transactions!$Z$14,
        ),
        0
    )
)</f>
        <v>1.29</v>
      </c>
      <c r="G51" s="121">
        <f t="shared" si="30"/>
        <v>4.9183000000000004E-2</v>
      </c>
      <c r="H51" s="34" cm="1">
        <f t="array" ref="H51">IF($A51="", "",
    IFERROR(
        _xlfn.SWITCH(
            TRUE,
            AND(Y51="USD", Transactions!$Q$2="USD"), AG51,
            AND(Y51="USD", Transactions!$Q$2="GBP"), AG51*Transactions!$Z$3,
            AND(Y51="USD", Transactions!$Q$2="HKD"), AG51*Transactions!$Z$4,
            AND(Y51="USD", Transactions!$Q$2="EUR"), AG51*Transactions!$Z$5,
            AND(Y51="GBP", Transactions!$Q$2="GBP"), AG51,
            AND(Y51="GBP", Transactions!$Q$2="USD"), AG51*Transactions!$Z$6,
            AND(Y51="GBP", Transactions!$Q$2="HKD"), AG51*Transactions!$Z$7,
            AND(Y51="HKG", Transactions!$Q$2="HKG"), AG51,
            AND(Y51="HKD", Transactions!$Q$2="USD"), AG51*Transactions!$Z$9,
            AND(Y51="HKD", Transactions!$Q$2="GBP"), AG51*Transactions!$Z$10,
            AND(Y51="HKD", Transactions!$Q$2="EUR"), AG51*Transactions!$Z$11,
            AND(Y51="EUR", Transactions!$Q$2="EUR"), AG51,
            AND(Y51="EUR", Transactions!$Q$2="USD"), AG51*Transactions!$Z$12,
            AND(Y51="EUR", Transactions!$Q$2="GBP"), AG51*Transactions!$Z$13,
            AND(Y51="EUR", Transactions!$Q$2="HKD"), AG51*Transactions!$Z$14,
        ),
        0
    )
)</f>
        <v>6.0262000000000003E-2</v>
      </c>
      <c r="I51" s="2" cm="1">
        <f t="array" ref="I51">IF($A51="", "",
    IFERROR(
        _xlfn.SWITCH(
            TRUE,
            AND(Y51="USD", Transactions!$Q$2="USD"), AH51,
            AND(Y51="USD", Transactions!$Q$2="GBP"), AH51*Transactions!$Z$3,
            AND(Y51="USD", Transactions!$Q$2="HKD"), AH51*Transactions!$Z$4,
            AND(Y51="USD", Transactions!$Q$2="EUR"), AH51*Transactions!$Z$5,
            AND(Y51="GBP", Transactions!$Q$2="GBP"), AH51,
            AND(Y51="GBP", Transactions!$Q$2="USD"), AH51*Transactions!$Z$6,
            AND(Y51="GBP", Transactions!$Q$2="HKD"), AH51*Transactions!$Z$7,
            AND(Y51="HKG", Transactions!$Q$2="HKG"), AH51,
            AND(Y51="HKD", Transactions!$Q$2="USD"), AH51*Transactions!$Z$9,
            AND(Y51="HKD", Transactions!$Q$2="GBP"), AH51*Transactions!$Z$10,
            AND(Y51="HKD", Transactions!$Q$2="EUR"), AH51*Transactions!$Z$11,
            AND(Y51="EUR", Transactions!$Q$2="EUR"), AH51,
            AND(Y51="EUR", Transactions!$Q$2="USD"), AH51*Transactions!$Z$12,
            AND(Y51="EUR", Transactions!$Q$2="GBP"), AH51*Transactions!$Z$13,
            AND(Y51="EUR", Transactions!$Q$2="HKD"), AH51*Transactions!$Z$14,
        ),
        0
    )
)</f>
        <v>0</v>
      </c>
      <c r="J51" s="2" cm="1">
        <f t="array" ref="J51">IF($A51="", "",
    IFERROR(
        _xlfn.SWITCH(
            TRUE,
            AND(Y51="USD", Transactions!$Q$2="USD"), AI51,
            AND(Y51="USD", Transactions!$Q$2="GBP"), AI51*Transactions!$Z$3,
            AND(Y51="USD", Transactions!$Q$2="HKD"), AI51*Transactions!$Z$4,
            AND(Y51="USD", Transactions!$Q$2="EUR"), AI51*Transactions!$Z$5,
            AND(Y51="GBP", Transactions!$Q$2="GBP"), AI51,
            AND(Y51="GBP", Transactions!$Q$2="USD"), AI51*Transactions!$Z$6,
            AND(Y51="GBP", Transactions!$Q$2="HKD"), AI51*Transactions!$Z$7,
            AND(Y51="HKG", Transactions!$Q$2="HKG"), AI51,
            AND(Y51="HKD", Transactions!$Q$2="USD"), AI51*Transactions!$Z$9,
            AND(Y51="HKD", Transactions!$Q$2="GBP"), AI51*Transactions!$Z$10,
            AND(Y51="HKD", Transactions!$Q$2="EUR"), AI51*Transactions!$Z$11,
            AND(Y51="EUR", Transactions!$Q$2="EUR"), AI51,
            AND(Y51="EUR", Transactions!$Q$2="USD"), AI51*Transactions!$Z$12,
            AND(Y51="EUR", Transactions!$Q$2="GBP"), AI51*Transactions!$Z$13,
            AND(Y51="EUR", Transactions!$Q$2="HKD"), AI51*Transactions!$Z$14,
        ),
        0
    )
)</f>
        <v>0</v>
      </c>
      <c r="K51" s="41">
        <f t="shared" si="23"/>
        <v>0</v>
      </c>
      <c r="L51" s="2" cm="1">
        <f t="array" ref="L51">IF($A51="", "",
    IFERROR(
        _xlfn.SWITCH(
            TRUE,
            AND(Y51="USD", Transactions!$Q$2="USD"), AK51,
            AND(Y51="USD", Transactions!$Q$2="GBP"), AK51*Transactions!$Z$3,
            AND(Y51="USD", Transactions!$Q$2="HKD"), AK51*Transactions!$Z$4,
            AND(Y51="USD", Transactions!$Q$2="EUR"), AK51*Transactions!$Z$5,
            AND(Y51="GBP", Transactions!$Q$2="GBP"), AK51,
            AND(Y51="GBP", Transactions!$Q$2="USD"), AK51*Transactions!$Z$6,
            AND(Y51="GBP", Transactions!$Q$2="HKD"), AK51*Transactions!$Z$7,
            AND(Y51="HKG", Transactions!$Q$2="HKG"), AK51,
            AND(Y51="HKD", Transactions!$Q$2="USD"), AK51*Transactions!$Z$9,
            AND(Y51="HKD", Transactions!$Q$2="GBP"), AK51*Transactions!$Z$10,
            AND(Y51="HKD", Transactions!$Q$2="EUR"), AK51*Transactions!$Z$11,
            AND(Y51="EUR", Transactions!$Q$2="EUR"), AK51,
            AND(Y51="EUR", Transactions!$Q$2="USD"), AK51*Transactions!$Z$12,
            AND(Y51="EUR", Transactions!$Q$2="GBP"), AK51*Transactions!$Z$13,
            AND(Y51="EUR", Transactions!$Q$2="HKD"), AK51*Transactions!$Z$14,
        ),
        0
    )
)</f>
        <v>0</v>
      </c>
      <c r="M51" s="119" cm="1">
        <f t="array" ref="M51">IF($A51="", "",
    IFERROR(
        _xlfn.SWITCH(
            TRUE,
            AND(Y51="USD", Transactions!$Q$2="USD"), AL51,
            AND(Y51="USD", Transactions!$Q$2="GBP"), AL51*Transactions!$Z$3,
            AND(Y51="USD", Transactions!$Q$2="HKD"), AL51*Transactions!$Z$4,
            AND(Y51="USD", Transactions!$Q$2="EUR"), AL51*Transactions!$Z$5,
            AND(Y51="GBP", Transactions!$Q$2="GBP"), AL51,
            AND(Y51="GBP", Transactions!$Q$2="USD"), AL51*Transactions!$Z$6,
            AND(Y51="GBP", Transactions!$Q$2="HKD"), AL51*Transactions!$Z$7,
            AND(Y51="HKG", Transactions!$Q$2="HKG"), AL51,
            AND(Y51="HKD", Transactions!$Q$2="USD"), AL51*Transactions!$Z$9,
            AND(Y51="HKD", Transactions!$Q$2="GBP"), AL51*Transactions!$Z$10,
            AND(Y51="HKD", Transactions!$Q$2="EUR"), AL51*Transactions!$Z$11,
            AND(Y51="EUR", Transactions!$Q$2="EUR"), AL51,
            AND(Y51="EUR", Transactions!$Q$2="USD"), AL51*Transactions!$Z$12,
            AND(Y51="EUR", Transactions!$Q$2="GBP"), AL51*Transactions!$Z$13,
            AND(Y51="EUR", Transactions!$Q$2="HKD"), AL51*Transactions!$Z$14,
        ),
        0
    )
)</f>
        <v>28.461510000000004</v>
      </c>
      <c r="N51" s="120" cm="1">
        <f t="array" ref="N51">IF($A51="", "",
    IFERROR(
        _xlfn.SWITCH(
            TRUE,
            AND(Y51="USD", Transactions!$Q$2="USD"), AM51,
            AND(Y51="USD", Transactions!$Q$2="GBP"), AM51*Transactions!$Z$3,
            AND(Y51="USD", Transactions!$Q$2="HKD"), AM51*Transactions!$Z$4,
            AND(Y51="USD", Transactions!$Q$2="EUR"), AM51*Transactions!$Z$5,
            AND(Y51="GBP", Transactions!$Q$2="GBP"), AM51,
            AND(Y51="GBP", Transactions!$Q$2="USD"), AM51*Transactions!$Z$6,
            AND(Y51="GBP", Transactions!$Q$2="HKD"), AM51*Transactions!$Z$7,
            AND(Y51="HKG", Transactions!$Q$2="HKG"), AM51,
            AND(Y51="HKD", Transactions!$Q$2="USD"), AM51*Transactions!$Z$9,
            AND(Y51="HKD", Transactions!$Q$2="GBP"), AM51*Transactions!$Z$10,
            AND(Y51="HKD", Transactions!$Q$2="EUR"), AM51*Transactions!$Z$11,
            AND(Y51="EUR", Transactions!$Q$2="EUR"), AM51,
            AND(Y51="EUR", Transactions!$Q$2="USD"), AM51*Transactions!$Z$12,
            AND(Y51="EUR", Transactions!$Q$2="GBP"), AM51*Transactions!$Z$13,
            AND(Y51="EUR", Transactions!$Q$2="HKD"), AM51*Transactions!$Z$14,
        ),
        0
    )
)</f>
        <v>28.461510000000004</v>
      </c>
      <c r="O51" s="145"/>
      <c r="P51" s="145"/>
      <c r="Q51" s="41">
        <f t="shared" si="24"/>
        <v>0</v>
      </c>
      <c r="S51" s="41">
        <f t="shared" si="25"/>
        <v>0</v>
      </c>
      <c r="T51" s="1" t="str">
        <f t="shared" si="26"/>
        <v>Crypto</v>
      </c>
      <c r="U51" s="41">
        <f t="shared" si="27"/>
        <v>0.81515627319794193</v>
      </c>
      <c r="V51" s="41">
        <f t="shared" si="28"/>
        <v>0</v>
      </c>
      <c r="W51" s="41">
        <f t="shared" si="29"/>
        <v>0.81515627319794193</v>
      </c>
      <c r="X51" s="1" t="str">
        <f t="shared" si="29"/>
        <v>Luanchpool</v>
      </c>
      <c r="Y51" s="17" t="str">
        <f>IFERROR(IF(ISBLANK(AA51), "", IF(VLOOKUP(AA51, Transactions!D:F, 3, FALSE) = "Stablecoin", AA51, INDEX(Transactions!$B$3:$B1055, MATCH(AA51, Transactions!$D$3:$D1055, 0)))), "")</f>
        <v>USD</v>
      </c>
      <c r="Z51" s="1" t="str">
        <f>_xlfn.XLOOKUP(AA51,Transactions!$D$3:$D$1007,Transactions!$E$3:$E$1007)</f>
        <v>Xai</v>
      </c>
      <c r="AA51" s="1" t="str">
        <v>XAI</v>
      </c>
      <c r="AB51" s="118" cm="1">
        <f t="array" ref="AB51">IF(ISBLANK(AA51), "",
    SUMPRODUCT(
        (Transactions!$D$3:$D$1007=AA51) *
        (Transactions!$H$3:$H$1007={"Cash Deposit","Crypto Deposit","Buy","Transfer Deposit","DRIP","Airdrop/Rewards"}) *
        Transactions!$I$3:$I$1007
    )
    - SUMPRODUCT(
        (Transactions!$D$3:$D$1007=AA51) *
        (Transactions!$H$3:$H$1007={"Sell","Transfer Send","Cash Withdrawal","Crypto Withdrawal"}) *
        Transactions!$I$3:$I$1007
    )
)</f>
        <v>0</v>
      </c>
      <c r="AC51" s="2" cm="1">
        <f t="array" ref="AC51">IF(ISBLANK(AA51), "", LOOKUP(2, 1/(Transactions!D:D=AA51), Transactions!P:P))</f>
        <v>0.7</v>
      </c>
      <c r="AD51" s="2" cm="1">
        <f t="array" ref="AD51">IF(ISBLANK(AA51),"",IFERROR(_FV(AA51,"price"),INDEX('CoinGeko API'!E:E,MATCH(Portfolio_v2!AA51,'CoinGeko API'!C:C,0))))</f>
        <v>1.29</v>
      </c>
      <c r="AF51" s="39" cm="1">
        <f t="array" ref="AF51">IF(ISBLANK(AA51),"",IFERROR(_FV(AA51,"Change (%)",TRUE),INDEX('CoinGeko API'!G:G,MATCH(Portfolio_v2!AA51,'CoinGeko API'!C:C,0))))</f>
        <v>4.9183000000000004E-2</v>
      </c>
      <c r="AG51" s="34" cm="1">
        <f t="array" ref="AG51">IF(ISBLANK(AA51),"",IFERROR(_FV(AA51,"change"),INDEX('CoinGeko API'!F:F,MATCH(Portfolio_v2!AA51,'CoinGeko API'!C:C,0))))</f>
        <v>6.0262000000000003E-2</v>
      </c>
      <c r="AH51" s="2">
        <f t="shared" si="13"/>
        <v>0</v>
      </c>
      <c r="AI51" s="2">
        <f t="shared" si="14"/>
        <v>0</v>
      </c>
      <c r="AJ51" s="40">
        <f t="shared" si="15"/>
        <v>0</v>
      </c>
      <c r="AK51" s="2">
        <f t="shared" si="16"/>
        <v>0</v>
      </c>
      <c r="AL51" s="119">
        <f>IF(OR(ISBLANK(AA51), COUNTIFS(Transactions!$D$3:$D1055, AA51) = 0), "",
    SUMIFS(Transactions!$M$3:$M1055, Transactions!$H$3:$H1055, "Sell", Transactions!$D$3:$D1055, AA51) +
    SUMIFS(Transactions!$M$3:$M1055, Transactions!$H$3:$H1055, "Dividend", Transactions!$D$3:$D1055, AA51) -
    SUMIFS(Transactions!$M$3:$M1055, Transactions!$H$3:$H1055, "Buy", Transactions!$D$3:$D1055, AA51) -
    SUMIFS(Transactions!$M$3:$M1055, Transactions!$H$3:$H1055, "Crypto Deposit", Transactions!$D$3:$D1055, AA51) -
    SUMIFS(Transactions!$M$3:$M1055, Transactions!$H$3:$H1055, "DRIP", Transactions!$D$3:$D1055, AA51) +
    SUMIFS($AH$3:$AH1047, $AA$3:$AA1047, AA51) +
    SUMIFS(Transactions!$M$3:$M1055, Transactions!$L$3:$L1055, "Stablecoin", Transactions!$B$3:$B1055, AA51)
)</f>
        <v>28.461510000000004</v>
      </c>
      <c r="AM51" s="120">
        <f t="shared" si="17"/>
        <v>28.461510000000004</v>
      </c>
      <c r="AN51" s="145"/>
      <c r="AO51" s="145"/>
      <c r="AP51" s="41">
        <f t="shared" si="1"/>
        <v>0</v>
      </c>
      <c r="AR51" s="41">
        <f t="shared" si="18"/>
        <v>0</v>
      </c>
      <c r="AS51" s="1" t="str">
        <f>_xlfn.XLOOKUP(AA51,Transactions!$D$3:$D$1007,Transactions!$F$3:$F$1007)</f>
        <v>Crypto</v>
      </c>
      <c r="AT51" s="41">
        <f>IF(ISBLANK(AD51),"",SUMIF($AS:$AS,AS51,$AP:$AP))</f>
        <v>0.81515627319794193</v>
      </c>
      <c r="AU51" s="41">
        <f t="shared" si="20"/>
        <v>0</v>
      </c>
      <c r="AV51" s="41">
        <f t="shared" si="21"/>
        <v>0.81515627319794193</v>
      </c>
      <c r="AW51" s="18" t="s">
        <v>478</v>
      </c>
    </row>
    <row r="52" spans="1:49" ht="18" customHeight="1">
      <c r="A52" s="17" t="str">
        <f t="shared" si="2"/>
        <v>Ark Innovation ETF</v>
      </c>
      <c r="B52" s="1" t="e" vm="19">
        <f t="shared" si="3"/>
        <v>#VALUE!</v>
      </c>
      <c r="C52" s="132">
        <f t="shared" si="4"/>
        <v>0</v>
      </c>
      <c r="D52" s="2" cm="1">
        <f t="array" ref="D52">IF($A52="", "",
    IFERROR(
        _xlfn.SWITCH(
            TRUE,
            AND(Y52="USD", Transactions!$Q$2="USD"), AC52,
            AND(Y52="USD", Transactions!$Q$2="GBP"), AC52*Transactions!$Z$3,
            AND(Y52="USD", Transactions!$Q$2="HKD"), AC52*Transactions!$Z$4,
            AND(Y52="USD", Transactions!$Q$2="EUR"), AC52*Transactions!$Z$5,
            AND(Y52="GBP", Transactions!$Q$2="GBP"), AC52,
            AND(Y52="GBP", Transactions!$Q$2="USD"), AC52*Transactions!$Z$6,
            AND(Y52="GBP", Transactions!$Q$2="HKD"), AC52*Transactions!$Z$7,
            AND(Y52="HKG", Transactions!$Q$2="HKG"), AC52,
            AND(Y52="HKD", Transactions!$Q$2="USD"), AC52*Transactions!$Z$9,
            AND(Y52="HKD", Transactions!$Q$2="GBP"), AC52*Transactions!$Z$10,
            AND(Y52="HKD", Transactions!$Q$2="EUR"), AC52*Transactions!$Z$11,
            AND(Y52="EUR", Transactions!$Q$2="EUR"), AC52,
            AND(Y52="EUR", Transactions!$Q$2="USD"), AC52*Transactions!$Z$12,
            AND(Y52="EUR", Transactions!$Q$2="GBP"), AC52*Transactions!$Z$13,
            AND(Y52="EUR", Transactions!$Q$2="HKD"), AC52*Transactions!$Z$14,
        ),
        0
    )
)</f>
        <v>38.6</v>
      </c>
      <c r="E52" s="2" cm="1">
        <f t="array" ref="E52">IF($A52="", "",
    IFERROR(
        _xlfn.SWITCH(
            TRUE,
            AND(Y52="USD", Transactions!$Q$2="USD"), AD52,
            AND(Y52="USD", Transactions!$Q$2="GBP"), AD52*Transactions!$Z$3,
            AND(Y52="USD", Transactions!$Q$2="HKD"), AD52*Transactions!$Z$4,
            AND(Y52="USD", Transactions!$Q$2="EUR"), AD52*Transactions!$Z$5,
            AND(Y52="GBP", Transactions!$Q$2="GBP"), AD52,
            AND(Y52="GBP", Transactions!$Q$2="USD"), AD52*Transactions!$Z$6,
            AND(Y52="GBP", Transactions!$Q$2="HKD"), AD52*Transactions!$Z$7,
            AND(Y52="HKG", Transactions!$Q$2="HKG"), AD52,
            AND(Y52="HKD", Transactions!$Q$2="USD"), AD52*Transactions!$Z$9,
            AND(Y52="HKD", Transactions!$Q$2="GBP"), AD52*Transactions!$Z$10,
            AND(Y52="HKD", Transactions!$Q$2="EUR"), AD52*Transactions!$Z$11,
            AND(Y52="EUR", Transactions!$Q$2="EUR"), AD52,
            AND(Y52="EUR", Transactions!$Q$2="USD"), AD52*Transactions!$Z$12,
            AND(Y52="EUR", Transactions!$Q$2="GBP"), AD52*Transactions!$Z$13,
            AND(Y52="EUR", Transactions!$Q$2="HKD"), AD52*Transactions!$Z$14,
        ),
        0
    )
)</f>
        <v>44.15</v>
      </c>
      <c r="G52" s="121">
        <f t="shared" si="30"/>
        <v>2.1282000000000002E-2</v>
      </c>
      <c r="H52" s="34" cm="1">
        <f t="array" ref="H52">IF($A52="", "",
    IFERROR(
        _xlfn.SWITCH(
            TRUE,
            AND(Y52="USD", Transactions!$Q$2="USD"), AG52,
            AND(Y52="USD", Transactions!$Q$2="GBP"), AG52*Transactions!$Z$3,
            AND(Y52="USD", Transactions!$Q$2="HKD"), AG52*Transactions!$Z$4,
            AND(Y52="USD", Transactions!$Q$2="EUR"), AG52*Transactions!$Z$5,
            AND(Y52="GBP", Transactions!$Q$2="GBP"), AG52,
            AND(Y52="GBP", Transactions!$Q$2="USD"), AG52*Transactions!$Z$6,
            AND(Y52="GBP", Transactions!$Q$2="HKD"), AG52*Transactions!$Z$7,
            AND(Y52="HKG", Transactions!$Q$2="HKG"), AG52,
            AND(Y52="HKD", Transactions!$Q$2="USD"), AG52*Transactions!$Z$9,
            AND(Y52="HKD", Transactions!$Q$2="GBP"), AG52*Transactions!$Z$10,
            AND(Y52="HKD", Transactions!$Q$2="EUR"), AG52*Transactions!$Z$11,
            AND(Y52="EUR", Transactions!$Q$2="EUR"), AG52,
            AND(Y52="EUR", Transactions!$Q$2="USD"), AG52*Transactions!$Z$12,
            AND(Y52="EUR", Transactions!$Q$2="GBP"), AG52*Transactions!$Z$13,
            AND(Y52="EUR", Transactions!$Q$2="HKD"), AG52*Transactions!$Z$14,
        ),
        0
    )
)</f>
        <v>0.92</v>
      </c>
      <c r="I52" s="2" cm="1">
        <f t="array" ref="I52">IF($A52="", "",
    IFERROR(
        _xlfn.SWITCH(
            TRUE,
            AND(Y52="USD", Transactions!$Q$2="USD"), AH52,
            AND(Y52="USD", Transactions!$Q$2="GBP"), AH52*Transactions!$Z$3,
            AND(Y52="USD", Transactions!$Q$2="HKD"), AH52*Transactions!$Z$4,
            AND(Y52="USD", Transactions!$Q$2="EUR"), AH52*Transactions!$Z$5,
            AND(Y52="GBP", Transactions!$Q$2="GBP"), AH52,
            AND(Y52="GBP", Transactions!$Q$2="USD"), AH52*Transactions!$Z$6,
            AND(Y52="GBP", Transactions!$Q$2="HKD"), AH52*Transactions!$Z$7,
            AND(Y52="HKG", Transactions!$Q$2="HKG"), AH52,
            AND(Y52="HKD", Transactions!$Q$2="USD"), AH52*Transactions!$Z$9,
            AND(Y52="HKD", Transactions!$Q$2="GBP"), AH52*Transactions!$Z$10,
            AND(Y52="HKD", Transactions!$Q$2="EUR"), AH52*Transactions!$Z$11,
            AND(Y52="EUR", Transactions!$Q$2="EUR"), AH52,
            AND(Y52="EUR", Transactions!$Q$2="USD"), AH52*Transactions!$Z$12,
            AND(Y52="EUR", Transactions!$Q$2="GBP"), AH52*Transactions!$Z$13,
            AND(Y52="EUR", Transactions!$Q$2="HKD"), AH52*Transactions!$Z$14,
        ),
        0
    )
)</f>
        <v>0</v>
      </c>
      <c r="J52" s="2" cm="1">
        <f t="array" ref="J52">IF($A52="", "",
    IFERROR(
        _xlfn.SWITCH(
            TRUE,
            AND(Y52="USD", Transactions!$Q$2="USD"), AI52,
            AND(Y52="USD", Transactions!$Q$2="GBP"), AI52*Transactions!$Z$3,
            AND(Y52="USD", Transactions!$Q$2="HKD"), AI52*Transactions!$Z$4,
            AND(Y52="USD", Transactions!$Q$2="EUR"), AI52*Transactions!$Z$5,
            AND(Y52="GBP", Transactions!$Q$2="GBP"), AI52,
            AND(Y52="GBP", Transactions!$Q$2="USD"), AI52*Transactions!$Z$6,
            AND(Y52="GBP", Transactions!$Q$2="HKD"), AI52*Transactions!$Z$7,
            AND(Y52="HKG", Transactions!$Q$2="HKG"), AI52,
            AND(Y52="HKD", Transactions!$Q$2="USD"), AI52*Transactions!$Z$9,
            AND(Y52="HKD", Transactions!$Q$2="GBP"), AI52*Transactions!$Z$10,
            AND(Y52="HKD", Transactions!$Q$2="EUR"), AI52*Transactions!$Z$11,
            AND(Y52="EUR", Transactions!$Q$2="EUR"), AI52,
            AND(Y52="EUR", Transactions!$Q$2="USD"), AI52*Transactions!$Z$12,
            AND(Y52="EUR", Transactions!$Q$2="GBP"), AI52*Transactions!$Z$13,
            AND(Y52="EUR", Transactions!$Q$2="HKD"), AI52*Transactions!$Z$14,
        ),
        0
    )
)</f>
        <v>0</v>
      </c>
      <c r="K52" s="41">
        <f t="shared" si="23"/>
        <v>0</v>
      </c>
      <c r="L52" s="2" cm="1">
        <f t="array" ref="L52">IF($A52="", "",
    IFERROR(
        _xlfn.SWITCH(
            TRUE,
            AND(Y52="USD", Transactions!$Q$2="USD"), AK52,
            AND(Y52="USD", Transactions!$Q$2="GBP"), AK52*Transactions!$Z$3,
            AND(Y52="USD", Transactions!$Q$2="HKD"), AK52*Transactions!$Z$4,
            AND(Y52="USD", Transactions!$Q$2="EUR"), AK52*Transactions!$Z$5,
            AND(Y52="GBP", Transactions!$Q$2="GBP"), AK52,
            AND(Y52="GBP", Transactions!$Q$2="USD"), AK52*Transactions!$Z$6,
            AND(Y52="GBP", Transactions!$Q$2="HKD"), AK52*Transactions!$Z$7,
            AND(Y52="HKG", Transactions!$Q$2="HKG"), AK52,
            AND(Y52="HKD", Transactions!$Q$2="USD"), AK52*Transactions!$Z$9,
            AND(Y52="HKD", Transactions!$Q$2="GBP"), AK52*Transactions!$Z$10,
            AND(Y52="HKD", Transactions!$Q$2="EUR"), AK52*Transactions!$Z$11,
            AND(Y52="EUR", Transactions!$Q$2="EUR"), AK52,
            AND(Y52="EUR", Transactions!$Q$2="USD"), AK52*Transactions!$Z$12,
            AND(Y52="EUR", Transactions!$Q$2="GBP"), AK52*Transactions!$Z$13,
            AND(Y52="EUR", Transactions!$Q$2="HKD"), AK52*Transactions!$Z$14,
        ),
        0
    )
)</f>
        <v>0</v>
      </c>
      <c r="M52" s="119" cm="1">
        <f t="array" ref="M52">IF($A52="", "",
    IFERROR(
        _xlfn.SWITCH(
            TRUE,
            AND(Y52="USD", Transactions!$Q$2="USD"), AL52,
            AND(Y52="USD", Transactions!$Q$2="GBP"), AL52*Transactions!$Z$3,
            AND(Y52="USD", Transactions!$Q$2="HKD"), AL52*Transactions!$Z$4,
            AND(Y52="USD", Transactions!$Q$2="EUR"), AL52*Transactions!$Z$5,
            AND(Y52="GBP", Transactions!$Q$2="GBP"), AL52,
            AND(Y52="GBP", Transactions!$Q$2="USD"), AL52*Transactions!$Z$6,
            AND(Y52="GBP", Transactions!$Q$2="HKD"), AL52*Transactions!$Z$7,
            AND(Y52="HKG", Transactions!$Q$2="HKG"), AL52,
            AND(Y52="HKD", Transactions!$Q$2="USD"), AL52*Transactions!$Z$9,
            AND(Y52="HKD", Transactions!$Q$2="GBP"), AL52*Transactions!$Z$10,
            AND(Y52="HKD", Transactions!$Q$2="EUR"), AL52*Transactions!$Z$11,
            AND(Y52="EUR", Transactions!$Q$2="EUR"), AL52,
            AND(Y52="EUR", Transactions!$Q$2="USD"), AL52*Transactions!$Z$12,
            AND(Y52="EUR", Transactions!$Q$2="GBP"), AL52*Transactions!$Z$13,
            AND(Y52="EUR", Transactions!$Q$2="HKD"), AL52*Transactions!$Z$14,
        ),
        0
    )
)</f>
        <v>-7.5400000000000205</v>
      </c>
      <c r="N52" s="120" cm="1">
        <f t="array" ref="N52">IF($A52="", "",
    IFERROR(
        _xlfn.SWITCH(
            TRUE,
            AND(Y52="USD", Transactions!$Q$2="USD"), AM52,
            AND(Y52="USD", Transactions!$Q$2="GBP"), AM52*Transactions!$Z$3,
            AND(Y52="USD", Transactions!$Q$2="HKD"), AM52*Transactions!$Z$4,
            AND(Y52="USD", Transactions!$Q$2="EUR"), AM52*Transactions!$Z$5,
            AND(Y52="GBP", Transactions!$Q$2="GBP"), AM52,
            AND(Y52="GBP", Transactions!$Q$2="USD"), AM52*Transactions!$Z$6,
            AND(Y52="GBP", Transactions!$Q$2="HKD"), AM52*Transactions!$Z$7,
            AND(Y52="HKG", Transactions!$Q$2="HKG"), AM52,
            AND(Y52="HKD", Transactions!$Q$2="USD"), AM52*Transactions!$Z$9,
            AND(Y52="HKD", Transactions!$Q$2="GBP"), AM52*Transactions!$Z$10,
            AND(Y52="HKD", Transactions!$Q$2="EUR"), AM52*Transactions!$Z$11,
            AND(Y52="EUR", Transactions!$Q$2="EUR"), AM52,
            AND(Y52="EUR", Transactions!$Q$2="USD"), AM52*Transactions!$Z$12,
            AND(Y52="EUR", Transactions!$Q$2="GBP"), AM52*Transactions!$Z$13,
            AND(Y52="EUR", Transactions!$Q$2="HKD"), AM52*Transactions!$Z$14,
        ),
        0
    )
)</f>
        <v>-7.5400000000000205</v>
      </c>
      <c r="O52" s="145"/>
      <c r="P52" s="145"/>
      <c r="Q52" s="41">
        <f t="shared" si="24"/>
        <v>0</v>
      </c>
      <c r="S52" s="41">
        <f t="shared" si="25"/>
        <v>0</v>
      </c>
      <c r="T52" s="1" t="str">
        <f t="shared" si="26"/>
        <v>ETF</v>
      </c>
      <c r="U52" s="41">
        <f t="shared" si="27"/>
        <v>9.6920480161563141E-3</v>
      </c>
      <c r="V52" s="41">
        <f t="shared" si="28"/>
        <v>0</v>
      </c>
      <c r="W52" s="41">
        <f t="shared" si="29"/>
        <v>9.6920480161563141E-3</v>
      </c>
      <c r="Y52" s="17" t="str">
        <f>IFERROR(IF(ISBLANK(AA52), "", IF(VLOOKUP(AA52, Transactions!D:F, 3, FALSE) = "Stablecoin", AA52, INDEX(Transactions!$B$3:$B1056, MATCH(AA52, Transactions!$D$3:$D1056, 0)))), "")</f>
        <v>USD</v>
      </c>
      <c r="Z52" s="1" t="str">
        <f>_xlfn.XLOOKUP(AA52,Transactions!$D$3:$D$1007,Transactions!$E$3:$E$1007)</f>
        <v>Ark Innovation ETF</v>
      </c>
      <c r="AA52" s="1" t="e" vm="19">
        <v>#VALUE!</v>
      </c>
      <c r="AB52" s="118" cm="1">
        <f t="array" ref="AB52">IF(ISBLANK(AA52), "",
    SUMPRODUCT(
        (Transactions!$D$3:$D$1007=AA52) *
        (Transactions!$H$3:$H$1007={"Cash Deposit","Crypto Deposit","Buy","Transfer Deposit","DRIP","Airdrop/Rewards"}) *
        Transactions!$I$3:$I$1007
    )
    - SUMPRODUCT(
        (Transactions!$D$3:$D$1007=AA52) *
        (Transactions!$H$3:$H$1007={"Sell","Transfer Send","Cash Withdrawal","Crypto Withdrawal"}) *
        Transactions!$I$3:$I$1007
    )
)</f>
        <v>0</v>
      </c>
      <c r="AC52" s="2" cm="1">
        <f t="array" ref="AC52">IF(ISBLANK(AA52), "", LOOKUP(2, 1/(Transactions!D:D=AA52), Transactions!P:P))</f>
        <v>38.6</v>
      </c>
      <c r="AD52" s="2" cm="1">
        <f t="array" ref="AD52">IF(ISBLANK(AA52),"",IFERROR(_FV(AA52,"price"),INDEX('CoinGeko API'!E:E,MATCH(Portfolio_v2!AA52,'CoinGeko API'!C:C,0))))</f>
        <v>44.15</v>
      </c>
      <c r="AF52" s="39" cm="1">
        <f t="array" ref="AF52">IF(ISBLANK(AA52),"",IFERROR(_FV(AA52,"Change (%)",TRUE),INDEX('CoinGeko API'!G:G,MATCH(Portfolio_v2!AA52,'CoinGeko API'!C:C,0))))</f>
        <v>2.1282000000000002E-2</v>
      </c>
      <c r="AG52" s="34" cm="1">
        <f t="array" ref="AG52">IF(ISBLANK(AA52),"",IFERROR(_FV(AA52,"change"),INDEX('CoinGeko API'!F:F,MATCH(Portfolio_v2!AA52,'CoinGeko API'!C:C,0))))</f>
        <v>0.92</v>
      </c>
      <c r="AH52" s="2">
        <f t="shared" si="13"/>
        <v>0</v>
      </c>
      <c r="AI52" s="2">
        <f t="shared" si="14"/>
        <v>0</v>
      </c>
      <c r="AJ52" s="40">
        <f t="shared" si="15"/>
        <v>0</v>
      </c>
      <c r="AK52" s="2">
        <f t="shared" si="16"/>
        <v>0</v>
      </c>
      <c r="AL52" s="119">
        <f>IF(OR(ISBLANK(AA52), COUNTIFS(Transactions!$D$3:$D1056, AA52) = 0), "",
    SUMIFS(Transactions!$M$3:$M1056, Transactions!$H$3:$H1056, "Sell", Transactions!$D$3:$D1056, AA52) +
    SUMIFS(Transactions!$M$3:$M1056, Transactions!$H$3:$H1056, "Dividend", Transactions!$D$3:$D1056, AA52) -
    SUMIFS(Transactions!$M$3:$M1056, Transactions!$H$3:$H1056, "Buy", Transactions!$D$3:$D1056, AA52) -
    SUMIFS(Transactions!$M$3:$M1056, Transactions!$H$3:$H1056, "Crypto Deposit", Transactions!$D$3:$D1056, AA52) -
    SUMIFS(Transactions!$M$3:$M1056, Transactions!$H$3:$H1056, "DRIP", Transactions!$D$3:$D1056, AA52) +
    SUMIFS($AH$3:$AH1048, $AA$3:$AA1048, AA52) +
    SUMIFS(Transactions!$M$3:$M1056, Transactions!$L$3:$L1056, "Stablecoin", Transactions!$B$3:$B1056, AA52)
)</f>
        <v>-7.5400000000000205</v>
      </c>
      <c r="AM52" s="120">
        <f t="shared" si="17"/>
        <v>-7.5400000000000205</v>
      </c>
      <c r="AN52" s="145"/>
      <c r="AO52" s="145"/>
      <c r="AP52" s="41">
        <f t="shared" si="1"/>
        <v>0</v>
      </c>
      <c r="AR52" s="41">
        <f t="shared" si="18"/>
        <v>0</v>
      </c>
      <c r="AS52" s="1" t="str">
        <f>_xlfn.XLOOKUP(AA52,Transactions!$D$3:$D$1007,Transactions!$F$3:$F$1007)</f>
        <v>ETF</v>
      </c>
      <c r="AT52" s="41">
        <f t="shared" si="19"/>
        <v>9.6920480161563141E-3</v>
      </c>
      <c r="AU52" s="41">
        <f t="shared" si="20"/>
        <v>0</v>
      </c>
      <c r="AV52" s="41">
        <f t="shared" si="21"/>
        <v>9.6920480161563141E-3</v>
      </c>
      <c r="AW52" s="18"/>
    </row>
    <row r="53" spans="1:49" ht="18" customHeight="1">
      <c r="A53" s="17" t="str">
        <f t="shared" si="2"/>
        <v>Block</v>
      </c>
      <c r="B53" s="1" t="e" vm="18">
        <f t="shared" si="3"/>
        <v>#VALUE!</v>
      </c>
      <c r="C53" s="132">
        <f t="shared" si="4"/>
        <v>25</v>
      </c>
      <c r="D53" s="2" cm="1">
        <f t="array" ref="D53">IF($A53="", "",
    IFERROR(
        _xlfn.SWITCH(
            TRUE,
            AND(Y53="USD", Transactions!$Q$2="USD"), AC53,
            AND(Y53="USD", Transactions!$Q$2="GBP"), AC53*Transactions!$Z$3,
            AND(Y53="USD", Transactions!$Q$2="HKD"), AC53*Transactions!$Z$4,
            AND(Y53="USD", Transactions!$Q$2="EUR"), AC53*Transactions!$Z$5,
            AND(Y53="GBP", Transactions!$Q$2="GBP"), AC53,
            AND(Y53="GBP", Transactions!$Q$2="USD"), AC53*Transactions!$Z$6,
            AND(Y53="GBP", Transactions!$Q$2="HKD"), AC53*Transactions!$Z$7,
            AND(Y53="HKG", Transactions!$Q$2="HKG"), AC53,
            AND(Y53="HKD", Transactions!$Q$2="USD"), AC53*Transactions!$Z$9,
            AND(Y53="HKD", Transactions!$Q$2="GBP"), AC53*Transactions!$Z$10,
            AND(Y53="HKD", Transactions!$Q$2="EUR"), AC53*Transactions!$Z$11,
            AND(Y53="EUR", Transactions!$Q$2="EUR"), AC53,
            AND(Y53="EUR", Transactions!$Q$2="USD"), AC53*Transactions!$Z$12,
            AND(Y53="EUR", Transactions!$Q$2="GBP"), AC53*Transactions!$Z$13,
            AND(Y53="EUR", Transactions!$Q$2="HKD"), AC53*Transactions!$Z$14,
        ),
        0
    )
)</f>
        <v>66.942399999999992</v>
      </c>
      <c r="E53" s="2" cm="1">
        <f t="array" ref="E53">IF($A53="", "",
    IFERROR(
        _xlfn.SWITCH(
            TRUE,
            AND(Y53="USD", Transactions!$Q$2="USD"), AD53,
            AND(Y53="USD", Transactions!$Q$2="GBP"), AD53*Transactions!$Z$3,
            AND(Y53="USD", Transactions!$Q$2="HKD"), AD53*Transactions!$Z$4,
            AND(Y53="USD", Transactions!$Q$2="EUR"), AD53*Transactions!$Z$5,
            AND(Y53="GBP", Transactions!$Q$2="GBP"), AD53,
            AND(Y53="GBP", Transactions!$Q$2="USD"), AD53*Transactions!$Z$6,
            AND(Y53="GBP", Transactions!$Q$2="HKD"), AD53*Transactions!$Z$7,
            AND(Y53="HKG", Transactions!$Q$2="HKG"), AD53,
            AND(Y53="HKD", Transactions!$Q$2="USD"), AD53*Transactions!$Z$9,
            AND(Y53="HKD", Transactions!$Q$2="GBP"), AD53*Transactions!$Z$10,
            AND(Y53="HKD", Transactions!$Q$2="EUR"), AD53*Transactions!$Z$11,
            AND(Y53="EUR", Transactions!$Q$2="EUR"), AD53,
            AND(Y53="EUR", Transactions!$Q$2="USD"), AD53*Transactions!$Z$12,
            AND(Y53="EUR", Transactions!$Q$2="GBP"), AD53*Transactions!$Z$13,
            AND(Y53="EUR", Transactions!$Q$2="HKD"), AD53*Transactions!$Z$14,
        ),
        0
    )
)</f>
        <v>64.8</v>
      </c>
      <c r="G53" s="121">
        <f t="shared" si="30"/>
        <v>8.5599999999999999E-3</v>
      </c>
      <c r="H53" s="34" cm="1">
        <f t="array" ref="H53">IF($A53="", "",
    IFERROR(
        _xlfn.SWITCH(
            TRUE,
            AND(Y53="USD", Transactions!$Q$2="USD"), AG53,
            AND(Y53="USD", Transactions!$Q$2="GBP"), AG53*Transactions!$Z$3,
            AND(Y53="USD", Transactions!$Q$2="HKD"), AG53*Transactions!$Z$4,
            AND(Y53="USD", Transactions!$Q$2="EUR"), AG53*Transactions!$Z$5,
            AND(Y53="GBP", Transactions!$Q$2="GBP"), AG53,
            AND(Y53="GBP", Transactions!$Q$2="USD"), AG53*Transactions!$Z$6,
            AND(Y53="GBP", Transactions!$Q$2="HKD"), AG53*Transactions!$Z$7,
            AND(Y53="HKG", Transactions!$Q$2="HKG"), AG53,
            AND(Y53="HKD", Transactions!$Q$2="USD"), AG53*Transactions!$Z$9,
            AND(Y53="HKD", Transactions!$Q$2="GBP"), AG53*Transactions!$Z$10,
            AND(Y53="HKD", Transactions!$Q$2="EUR"), AG53*Transactions!$Z$11,
            AND(Y53="EUR", Transactions!$Q$2="EUR"), AG53,
            AND(Y53="EUR", Transactions!$Q$2="USD"), AG53*Transactions!$Z$12,
            AND(Y53="EUR", Transactions!$Q$2="GBP"), AG53*Transactions!$Z$13,
            AND(Y53="EUR", Transactions!$Q$2="HKD"), AG53*Transactions!$Z$14,
        ),
        0
    )
)</f>
        <v>0.55000000000000004</v>
      </c>
      <c r="I53" s="2" cm="1">
        <f t="array" ref="I53">IF($A53="", "",
    IFERROR(
        _xlfn.SWITCH(
            TRUE,
            AND(Y53="USD", Transactions!$Q$2="USD"), AH53,
            AND(Y53="USD", Transactions!$Q$2="GBP"), AH53*Transactions!$Z$3,
            AND(Y53="USD", Transactions!$Q$2="HKD"), AH53*Transactions!$Z$4,
            AND(Y53="USD", Transactions!$Q$2="EUR"), AH53*Transactions!$Z$5,
            AND(Y53="GBP", Transactions!$Q$2="GBP"), AH53,
            AND(Y53="GBP", Transactions!$Q$2="USD"), AH53*Transactions!$Z$6,
            AND(Y53="GBP", Transactions!$Q$2="HKD"), AH53*Transactions!$Z$7,
            AND(Y53="HKG", Transactions!$Q$2="HKG"), AH53,
            AND(Y53="HKD", Transactions!$Q$2="USD"), AH53*Transactions!$Z$9,
            AND(Y53="HKD", Transactions!$Q$2="GBP"), AH53*Transactions!$Z$10,
            AND(Y53="HKD", Transactions!$Q$2="EUR"), AH53*Transactions!$Z$11,
            AND(Y53="EUR", Transactions!$Q$2="EUR"), AH53,
            AND(Y53="EUR", Transactions!$Q$2="USD"), AH53*Transactions!$Z$12,
            AND(Y53="EUR", Transactions!$Q$2="GBP"), AH53*Transactions!$Z$13,
            AND(Y53="EUR", Transactions!$Q$2="HKD"), AH53*Transactions!$Z$14,
        ),
        0
    )
)</f>
        <v>1673.5599999999997</v>
      </c>
      <c r="J53" s="2" cm="1">
        <f t="array" ref="J53">IF($A53="", "",
    IFERROR(
        _xlfn.SWITCH(
            TRUE,
            AND(Y53="USD", Transactions!$Q$2="USD"), AI53,
            AND(Y53="USD", Transactions!$Q$2="GBP"), AI53*Transactions!$Z$3,
            AND(Y53="USD", Transactions!$Q$2="HKD"), AI53*Transactions!$Z$4,
            AND(Y53="USD", Transactions!$Q$2="EUR"), AI53*Transactions!$Z$5,
            AND(Y53="GBP", Transactions!$Q$2="GBP"), AI53,
            AND(Y53="GBP", Transactions!$Q$2="USD"), AI53*Transactions!$Z$6,
            AND(Y53="GBP", Transactions!$Q$2="HKD"), AI53*Transactions!$Z$7,
            AND(Y53="HKG", Transactions!$Q$2="HKG"), AI53,
            AND(Y53="HKD", Transactions!$Q$2="USD"), AI53*Transactions!$Z$9,
            AND(Y53="HKD", Transactions!$Q$2="GBP"), AI53*Transactions!$Z$10,
            AND(Y53="HKD", Transactions!$Q$2="EUR"), AI53*Transactions!$Z$11,
            AND(Y53="EUR", Transactions!$Q$2="EUR"), AI53,
            AND(Y53="EUR", Transactions!$Q$2="USD"), AI53*Transactions!$Z$12,
            AND(Y53="EUR", Transactions!$Q$2="GBP"), AI53*Transactions!$Z$13,
            AND(Y53="EUR", Transactions!$Q$2="HKD"), AI53*Transactions!$Z$14,
        ),
        0
    )
)</f>
        <v>1620</v>
      </c>
      <c r="K53" s="41">
        <f t="shared" si="23"/>
        <v>-3.2003632974019293E-2</v>
      </c>
      <c r="L53" s="2" cm="1">
        <f t="array" ref="L53">IF($A53="", "",
    IFERROR(
        _xlfn.SWITCH(
            TRUE,
            AND(Y53="USD", Transactions!$Q$2="USD"), AK53,
            AND(Y53="USD", Transactions!$Q$2="GBP"), AK53*Transactions!$Z$3,
            AND(Y53="USD", Transactions!$Q$2="HKD"), AK53*Transactions!$Z$4,
            AND(Y53="USD", Transactions!$Q$2="EUR"), AK53*Transactions!$Z$5,
            AND(Y53="GBP", Transactions!$Q$2="GBP"), AK53,
            AND(Y53="GBP", Transactions!$Q$2="USD"), AK53*Transactions!$Z$6,
            AND(Y53="GBP", Transactions!$Q$2="HKD"), AK53*Transactions!$Z$7,
            AND(Y53="HKG", Transactions!$Q$2="HKG"), AK53,
            AND(Y53="HKD", Transactions!$Q$2="USD"), AK53*Transactions!$Z$9,
            AND(Y53="HKD", Transactions!$Q$2="GBP"), AK53*Transactions!$Z$10,
            AND(Y53="HKD", Transactions!$Q$2="EUR"), AK53*Transactions!$Z$11,
            AND(Y53="EUR", Transactions!$Q$2="EUR"), AK53,
            AND(Y53="EUR", Transactions!$Q$2="USD"), AK53*Transactions!$Z$12,
            AND(Y53="EUR", Transactions!$Q$2="GBP"), AK53*Transactions!$Z$13,
            AND(Y53="EUR", Transactions!$Q$2="HKD"), AK53*Transactions!$Z$14,
        ),
        0
    )
)</f>
        <v>-53.559999999999718</v>
      </c>
      <c r="M53" s="119" cm="1">
        <f t="array" ref="M53">IF($A53="", "",
    IFERROR(
        _xlfn.SWITCH(
            TRUE,
            AND(Y53="USD", Transactions!$Q$2="USD"), AL53,
            AND(Y53="USD", Transactions!$Q$2="GBP"), AL53*Transactions!$Z$3,
            AND(Y53="USD", Transactions!$Q$2="HKD"), AL53*Transactions!$Z$4,
            AND(Y53="USD", Transactions!$Q$2="EUR"), AL53*Transactions!$Z$5,
            AND(Y53="GBP", Transactions!$Q$2="GBP"), AL53,
            AND(Y53="GBP", Transactions!$Q$2="USD"), AL53*Transactions!$Z$6,
            AND(Y53="GBP", Transactions!$Q$2="HKD"), AL53*Transactions!$Z$7,
            AND(Y53="HKG", Transactions!$Q$2="HKG"), AL53,
            AND(Y53="HKD", Transactions!$Q$2="USD"), AL53*Transactions!$Z$9,
            AND(Y53="HKD", Transactions!$Q$2="GBP"), AL53*Transactions!$Z$10,
            AND(Y53="HKD", Transactions!$Q$2="EUR"), AL53*Transactions!$Z$11,
            AND(Y53="EUR", Transactions!$Q$2="EUR"), AL53,
            AND(Y53="EUR", Transactions!$Q$2="USD"), AL53*Transactions!$Z$12,
            AND(Y53="EUR", Transactions!$Q$2="GBP"), AL53*Transactions!$Z$13,
            AND(Y53="EUR", Transactions!$Q$2="HKD"), AL53*Transactions!$Z$14,
        ),
        0
    )
)</f>
        <v>-2.2737367544323206E-13</v>
      </c>
      <c r="N53" s="120" cm="1">
        <f t="array" ref="N53">IF($A53="", "",
    IFERROR(
        _xlfn.SWITCH(
            TRUE,
            AND(Y53="USD", Transactions!$Q$2="USD"), AM53,
            AND(Y53="USD", Transactions!$Q$2="GBP"), AM53*Transactions!$Z$3,
            AND(Y53="USD", Transactions!$Q$2="HKD"), AM53*Transactions!$Z$4,
            AND(Y53="USD", Transactions!$Q$2="EUR"), AM53*Transactions!$Z$5,
            AND(Y53="GBP", Transactions!$Q$2="GBP"), AM53,
            AND(Y53="GBP", Transactions!$Q$2="USD"), AM53*Transactions!$Z$6,
            AND(Y53="GBP", Transactions!$Q$2="HKD"), AM53*Transactions!$Z$7,
            AND(Y53="HKG", Transactions!$Q$2="HKG"), AM53,
            AND(Y53="HKD", Transactions!$Q$2="USD"), AM53*Transactions!$Z$9,
            AND(Y53="HKD", Transactions!$Q$2="GBP"), AM53*Transactions!$Z$10,
            AND(Y53="HKD", Transactions!$Q$2="EUR"), AM53*Transactions!$Z$11,
            AND(Y53="EUR", Transactions!$Q$2="EUR"), AM53,
            AND(Y53="EUR", Transactions!$Q$2="USD"), AM53*Transactions!$Z$12,
            AND(Y53="EUR", Transactions!$Q$2="GBP"), AM53*Transactions!$Z$13,
            AND(Y53="EUR", Transactions!$Q$2="HKD"), AM53*Transactions!$Z$14,
        ),
        0
    )
)</f>
        <v>-53.559999999999945</v>
      </c>
      <c r="O53" s="145"/>
      <c r="P53" s="145"/>
      <c r="Q53" s="41">
        <f t="shared" si="24"/>
        <v>1.0101404308021507E-2</v>
      </c>
      <c r="S53" s="41">
        <f t="shared" si="25"/>
        <v>1.0101404308021507E-2</v>
      </c>
      <c r="T53" s="1" t="str">
        <f t="shared" si="26"/>
        <v>Stocks</v>
      </c>
      <c r="U53" s="41">
        <f t="shared" si="27"/>
        <v>0.17515167878590182</v>
      </c>
      <c r="V53" s="41">
        <f t="shared" si="28"/>
        <v>0</v>
      </c>
      <c r="W53" s="41">
        <f t="shared" si="29"/>
        <v>0.17515167878590182</v>
      </c>
      <c r="Y53" s="17" t="str">
        <f>IFERROR(IF(ISBLANK(AA53), "", IF(VLOOKUP(AA53, Transactions!D:F, 3, FALSE) = "Stablecoin", AA53, INDEX(Transactions!$B$3:$B1057, MATCH(AA53, Transactions!$D$3:$D1057, 0)))), "")</f>
        <v>USD</v>
      </c>
      <c r="Z53" s="1" t="str">
        <f>_xlfn.XLOOKUP(AA53,Transactions!$D$3:$D$1007,Transactions!$E$3:$E$1007)</f>
        <v>Block</v>
      </c>
      <c r="AA53" s="1" t="e" vm="18">
        <v>#VALUE!</v>
      </c>
      <c r="AB53" s="118" cm="1">
        <f t="array" ref="AB53">IF(ISBLANK(AA53), "",
    SUMPRODUCT(
        (Transactions!$D$3:$D$1007=AA53) *
        (Transactions!$H$3:$H$1007={"Cash Deposit","Crypto Deposit","Buy","Transfer Deposit","DRIP","Airdrop/Rewards"}) *
        Transactions!$I$3:$I$1007
    )
    - SUMPRODUCT(
        (Transactions!$D$3:$D$1007=AA53) *
        (Transactions!$H$3:$H$1007={"Sell","Transfer Send","Cash Withdrawal","Crypto Withdrawal"}) *
        Transactions!$I$3:$I$1007
    )
)</f>
        <v>25</v>
      </c>
      <c r="AC53" s="2" cm="1">
        <f t="array" ref="AC53">IF(ISBLANK(AA53), "", LOOKUP(2, 1/(Transactions!D:D=AA53), Transactions!P:P))</f>
        <v>66.942399999999992</v>
      </c>
      <c r="AD53" s="2" cm="1">
        <f t="array" ref="AD53">IF(ISBLANK(AA53),"",IFERROR(_FV(AA53,"price"),INDEX('CoinGeko API'!E:E,MATCH(Portfolio_v2!AA53,'CoinGeko API'!C:C,0))))</f>
        <v>64.8</v>
      </c>
      <c r="AF53" s="39" cm="1">
        <f t="array" ref="AF53">IF(ISBLANK(AA53),"",IFERROR(_FV(AA53,"Change (%)",TRUE),INDEX('CoinGeko API'!G:G,MATCH(Portfolio_v2!AA53,'CoinGeko API'!C:C,0))))</f>
        <v>8.5599999999999999E-3</v>
      </c>
      <c r="AG53" s="34" cm="1">
        <f t="array" ref="AG53">IF(ISBLANK(AA53),"",IFERROR(_FV(AA53,"change"),INDEX('CoinGeko API'!F:F,MATCH(Portfolio_v2!AA53,'CoinGeko API'!C:C,0))))</f>
        <v>0.55000000000000004</v>
      </c>
      <c r="AH53" s="2">
        <f t="shared" si="13"/>
        <v>1673.5599999999997</v>
      </c>
      <c r="AI53" s="2">
        <f t="shared" si="14"/>
        <v>1620</v>
      </c>
      <c r="AJ53" s="40">
        <f t="shared" si="15"/>
        <v>-3.2003632974019293E-2</v>
      </c>
      <c r="AK53" s="2">
        <f t="shared" si="16"/>
        <v>-53.559999999999718</v>
      </c>
      <c r="AL53" s="119">
        <f>IF(OR(ISBLANK(AA53), COUNTIFS(Transactions!$D$3:$D1057, AA53) = 0), "",
    SUMIFS(Transactions!$M$3:$M1057, Transactions!$H$3:$H1057, "Sell", Transactions!$D$3:$D1057, AA53) +
    SUMIFS(Transactions!$M$3:$M1057, Transactions!$H$3:$H1057, "Dividend", Transactions!$D$3:$D1057, AA53) -
    SUMIFS(Transactions!$M$3:$M1057, Transactions!$H$3:$H1057, "Buy", Transactions!$D$3:$D1057, AA53) -
    SUMIFS(Transactions!$M$3:$M1057, Transactions!$H$3:$H1057, "Crypto Deposit", Transactions!$D$3:$D1057, AA53) -
    SUMIFS(Transactions!$M$3:$M1057, Transactions!$H$3:$H1057, "DRIP", Transactions!$D$3:$D1057, AA53) +
    SUMIFS($AH$3:$AH1049, $AA$3:$AA1049, AA53) +
    SUMIFS(Transactions!$M$3:$M1057, Transactions!$L$3:$L1057, "Stablecoin", Transactions!$B$3:$B1057, AA53)
)</f>
        <v>-2.2737367544323206E-13</v>
      </c>
      <c r="AM53" s="120">
        <f t="shared" si="17"/>
        <v>-53.559999999999945</v>
      </c>
      <c r="AN53" s="145"/>
      <c r="AO53" s="145"/>
      <c r="AP53" s="41">
        <f t="shared" si="1"/>
        <v>1.0101404308021507E-2</v>
      </c>
      <c r="AR53" s="41">
        <f t="shared" si="18"/>
        <v>1.0101404308021507E-2</v>
      </c>
      <c r="AS53" s="1" t="str">
        <f>_xlfn.XLOOKUP(AA53,Transactions!$D$3:$D$1007,Transactions!$F$3:$F$1007)</f>
        <v>Stocks</v>
      </c>
      <c r="AT53" s="41">
        <f t="shared" si="19"/>
        <v>0.17515167878590182</v>
      </c>
      <c r="AU53" s="41">
        <f t="shared" si="20"/>
        <v>0</v>
      </c>
      <c r="AV53" s="41">
        <f t="shared" si="21"/>
        <v>0.17515167878590182</v>
      </c>
      <c r="AW53" s="18"/>
    </row>
    <row r="54" spans="1:49" ht="18" customHeight="1">
      <c r="A54" s="17" t="str">
        <f t="shared" si="2"/>
        <v>Bloom Energy</v>
      </c>
      <c r="B54" s="1" t="e" vm="24">
        <f t="shared" si="3"/>
        <v>#VALUE!</v>
      </c>
      <c r="C54" s="132">
        <f t="shared" si="4"/>
        <v>20</v>
      </c>
      <c r="D54" s="2" cm="1">
        <f t="array" ref="D54">IF($A54="", "",
    IFERROR(
        _xlfn.SWITCH(
            TRUE,
            AND(Y54="USD", Transactions!$Q$2="USD"), AC54,
            AND(Y54="USD", Transactions!$Q$2="GBP"), AC54*Transactions!$Z$3,
            AND(Y54="USD", Transactions!$Q$2="HKD"), AC54*Transactions!$Z$4,
            AND(Y54="USD", Transactions!$Q$2="EUR"), AC54*Transactions!$Z$5,
            AND(Y54="GBP", Transactions!$Q$2="GBP"), AC54,
            AND(Y54="GBP", Transactions!$Q$2="USD"), AC54*Transactions!$Z$6,
            AND(Y54="GBP", Transactions!$Q$2="HKD"), AC54*Transactions!$Z$7,
            AND(Y54="HKG", Transactions!$Q$2="HKG"), AC54,
            AND(Y54="HKD", Transactions!$Q$2="USD"), AC54*Transactions!$Z$9,
            AND(Y54="HKD", Transactions!$Q$2="GBP"), AC54*Transactions!$Z$10,
            AND(Y54="HKD", Transactions!$Q$2="EUR"), AC54*Transactions!$Z$11,
            AND(Y54="EUR", Transactions!$Q$2="EUR"), AC54,
            AND(Y54="EUR", Transactions!$Q$2="USD"), AC54*Transactions!$Z$12,
            AND(Y54="EUR", Transactions!$Q$2="GBP"), AC54*Transactions!$Z$13,
            AND(Y54="EUR", Transactions!$Q$2="HKD"), AC54*Transactions!$Z$14,
        ),
        0
    )
)</f>
        <v>13.33</v>
      </c>
      <c r="E54" s="2" cm="1">
        <f t="array" ref="E54">IF($A54="", "",
    IFERROR(
        _xlfn.SWITCH(
            TRUE,
            AND(Y54="USD", Transactions!$Q$2="USD"), AD54,
            AND(Y54="USD", Transactions!$Q$2="GBP"), AD54*Transactions!$Z$3,
            AND(Y54="USD", Transactions!$Q$2="HKD"), AD54*Transactions!$Z$4,
            AND(Y54="USD", Transactions!$Q$2="EUR"), AD54*Transactions!$Z$5,
            AND(Y54="GBP", Transactions!$Q$2="GBP"), AD54,
            AND(Y54="GBP", Transactions!$Q$2="USD"), AD54*Transactions!$Z$6,
            AND(Y54="GBP", Transactions!$Q$2="HKD"), AD54*Transactions!$Z$7,
            AND(Y54="HKG", Transactions!$Q$2="HKG"), AD54,
            AND(Y54="HKD", Transactions!$Q$2="USD"), AD54*Transactions!$Z$9,
            AND(Y54="HKD", Transactions!$Q$2="GBP"), AD54*Transactions!$Z$10,
            AND(Y54="HKD", Transactions!$Q$2="EUR"), AD54*Transactions!$Z$11,
            AND(Y54="EUR", Transactions!$Q$2="EUR"), AD54,
            AND(Y54="EUR", Transactions!$Q$2="USD"), AD54*Transactions!$Z$12,
            AND(Y54="EUR", Transactions!$Q$2="GBP"), AD54*Transactions!$Z$13,
            AND(Y54="EUR", Transactions!$Q$2="HKD"), AD54*Transactions!$Z$14,
        ),
        0
    )
)</f>
        <v>15.68</v>
      </c>
      <c r="G54" s="121">
        <f t="shared" si="30"/>
        <v>4.3941000000000001E-2</v>
      </c>
      <c r="H54" s="34" cm="1">
        <f t="array" ref="H54">IF($A54="", "",
    IFERROR(
        _xlfn.SWITCH(
            TRUE,
            AND(Y54="USD", Transactions!$Q$2="USD"), AG54,
            AND(Y54="USD", Transactions!$Q$2="GBP"), AG54*Transactions!$Z$3,
            AND(Y54="USD", Transactions!$Q$2="HKD"), AG54*Transactions!$Z$4,
            AND(Y54="USD", Transactions!$Q$2="EUR"), AG54*Transactions!$Z$5,
            AND(Y54="GBP", Transactions!$Q$2="GBP"), AG54,
            AND(Y54="GBP", Transactions!$Q$2="USD"), AG54*Transactions!$Z$6,
            AND(Y54="GBP", Transactions!$Q$2="HKD"), AG54*Transactions!$Z$7,
            AND(Y54="HKG", Transactions!$Q$2="HKG"), AG54,
            AND(Y54="HKD", Transactions!$Q$2="USD"), AG54*Transactions!$Z$9,
            AND(Y54="HKD", Transactions!$Q$2="GBP"), AG54*Transactions!$Z$10,
            AND(Y54="HKD", Transactions!$Q$2="EUR"), AG54*Transactions!$Z$11,
            AND(Y54="EUR", Transactions!$Q$2="EUR"), AG54,
            AND(Y54="EUR", Transactions!$Q$2="USD"), AG54*Transactions!$Z$12,
            AND(Y54="EUR", Transactions!$Q$2="GBP"), AG54*Transactions!$Z$13,
            AND(Y54="EUR", Transactions!$Q$2="HKD"), AG54*Transactions!$Z$14,
        ),
        0
    )
)</f>
        <v>0.66</v>
      </c>
      <c r="I54" s="2" cm="1">
        <f t="array" ref="I54">IF($A54="", "",
    IFERROR(
        _xlfn.SWITCH(
            TRUE,
            AND(Y54="USD", Transactions!$Q$2="USD"), AH54,
            AND(Y54="USD", Transactions!$Q$2="GBP"), AH54*Transactions!$Z$3,
            AND(Y54="USD", Transactions!$Q$2="HKD"), AH54*Transactions!$Z$4,
            AND(Y54="USD", Transactions!$Q$2="EUR"), AH54*Transactions!$Z$5,
            AND(Y54="GBP", Transactions!$Q$2="GBP"), AH54,
            AND(Y54="GBP", Transactions!$Q$2="USD"), AH54*Transactions!$Z$6,
            AND(Y54="GBP", Transactions!$Q$2="HKD"), AH54*Transactions!$Z$7,
            AND(Y54="HKG", Transactions!$Q$2="HKG"), AH54,
            AND(Y54="HKD", Transactions!$Q$2="USD"), AH54*Transactions!$Z$9,
            AND(Y54="HKD", Transactions!$Q$2="GBP"), AH54*Transactions!$Z$10,
            AND(Y54="HKD", Transactions!$Q$2="EUR"), AH54*Transactions!$Z$11,
            AND(Y54="EUR", Transactions!$Q$2="EUR"), AH54,
            AND(Y54="EUR", Transactions!$Q$2="USD"), AH54*Transactions!$Z$12,
            AND(Y54="EUR", Transactions!$Q$2="GBP"), AH54*Transactions!$Z$13,
            AND(Y54="EUR", Transactions!$Q$2="HKD"), AH54*Transactions!$Z$14,
        ),
        0
    )
)</f>
        <v>266.60000000000002</v>
      </c>
      <c r="J54" s="2" cm="1">
        <f t="array" ref="J54">IF($A54="", "",
    IFERROR(
        _xlfn.SWITCH(
            TRUE,
            AND(Y54="USD", Transactions!$Q$2="USD"), AI54,
            AND(Y54="USD", Transactions!$Q$2="GBP"), AI54*Transactions!$Z$3,
            AND(Y54="USD", Transactions!$Q$2="HKD"), AI54*Transactions!$Z$4,
            AND(Y54="USD", Transactions!$Q$2="EUR"), AI54*Transactions!$Z$5,
            AND(Y54="GBP", Transactions!$Q$2="GBP"), AI54,
            AND(Y54="GBP", Transactions!$Q$2="USD"), AI54*Transactions!$Z$6,
            AND(Y54="GBP", Transactions!$Q$2="HKD"), AI54*Transactions!$Z$7,
            AND(Y54="HKG", Transactions!$Q$2="HKG"), AI54,
            AND(Y54="HKD", Transactions!$Q$2="USD"), AI54*Transactions!$Z$9,
            AND(Y54="HKD", Transactions!$Q$2="GBP"), AI54*Transactions!$Z$10,
            AND(Y54="HKD", Transactions!$Q$2="EUR"), AI54*Transactions!$Z$11,
            AND(Y54="EUR", Transactions!$Q$2="EUR"), AI54,
            AND(Y54="EUR", Transactions!$Q$2="USD"), AI54*Transactions!$Z$12,
            AND(Y54="EUR", Transactions!$Q$2="GBP"), AI54*Transactions!$Z$13,
            AND(Y54="EUR", Transactions!$Q$2="HKD"), AI54*Transactions!$Z$14,
        ),
        0
    )
)</f>
        <v>313.60000000000002</v>
      </c>
      <c r="K54" s="41">
        <f t="shared" si="23"/>
        <v>0.17629407351837958</v>
      </c>
      <c r="L54" s="2" cm="1">
        <f t="array" ref="L54">IF($A54="", "",
    IFERROR(
        _xlfn.SWITCH(
            TRUE,
            AND(Y54="USD", Transactions!$Q$2="USD"), AK54,
            AND(Y54="USD", Transactions!$Q$2="GBP"), AK54*Transactions!$Z$3,
            AND(Y54="USD", Transactions!$Q$2="HKD"), AK54*Transactions!$Z$4,
            AND(Y54="USD", Transactions!$Q$2="EUR"), AK54*Transactions!$Z$5,
            AND(Y54="GBP", Transactions!$Q$2="GBP"), AK54,
            AND(Y54="GBP", Transactions!$Q$2="USD"), AK54*Transactions!$Z$6,
            AND(Y54="GBP", Transactions!$Q$2="HKD"), AK54*Transactions!$Z$7,
            AND(Y54="HKG", Transactions!$Q$2="HKG"), AK54,
            AND(Y54="HKD", Transactions!$Q$2="USD"), AK54*Transactions!$Z$9,
            AND(Y54="HKD", Transactions!$Q$2="GBP"), AK54*Transactions!$Z$10,
            AND(Y54="HKD", Transactions!$Q$2="EUR"), AK54*Transactions!$Z$11,
            AND(Y54="EUR", Transactions!$Q$2="EUR"), AK54,
            AND(Y54="EUR", Transactions!$Q$2="USD"), AK54*Transactions!$Z$12,
            AND(Y54="EUR", Transactions!$Q$2="GBP"), AK54*Transactions!$Z$13,
            AND(Y54="EUR", Transactions!$Q$2="HKD"), AK54*Transactions!$Z$14,
        ),
        0
    )
)</f>
        <v>47</v>
      </c>
      <c r="M54" s="119" cm="1">
        <f t="array" ref="M54">IF($A54="", "",
    IFERROR(
        _xlfn.SWITCH(
            TRUE,
            AND(Y54="USD", Transactions!$Q$2="USD"), AL54,
            AND(Y54="USD", Transactions!$Q$2="GBP"), AL54*Transactions!$Z$3,
            AND(Y54="USD", Transactions!$Q$2="HKD"), AL54*Transactions!$Z$4,
            AND(Y54="USD", Transactions!$Q$2="EUR"), AL54*Transactions!$Z$5,
            AND(Y54="GBP", Transactions!$Q$2="GBP"), AL54,
            AND(Y54="GBP", Transactions!$Q$2="USD"), AL54*Transactions!$Z$6,
            AND(Y54="GBP", Transactions!$Q$2="HKD"), AL54*Transactions!$Z$7,
            AND(Y54="HKG", Transactions!$Q$2="HKG"), AL54,
            AND(Y54="HKD", Transactions!$Q$2="USD"), AL54*Transactions!$Z$9,
            AND(Y54="HKD", Transactions!$Q$2="GBP"), AL54*Transactions!$Z$10,
            AND(Y54="HKD", Transactions!$Q$2="EUR"), AL54*Transactions!$Z$11,
            AND(Y54="EUR", Transactions!$Q$2="EUR"), AL54,
            AND(Y54="EUR", Transactions!$Q$2="USD"), AL54*Transactions!$Z$12,
            AND(Y54="EUR", Transactions!$Q$2="GBP"), AL54*Transactions!$Z$13,
            AND(Y54="EUR", Transactions!$Q$2="HKD"), AL54*Transactions!$Z$14,
        ),
        0
    )
)</f>
        <v>0</v>
      </c>
      <c r="N54" s="120" cm="1">
        <f t="array" ref="N54">IF($A54="", "",
    IFERROR(
        _xlfn.SWITCH(
            TRUE,
            AND(Y54="USD", Transactions!$Q$2="USD"), AM54,
            AND(Y54="USD", Transactions!$Q$2="GBP"), AM54*Transactions!$Z$3,
            AND(Y54="USD", Transactions!$Q$2="HKD"), AM54*Transactions!$Z$4,
            AND(Y54="USD", Transactions!$Q$2="EUR"), AM54*Transactions!$Z$5,
            AND(Y54="GBP", Transactions!$Q$2="GBP"), AM54,
            AND(Y54="GBP", Transactions!$Q$2="USD"), AM54*Transactions!$Z$6,
            AND(Y54="GBP", Transactions!$Q$2="HKD"), AM54*Transactions!$Z$7,
            AND(Y54="HKG", Transactions!$Q$2="HKG"), AM54,
            AND(Y54="HKD", Transactions!$Q$2="USD"), AM54*Transactions!$Z$9,
            AND(Y54="HKD", Transactions!$Q$2="GBP"), AM54*Transactions!$Z$10,
            AND(Y54="HKD", Transactions!$Q$2="EUR"), AM54*Transactions!$Z$11,
            AND(Y54="EUR", Transactions!$Q$2="EUR"), AM54,
            AND(Y54="EUR", Transactions!$Q$2="USD"), AM54*Transactions!$Z$12,
            AND(Y54="EUR", Transactions!$Q$2="GBP"), AM54*Transactions!$Z$13,
            AND(Y54="EUR", Transactions!$Q$2="HKD"), AM54*Transactions!$Z$14,
        ),
        0
    )
)</f>
        <v>47</v>
      </c>
      <c r="O54" s="145"/>
      <c r="P54" s="145"/>
      <c r="Q54" s="41">
        <f t="shared" si="24"/>
        <v>1.9554323401207068E-3</v>
      </c>
      <c r="S54" s="41">
        <f t="shared" si="25"/>
        <v>1.9554323401207068E-3</v>
      </c>
      <c r="T54" s="1" t="str">
        <f t="shared" si="26"/>
        <v>Stocks</v>
      </c>
      <c r="U54" s="41">
        <f t="shared" si="27"/>
        <v>0.17515167878590182</v>
      </c>
      <c r="V54" s="41">
        <f t="shared" si="28"/>
        <v>0</v>
      </c>
      <c r="W54" s="41">
        <f t="shared" si="29"/>
        <v>0.17515167878590182</v>
      </c>
      <c r="Y54" s="17" t="str">
        <f>IFERROR(IF(ISBLANK(AA54), "", IF(VLOOKUP(AA54, Transactions!D:F, 3, FALSE) = "Stablecoin", AA54, INDEX(Transactions!$B$3:$B1058, MATCH(AA54, Transactions!$D$3:$D1058, 0)))), "")</f>
        <v>USD</v>
      </c>
      <c r="Z54" s="1" t="str">
        <f>_xlfn.XLOOKUP(AA54,Transactions!$D$3:$D$1007,Transactions!$E$3:$E$1007)</f>
        <v>Bloom Energy</v>
      </c>
      <c r="AA54" s="1" t="e" vm="24">
        <v>#VALUE!</v>
      </c>
      <c r="AB54" s="118" cm="1">
        <f t="array" ref="AB54">IF(ISBLANK(AA54), "",
    SUMPRODUCT(
        (Transactions!$D$3:$D$1007=AA54) *
        (Transactions!$H$3:$H$1007={"Cash Deposit","Crypto Deposit","Buy","Transfer Deposit","DRIP","Airdrop/Rewards"}) *
        Transactions!$I$3:$I$1007
    )
    - SUMPRODUCT(
        (Transactions!$D$3:$D$1007=AA54) *
        (Transactions!$H$3:$H$1007={"Sell","Transfer Send","Cash Withdrawal","Crypto Withdrawal"}) *
        Transactions!$I$3:$I$1007
    )
)</f>
        <v>20</v>
      </c>
      <c r="AC54" s="2" cm="1">
        <f t="array" ref="AC54">IF(ISBLANK(AA54), "", LOOKUP(2, 1/(Transactions!D:D=AA54), Transactions!P:P))</f>
        <v>13.33</v>
      </c>
      <c r="AD54" s="2" cm="1">
        <f t="array" ref="AD54">IF(ISBLANK(AA54),"",IFERROR(_FV(AA54,"price"),INDEX('CoinGeko API'!E:E,MATCH(Portfolio_v2!AA54,'CoinGeko API'!C:C,0))))</f>
        <v>15.68</v>
      </c>
      <c r="AF54" s="39" cm="1">
        <f t="array" ref="AF54">IF(ISBLANK(AA54),"",IFERROR(_FV(AA54,"Change (%)",TRUE),INDEX('CoinGeko API'!G:G,MATCH(Portfolio_v2!AA54,'CoinGeko API'!C:C,0))))</f>
        <v>4.3941000000000001E-2</v>
      </c>
      <c r="AG54" s="34" cm="1">
        <f t="array" ref="AG54">IF(ISBLANK(AA54),"",IFERROR(_FV(AA54,"change"),INDEX('CoinGeko API'!F:F,MATCH(Portfolio_v2!AA54,'CoinGeko API'!C:C,0))))</f>
        <v>0.66</v>
      </c>
      <c r="AH54" s="2">
        <f t="shared" si="13"/>
        <v>266.60000000000002</v>
      </c>
      <c r="AI54" s="2">
        <f t="shared" si="14"/>
        <v>313.60000000000002</v>
      </c>
      <c r="AJ54" s="40">
        <f t="shared" si="15"/>
        <v>0.17629407351837958</v>
      </c>
      <c r="AK54" s="2">
        <f t="shared" si="16"/>
        <v>47</v>
      </c>
      <c r="AL54" s="119">
        <f>IF(OR(ISBLANK(AA54), COUNTIFS(Transactions!$D$3:$D1058, AA54) = 0), "",
    SUMIFS(Transactions!$M$3:$M1058, Transactions!$H$3:$H1058, "Sell", Transactions!$D$3:$D1058, AA54) +
    SUMIFS(Transactions!$M$3:$M1058, Transactions!$H$3:$H1058, "Dividend", Transactions!$D$3:$D1058, AA54) -
    SUMIFS(Transactions!$M$3:$M1058, Transactions!$H$3:$H1058, "Buy", Transactions!$D$3:$D1058, AA54) -
    SUMIFS(Transactions!$M$3:$M1058, Transactions!$H$3:$H1058, "Crypto Deposit", Transactions!$D$3:$D1058, AA54) -
    SUMIFS(Transactions!$M$3:$M1058, Transactions!$H$3:$H1058, "DRIP", Transactions!$D$3:$D1058, AA54) +
    SUMIFS($AH$3:$AH1050, $AA$3:$AA1050, AA54) +
    SUMIFS(Transactions!$M$3:$M1058, Transactions!$L$3:$L1058, "Stablecoin", Transactions!$B$3:$B1058, AA54)
)</f>
        <v>0</v>
      </c>
      <c r="AM54" s="120">
        <f t="shared" si="17"/>
        <v>47</v>
      </c>
      <c r="AN54" s="145"/>
      <c r="AO54" s="145"/>
      <c r="AP54" s="41">
        <f t="shared" si="1"/>
        <v>1.9554323401207068E-3</v>
      </c>
      <c r="AR54" s="41">
        <f t="shared" si="18"/>
        <v>1.9554323401207068E-3</v>
      </c>
      <c r="AS54" s="1" t="str">
        <f>_xlfn.XLOOKUP(AA54,Transactions!$D$3:$D$1007,Transactions!$F$3:$F$1007)</f>
        <v>Stocks</v>
      </c>
      <c r="AT54" s="41">
        <f t="shared" si="19"/>
        <v>0.17515167878590182</v>
      </c>
      <c r="AU54" s="41">
        <f t="shared" si="20"/>
        <v>0</v>
      </c>
      <c r="AV54" s="41">
        <f t="shared" si="21"/>
        <v>0.17515167878590182</v>
      </c>
      <c r="AW54" s="18"/>
    </row>
    <row r="55" spans="1:49" ht="18" customHeight="1">
      <c r="A55" s="17" t="str">
        <f t="shared" si="2"/>
        <v>CleanSpark</v>
      </c>
      <c r="B55" s="1" t="e" vm="25">
        <f t="shared" si="3"/>
        <v>#VALUE!</v>
      </c>
      <c r="C55" s="132">
        <f t="shared" si="4"/>
        <v>70</v>
      </c>
      <c r="D55" s="2" cm="1">
        <f t="array" ref="D55">IF($A55="", "",
    IFERROR(
        _xlfn.SWITCH(
            TRUE,
            AND(Y55="USD", Transactions!$Q$2="USD"), AC55,
            AND(Y55="USD", Transactions!$Q$2="GBP"), AC55*Transactions!$Z$3,
            AND(Y55="USD", Transactions!$Q$2="HKD"), AC55*Transactions!$Z$4,
            AND(Y55="USD", Transactions!$Q$2="EUR"), AC55*Transactions!$Z$5,
            AND(Y55="GBP", Transactions!$Q$2="GBP"), AC55,
            AND(Y55="GBP", Transactions!$Q$2="USD"), AC55*Transactions!$Z$6,
            AND(Y55="GBP", Transactions!$Q$2="HKD"), AC55*Transactions!$Z$7,
            AND(Y55="HKG", Transactions!$Q$2="HKG"), AC55,
            AND(Y55="HKD", Transactions!$Q$2="USD"), AC55*Transactions!$Z$9,
            AND(Y55="HKD", Transactions!$Q$2="GBP"), AC55*Transactions!$Z$10,
            AND(Y55="HKD", Transactions!$Q$2="EUR"), AC55*Transactions!$Z$11,
            AND(Y55="EUR", Transactions!$Q$2="EUR"), AC55,
            AND(Y55="EUR", Transactions!$Q$2="USD"), AC55*Transactions!$Z$12,
            AND(Y55="EUR", Transactions!$Q$2="GBP"), AC55*Transactions!$Z$13,
            AND(Y55="EUR", Transactions!$Q$2="HKD"), AC55*Transactions!$Z$14,
        ),
        0
    )
)</f>
        <v>8.7028571428571428</v>
      </c>
      <c r="E55" s="2" cm="1">
        <f t="array" ref="E55">IF($A55="", "",
    IFERROR(
        _xlfn.SWITCH(
            TRUE,
            AND(Y55="USD", Transactions!$Q$2="USD"), AD55,
            AND(Y55="USD", Transactions!$Q$2="GBP"), AD55*Transactions!$Z$3,
            AND(Y55="USD", Transactions!$Q$2="HKD"), AD55*Transactions!$Z$4,
            AND(Y55="USD", Transactions!$Q$2="EUR"), AD55*Transactions!$Z$5,
            AND(Y55="GBP", Transactions!$Q$2="GBP"), AD55,
            AND(Y55="GBP", Transactions!$Q$2="USD"), AD55*Transactions!$Z$6,
            AND(Y55="GBP", Transactions!$Q$2="HKD"), AD55*Transactions!$Z$7,
            AND(Y55="HKG", Transactions!$Q$2="HKG"), AD55,
            AND(Y55="HKD", Transactions!$Q$2="USD"), AD55*Transactions!$Z$9,
            AND(Y55="HKD", Transactions!$Q$2="GBP"), AD55*Transactions!$Z$10,
            AND(Y55="HKD", Transactions!$Q$2="EUR"), AD55*Transactions!$Z$11,
            AND(Y55="EUR", Transactions!$Q$2="EUR"), AD55,
            AND(Y55="EUR", Transactions!$Q$2="USD"), AD55*Transactions!$Z$12,
            AND(Y55="EUR", Transactions!$Q$2="GBP"), AD55*Transactions!$Z$13,
            AND(Y55="EUR", Transactions!$Q$2="HKD"), AD55*Transactions!$Z$14,
        ),
        0
    )
)</f>
        <v>16.36</v>
      </c>
      <c r="G55" s="121">
        <f t="shared" si="30"/>
        <v>1.6781000000000001E-2</v>
      </c>
      <c r="H55" s="34" cm="1">
        <f t="array" ref="H55">IF($A55="", "",
    IFERROR(
        _xlfn.SWITCH(
            TRUE,
            AND(Y55="USD", Transactions!$Q$2="USD"), AG55,
            AND(Y55="USD", Transactions!$Q$2="GBP"), AG55*Transactions!$Z$3,
            AND(Y55="USD", Transactions!$Q$2="HKD"), AG55*Transactions!$Z$4,
            AND(Y55="USD", Transactions!$Q$2="EUR"), AG55*Transactions!$Z$5,
            AND(Y55="GBP", Transactions!$Q$2="GBP"), AG55,
            AND(Y55="GBP", Transactions!$Q$2="USD"), AG55*Transactions!$Z$6,
            AND(Y55="GBP", Transactions!$Q$2="HKD"), AG55*Transactions!$Z$7,
            AND(Y55="HKG", Transactions!$Q$2="HKG"), AG55,
            AND(Y55="HKD", Transactions!$Q$2="USD"), AG55*Transactions!$Z$9,
            AND(Y55="HKD", Transactions!$Q$2="GBP"), AG55*Transactions!$Z$10,
            AND(Y55="HKD", Transactions!$Q$2="EUR"), AG55*Transactions!$Z$11,
            AND(Y55="EUR", Transactions!$Q$2="EUR"), AG55,
            AND(Y55="EUR", Transactions!$Q$2="USD"), AG55*Transactions!$Z$12,
            AND(Y55="EUR", Transactions!$Q$2="GBP"), AG55*Transactions!$Z$13,
            AND(Y55="EUR", Transactions!$Q$2="HKD"), AG55*Transactions!$Z$14,
        ),
        0
    )
)</f>
        <v>0.27</v>
      </c>
      <c r="I55" s="2" cm="1">
        <f t="array" ref="I55">IF($A55="", "",
    IFERROR(
        _xlfn.SWITCH(
            TRUE,
            AND(Y55="USD", Transactions!$Q$2="USD"), AH55,
            AND(Y55="USD", Transactions!$Q$2="GBP"), AH55*Transactions!$Z$3,
            AND(Y55="USD", Transactions!$Q$2="HKD"), AH55*Transactions!$Z$4,
            AND(Y55="USD", Transactions!$Q$2="EUR"), AH55*Transactions!$Z$5,
            AND(Y55="GBP", Transactions!$Q$2="GBP"), AH55,
            AND(Y55="GBP", Transactions!$Q$2="USD"), AH55*Transactions!$Z$6,
            AND(Y55="GBP", Transactions!$Q$2="HKD"), AH55*Transactions!$Z$7,
            AND(Y55="HKG", Transactions!$Q$2="HKG"), AH55,
            AND(Y55="HKD", Transactions!$Q$2="USD"), AH55*Transactions!$Z$9,
            AND(Y55="HKD", Transactions!$Q$2="GBP"), AH55*Transactions!$Z$10,
            AND(Y55="HKD", Transactions!$Q$2="EUR"), AH55*Transactions!$Z$11,
            AND(Y55="EUR", Transactions!$Q$2="EUR"), AH55,
            AND(Y55="EUR", Transactions!$Q$2="USD"), AH55*Transactions!$Z$12,
            AND(Y55="EUR", Transactions!$Q$2="GBP"), AH55*Transactions!$Z$13,
            AND(Y55="EUR", Transactions!$Q$2="HKD"), AH55*Transactions!$Z$14,
        ),
        0
    )
)</f>
        <v>609.20000000000005</v>
      </c>
      <c r="J55" s="2" cm="1">
        <f t="array" ref="J55">IF($A55="", "",
    IFERROR(
        _xlfn.SWITCH(
            TRUE,
            AND(Y55="USD", Transactions!$Q$2="USD"), AI55,
            AND(Y55="USD", Transactions!$Q$2="GBP"), AI55*Transactions!$Z$3,
            AND(Y55="USD", Transactions!$Q$2="HKD"), AI55*Transactions!$Z$4,
            AND(Y55="USD", Transactions!$Q$2="EUR"), AI55*Transactions!$Z$5,
            AND(Y55="GBP", Transactions!$Q$2="GBP"), AI55,
            AND(Y55="GBP", Transactions!$Q$2="USD"), AI55*Transactions!$Z$6,
            AND(Y55="GBP", Transactions!$Q$2="HKD"), AI55*Transactions!$Z$7,
            AND(Y55="HKG", Transactions!$Q$2="HKG"), AI55,
            AND(Y55="HKD", Transactions!$Q$2="USD"), AI55*Transactions!$Z$9,
            AND(Y55="HKD", Transactions!$Q$2="GBP"), AI55*Transactions!$Z$10,
            AND(Y55="HKD", Transactions!$Q$2="EUR"), AI55*Transactions!$Z$11,
            AND(Y55="EUR", Transactions!$Q$2="EUR"), AI55,
            AND(Y55="EUR", Transactions!$Q$2="USD"), AI55*Transactions!$Z$12,
            AND(Y55="EUR", Transactions!$Q$2="GBP"), AI55*Transactions!$Z$13,
            AND(Y55="EUR", Transactions!$Q$2="HKD"), AI55*Transactions!$Z$14,
        ),
        0
    )
)</f>
        <v>1145.2</v>
      </c>
      <c r="K55" s="41">
        <f t="shared" si="23"/>
        <v>0.87984241628365067</v>
      </c>
      <c r="L55" s="2" cm="1">
        <f t="array" ref="L55">IF($A55="", "",
    IFERROR(
        _xlfn.SWITCH(
            TRUE,
            AND(Y55="USD", Transactions!$Q$2="USD"), AK55,
            AND(Y55="USD", Transactions!$Q$2="GBP"), AK55*Transactions!$Z$3,
            AND(Y55="USD", Transactions!$Q$2="HKD"), AK55*Transactions!$Z$4,
            AND(Y55="USD", Transactions!$Q$2="EUR"), AK55*Transactions!$Z$5,
            AND(Y55="GBP", Transactions!$Q$2="GBP"), AK55,
            AND(Y55="GBP", Transactions!$Q$2="USD"), AK55*Transactions!$Z$6,
            AND(Y55="GBP", Transactions!$Q$2="HKD"), AK55*Transactions!$Z$7,
            AND(Y55="HKG", Transactions!$Q$2="HKG"), AK55,
            AND(Y55="HKD", Transactions!$Q$2="USD"), AK55*Transactions!$Z$9,
            AND(Y55="HKD", Transactions!$Q$2="GBP"), AK55*Transactions!$Z$10,
            AND(Y55="HKD", Transactions!$Q$2="EUR"), AK55*Transactions!$Z$11,
            AND(Y55="EUR", Transactions!$Q$2="EUR"), AK55,
            AND(Y55="EUR", Transactions!$Q$2="USD"), AK55*Transactions!$Z$12,
            AND(Y55="EUR", Transactions!$Q$2="GBP"), AK55*Transactions!$Z$13,
            AND(Y55="EUR", Transactions!$Q$2="HKD"), AK55*Transactions!$Z$14,
        ),
        0
    )
)</f>
        <v>536</v>
      </c>
      <c r="M55" s="119" cm="1">
        <f t="array" ref="M55">IF($A55="", "",
    IFERROR(
        _xlfn.SWITCH(
            TRUE,
            AND(Y55="USD", Transactions!$Q$2="USD"), AL55,
            AND(Y55="USD", Transactions!$Q$2="GBP"), AL55*Transactions!$Z$3,
            AND(Y55="USD", Transactions!$Q$2="HKD"), AL55*Transactions!$Z$4,
            AND(Y55="USD", Transactions!$Q$2="EUR"), AL55*Transactions!$Z$5,
            AND(Y55="GBP", Transactions!$Q$2="GBP"), AL55,
            AND(Y55="GBP", Transactions!$Q$2="USD"), AL55*Transactions!$Z$6,
            AND(Y55="GBP", Transactions!$Q$2="HKD"), AL55*Transactions!$Z$7,
            AND(Y55="HKG", Transactions!$Q$2="HKG"), AL55,
            AND(Y55="HKD", Transactions!$Q$2="USD"), AL55*Transactions!$Z$9,
            AND(Y55="HKD", Transactions!$Q$2="GBP"), AL55*Transactions!$Z$10,
            AND(Y55="HKD", Transactions!$Q$2="EUR"), AL55*Transactions!$Z$11,
            AND(Y55="EUR", Transactions!$Q$2="EUR"), AL55,
            AND(Y55="EUR", Transactions!$Q$2="USD"), AL55*Transactions!$Z$12,
            AND(Y55="EUR", Transactions!$Q$2="GBP"), AL55*Transactions!$Z$13,
            AND(Y55="EUR", Transactions!$Q$2="HKD"), AL55*Transactions!$Z$14,
        ),
        0
    )
)</f>
        <v>0</v>
      </c>
      <c r="N55" s="120" cm="1">
        <f t="array" ref="N55">IF($A55="", "",
    IFERROR(
        _xlfn.SWITCH(
            TRUE,
            AND(Y55="USD", Transactions!$Q$2="USD"), AM55,
            AND(Y55="USD", Transactions!$Q$2="GBP"), AM55*Transactions!$Z$3,
            AND(Y55="USD", Transactions!$Q$2="HKD"), AM55*Transactions!$Z$4,
            AND(Y55="USD", Transactions!$Q$2="EUR"), AM55*Transactions!$Z$5,
            AND(Y55="GBP", Transactions!$Q$2="GBP"), AM55,
            AND(Y55="GBP", Transactions!$Q$2="USD"), AM55*Transactions!$Z$6,
            AND(Y55="GBP", Transactions!$Q$2="HKD"), AM55*Transactions!$Z$7,
            AND(Y55="HKG", Transactions!$Q$2="HKG"), AM55,
            AND(Y55="HKD", Transactions!$Q$2="USD"), AM55*Transactions!$Z$9,
            AND(Y55="HKD", Transactions!$Q$2="GBP"), AM55*Transactions!$Z$10,
            AND(Y55="HKD", Transactions!$Q$2="EUR"), AM55*Transactions!$Z$11,
            AND(Y55="EUR", Transactions!$Q$2="EUR"), AM55,
            AND(Y55="EUR", Transactions!$Q$2="USD"), AM55*Transactions!$Z$12,
            AND(Y55="EUR", Transactions!$Q$2="GBP"), AM55*Transactions!$Z$13,
            AND(Y55="EUR", Transactions!$Q$2="HKD"), AM55*Transactions!$Z$14,
        ),
        0
    )
)</f>
        <v>536</v>
      </c>
      <c r="O55" s="145"/>
      <c r="P55" s="145"/>
      <c r="Q55" s="41">
        <f t="shared" si="24"/>
        <v>7.1408198849050803E-3</v>
      </c>
      <c r="S55" s="41">
        <f t="shared" si="25"/>
        <v>7.1408198849050803E-3</v>
      </c>
      <c r="T55" s="1" t="str">
        <f t="shared" si="26"/>
        <v>Stocks</v>
      </c>
      <c r="U55" s="41">
        <f t="shared" si="27"/>
        <v>0.17515167878590182</v>
      </c>
      <c r="V55" s="41">
        <f t="shared" si="28"/>
        <v>0</v>
      </c>
      <c r="W55" s="41">
        <f t="shared" si="29"/>
        <v>0.17515167878590182</v>
      </c>
      <c r="Y55" s="17" t="str">
        <f>IFERROR(IF(ISBLANK(AA55), "", IF(VLOOKUP(AA55, Transactions!D:F, 3, FALSE) = "Stablecoin", AA55, INDEX(Transactions!$B$3:$B1059, MATCH(AA55, Transactions!$D$3:$D1059, 0)))), "")</f>
        <v>USD</v>
      </c>
      <c r="Z55" s="1" t="str">
        <f>_xlfn.XLOOKUP(AA55,Transactions!$D$3:$D$1007,Transactions!$E$3:$E$1007)</f>
        <v>CleanSpark</v>
      </c>
      <c r="AA55" s="1" t="e" vm="25">
        <v>#VALUE!</v>
      </c>
      <c r="AB55" s="118" cm="1">
        <f t="array" ref="AB55">IF(ISBLANK(AA55), "",
    SUMPRODUCT(
        (Transactions!$D$3:$D$1007=AA55) *
        (Transactions!$H$3:$H$1007={"Cash Deposit","Crypto Deposit","Buy","Transfer Deposit","DRIP","Airdrop/Rewards"}) *
        Transactions!$I$3:$I$1007
    )
    - SUMPRODUCT(
        (Transactions!$D$3:$D$1007=AA55) *
        (Transactions!$H$3:$H$1007={"Sell","Transfer Send","Cash Withdrawal","Crypto Withdrawal"}) *
        Transactions!$I$3:$I$1007
    )
)</f>
        <v>70</v>
      </c>
      <c r="AC55" s="2" cm="1">
        <f t="array" ref="AC55">IF(ISBLANK(AA55), "", LOOKUP(2, 1/(Transactions!D:D=AA55), Transactions!P:P))</f>
        <v>8.7028571428571428</v>
      </c>
      <c r="AD55" s="2" cm="1">
        <f t="array" ref="AD55">IF(ISBLANK(AA55),"",IFERROR(_FV(AA55,"price"),INDEX('CoinGeko API'!E:E,MATCH(Portfolio_v2!AA55,'CoinGeko API'!C:C,0))))</f>
        <v>16.36</v>
      </c>
      <c r="AF55" s="39" cm="1">
        <f t="array" ref="AF55">IF(ISBLANK(AA55),"",IFERROR(_FV(AA55,"Change (%)",TRUE),INDEX('CoinGeko API'!G:G,MATCH(Portfolio_v2!AA55,'CoinGeko API'!C:C,0))))</f>
        <v>1.6781000000000001E-2</v>
      </c>
      <c r="AG55" s="34" cm="1">
        <f t="array" ref="AG55">IF(ISBLANK(AA55),"",IFERROR(_FV(AA55,"change"),INDEX('CoinGeko API'!F:F,MATCH(Portfolio_v2!AA55,'CoinGeko API'!C:C,0))))</f>
        <v>0.27</v>
      </c>
      <c r="AH55" s="2">
        <f t="shared" si="13"/>
        <v>609.20000000000005</v>
      </c>
      <c r="AI55" s="2">
        <f t="shared" si="14"/>
        <v>1145.2</v>
      </c>
      <c r="AJ55" s="40">
        <f t="shared" si="15"/>
        <v>0.87984241628365067</v>
      </c>
      <c r="AK55" s="2">
        <f t="shared" si="16"/>
        <v>536</v>
      </c>
      <c r="AL55" s="119">
        <f>IF(OR(ISBLANK(AA55), COUNTIFS(Transactions!$D$3:$D1059, AA55) = 0), "",
    SUMIFS(Transactions!$M$3:$M1059, Transactions!$H$3:$H1059, "Sell", Transactions!$D$3:$D1059, AA55) +
    SUMIFS(Transactions!$M$3:$M1059, Transactions!$H$3:$H1059, "Dividend", Transactions!$D$3:$D1059, AA55) -
    SUMIFS(Transactions!$M$3:$M1059, Transactions!$H$3:$H1059, "Buy", Transactions!$D$3:$D1059, AA55) -
    SUMIFS(Transactions!$M$3:$M1059, Transactions!$H$3:$H1059, "Crypto Deposit", Transactions!$D$3:$D1059, AA55) -
    SUMIFS(Transactions!$M$3:$M1059, Transactions!$H$3:$H1059, "DRIP", Transactions!$D$3:$D1059, AA55) +
    SUMIFS($AH$3:$AH1051, $AA$3:$AA1051, AA55) +
    SUMIFS(Transactions!$M$3:$M1059, Transactions!$L$3:$L1059, "Stablecoin", Transactions!$B$3:$B1059, AA55)
)</f>
        <v>0</v>
      </c>
      <c r="AM55" s="120">
        <f t="shared" si="17"/>
        <v>536</v>
      </c>
      <c r="AN55" s="145"/>
      <c r="AO55" s="145"/>
      <c r="AP55" s="41">
        <f t="shared" si="1"/>
        <v>7.1408198849050803E-3</v>
      </c>
      <c r="AR55" s="41">
        <f t="shared" si="18"/>
        <v>7.1408198849050803E-3</v>
      </c>
      <c r="AS55" s="1" t="str">
        <f>_xlfn.XLOOKUP(AA55,Transactions!$D$3:$D$1007,Transactions!$F$3:$F$1007)</f>
        <v>Stocks</v>
      </c>
      <c r="AT55" s="41">
        <f t="shared" si="19"/>
        <v>0.17515167878590182</v>
      </c>
      <c r="AU55" s="41">
        <f t="shared" si="20"/>
        <v>0</v>
      </c>
      <c r="AV55" s="41">
        <f t="shared" si="21"/>
        <v>0.17515167878590182</v>
      </c>
      <c r="AW55" s="18"/>
    </row>
    <row r="56" spans="1:49" ht="18" customHeight="1">
      <c r="A56" s="17" t="str">
        <f t="shared" si="2"/>
        <v>Coinbase</v>
      </c>
      <c r="B56" s="1" t="e" vm="17">
        <f t="shared" si="3"/>
        <v>#VALUE!</v>
      </c>
      <c r="C56" s="132">
        <f t="shared" si="4"/>
        <v>58</v>
      </c>
      <c r="D56" s="2" cm="1">
        <f t="array" ref="D56">IF($A56="", "",
    IFERROR(
        _xlfn.SWITCH(
            TRUE,
            AND(Y56="USD", Transactions!$Q$2="USD"), AC56,
            AND(Y56="USD", Transactions!$Q$2="GBP"), AC56*Transactions!$Z$3,
            AND(Y56="USD", Transactions!$Q$2="HKD"), AC56*Transactions!$Z$4,
            AND(Y56="USD", Transactions!$Q$2="EUR"), AC56*Transactions!$Z$5,
            AND(Y56="GBP", Transactions!$Q$2="GBP"), AC56,
            AND(Y56="GBP", Transactions!$Q$2="USD"), AC56*Transactions!$Z$6,
            AND(Y56="GBP", Transactions!$Q$2="HKD"), AC56*Transactions!$Z$7,
            AND(Y56="HKG", Transactions!$Q$2="HKG"), AC56,
            AND(Y56="HKD", Transactions!$Q$2="USD"), AC56*Transactions!$Z$9,
            AND(Y56="HKD", Transactions!$Q$2="GBP"), AC56*Transactions!$Z$10,
            AND(Y56="HKD", Transactions!$Q$2="EUR"), AC56*Transactions!$Z$11,
            AND(Y56="EUR", Transactions!$Q$2="EUR"), AC56,
            AND(Y56="EUR", Transactions!$Q$2="USD"), AC56*Transactions!$Z$12,
            AND(Y56="EUR", Transactions!$Q$2="GBP"), AC56*Transactions!$Z$13,
            AND(Y56="EUR", Transactions!$Q$2="HKD"), AC56*Transactions!$Z$14,
        ),
        0
    )
)</f>
        <v>82.934843603411494</v>
      </c>
      <c r="E56" s="2" cm="1">
        <f t="array" ref="E56">IF($A56="", "",
    IFERROR(
        _xlfn.SWITCH(
            TRUE,
            AND(Y56="USD", Transactions!$Q$2="USD"), AD56,
            AND(Y56="USD", Transactions!$Q$2="GBP"), AD56*Transactions!$Z$3,
            AND(Y56="USD", Transactions!$Q$2="HKD"), AD56*Transactions!$Z$4,
            AND(Y56="USD", Transactions!$Q$2="EUR"), AD56*Transactions!$Z$5,
            AND(Y56="GBP", Transactions!$Q$2="GBP"), AD56,
            AND(Y56="GBP", Transactions!$Q$2="USD"), AD56*Transactions!$Z$6,
            AND(Y56="GBP", Transactions!$Q$2="HKD"), AD56*Transactions!$Z$7,
            AND(Y56="HKG", Transactions!$Q$2="HKG"), AD56,
            AND(Y56="HKD", Transactions!$Q$2="USD"), AD56*Transactions!$Z$9,
            AND(Y56="HKD", Transactions!$Q$2="GBP"), AD56*Transactions!$Z$10,
            AND(Y56="HKD", Transactions!$Q$2="EUR"), AD56*Transactions!$Z$11,
            AND(Y56="EUR", Transactions!$Q$2="EUR"), AD56,
            AND(Y56="EUR", Transactions!$Q$2="USD"), AD56*Transactions!$Z$12,
            AND(Y56="EUR", Transactions!$Q$2="GBP"), AD56*Transactions!$Z$13,
            AND(Y56="EUR", Transactions!$Q$2="HKD"), AD56*Transactions!$Z$14,
        ),
        0
    )
)</f>
        <v>251.4</v>
      </c>
      <c r="G56" s="121">
        <f t="shared" si="30"/>
        <v>2.9484E-2</v>
      </c>
      <c r="H56" s="34" cm="1">
        <f t="array" ref="H56">IF($A56="", "",
    IFERROR(
        _xlfn.SWITCH(
            TRUE,
            AND(Y56="USD", Transactions!$Q$2="USD"), AG56,
            AND(Y56="USD", Transactions!$Q$2="GBP"), AG56*Transactions!$Z$3,
            AND(Y56="USD", Transactions!$Q$2="HKD"), AG56*Transactions!$Z$4,
            AND(Y56="USD", Transactions!$Q$2="EUR"), AG56*Transactions!$Z$5,
            AND(Y56="GBP", Transactions!$Q$2="GBP"), AG56,
            AND(Y56="GBP", Transactions!$Q$2="USD"), AG56*Transactions!$Z$6,
            AND(Y56="GBP", Transactions!$Q$2="HKD"), AG56*Transactions!$Z$7,
            AND(Y56="HKG", Transactions!$Q$2="HKG"), AG56,
            AND(Y56="HKD", Transactions!$Q$2="USD"), AG56*Transactions!$Z$9,
            AND(Y56="HKD", Transactions!$Q$2="GBP"), AG56*Transactions!$Z$10,
            AND(Y56="HKD", Transactions!$Q$2="EUR"), AG56*Transactions!$Z$11,
            AND(Y56="EUR", Transactions!$Q$2="EUR"), AG56,
            AND(Y56="EUR", Transactions!$Q$2="USD"), AG56*Transactions!$Z$12,
            AND(Y56="EUR", Transactions!$Q$2="GBP"), AG56*Transactions!$Z$13,
            AND(Y56="EUR", Transactions!$Q$2="HKD"), AG56*Transactions!$Z$14,
        ),
        0
    )
)</f>
        <v>7.2</v>
      </c>
      <c r="I56" s="2" cm="1">
        <f t="array" ref="I56">IF($A56="", "",
    IFERROR(
        _xlfn.SWITCH(
            TRUE,
            AND(Y56="USD", Transactions!$Q$2="USD"), AH56,
            AND(Y56="USD", Transactions!$Q$2="GBP"), AH56*Transactions!$Z$3,
            AND(Y56="USD", Transactions!$Q$2="HKD"), AH56*Transactions!$Z$4,
            AND(Y56="USD", Transactions!$Q$2="EUR"), AH56*Transactions!$Z$5,
            AND(Y56="GBP", Transactions!$Q$2="GBP"), AH56,
            AND(Y56="GBP", Transactions!$Q$2="USD"), AH56*Transactions!$Z$6,
            AND(Y56="GBP", Transactions!$Q$2="HKD"), AH56*Transactions!$Z$7,
            AND(Y56="HKG", Transactions!$Q$2="HKG"), AH56,
            AND(Y56="HKD", Transactions!$Q$2="USD"), AH56*Transactions!$Z$9,
            AND(Y56="HKD", Transactions!$Q$2="GBP"), AH56*Transactions!$Z$10,
            AND(Y56="HKD", Transactions!$Q$2="EUR"), AH56*Transactions!$Z$11,
            AND(Y56="EUR", Transactions!$Q$2="EUR"), AH56,
            AND(Y56="EUR", Transactions!$Q$2="USD"), AH56*Transactions!$Z$12,
            AND(Y56="EUR", Transactions!$Q$2="GBP"), AH56*Transactions!$Z$13,
            AND(Y56="EUR", Transactions!$Q$2="HKD"), AH56*Transactions!$Z$14,
        ),
        0
    )
)</f>
        <v>4810.2209289978664</v>
      </c>
      <c r="J56" s="2" cm="1">
        <f t="array" ref="J56">IF($A56="", "",
    IFERROR(
        _xlfn.SWITCH(
            TRUE,
            AND(Y56="USD", Transactions!$Q$2="USD"), AI56,
            AND(Y56="USD", Transactions!$Q$2="GBP"), AI56*Transactions!$Z$3,
            AND(Y56="USD", Transactions!$Q$2="HKD"), AI56*Transactions!$Z$4,
            AND(Y56="USD", Transactions!$Q$2="EUR"), AI56*Transactions!$Z$5,
            AND(Y56="GBP", Transactions!$Q$2="GBP"), AI56,
            AND(Y56="GBP", Transactions!$Q$2="USD"), AI56*Transactions!$Z$6,
            AND(Y56="GBP", Transactions!$Q$2="HKD"), AI56*Transactions!$Z$7,
            AND(Y56="HKG", Transactions!$Q$2="HKG"), AI56,
            AND(Y56="HKD", Transactions!$Q$2="USD"), AI56*Transactions!$Z$9,
            AND(Y56="HKD", Transactions!$Q$2="GBP"), AI56*Transactions!$Z$10,
            AND(Y56="HKD", Transactions!$Q$2="EUR"), AI56*Transactions!$Z$11,
            AND(Y56="EUR", Transactions!$Q$2="EUR"), AI56,
            AND(Y56="EUR", Transactions!$Q$2="USD"), AI56*Transactions!$Z$12,
            AND(Y56="EUR", Transactions!$Q$2="GBP"), AI56*Transactions!$Z$13,
            AND(Y56="EUR", Transactions!$Q$2="HKD"), AI56*Transactions!$Z$14,
        ),
        0
    )
)</f>
        <v>14581.2</v>
      </c>
      <c r="K56" s="41">
        <f t="shared" si="23"/>
        <v>2.0312952804514453</v>
      </c>
      <c r="L56" s="2" cm="1">
        <f t="array" ref="L56">IF($A56="", "",
    IFERROR(
        _xlfn.SWITCH(
            TRUE,
            AND(Y56="USD", Transactions!$Q$2="USD"), AK56,
            AND(Y56="USD", Transactions!$Q$2="GBP"), AK56*Transactions!$Z$3,
            AND(Y56="USD", Transactions!$Q$2="HKD"), AK56*Transactions!$Z$4,
            AND(Y56="USD", Transactions!$Q$2="EUR"), AK56*Transactions!$Z$5,
            AND(Y56="GBP", Transactions!$Q$2="GBP"), AK56,
            AND(Y56="GBP", Transactions!$Q$2="USD"), AK56*Transactions!$Z$6,
            AND(Y56="GBP", Transactions!$Q$2="HKD"), AK56*Transactions!$Z$7,
            AND(Y56="HKG", Transactions!$Q$2="HKG"), AK56,
            AND(Y56="HKD", Transactions!$Q$2="USD"), AK56*Transactions!$Z$9,
            AND(Y56="HKD", Transactions!$Q$2="GBP"), AK56*Transactions!$Z$10,
            AND(Y56="HKD", Transactions!$Q$2="EUR"), AK56*Transactions!$Z$11,
            AND(Y56="EUR", Transactions!$Q$2="EUR"), AK56,
            AND(Y56="EUR", Transactions!$Q$2="USD"), AK56*Transactions!$Z$12,
            AND(Y56="EUR", Transactions!$Q$2="GBP"), AK56*Transactions!$Z$13,
            AND(Y56="EUR", Transactions!$Q$2="HKD"), AK56*Transactions!$Z$14,
        ),
        0
    )
)</f>
        <v>9770.9790710021334</v>
      </c>
      <c r="M56" s="119" cm="1">
        <f t="array" ref="M56">IF($A56="", "",
    IFERROR(
        _xlfn.SWITCH(
            TRUE,
            AND(Y56="USD", Transactions!$Q$2="USD"), AL56,
            AND(Y56="USD", Transactions!$Q$2="GBP"), AL56*Transactions!$Z$3,
            AND(Y56="USD", Transactions!$Q$2="HKD"), AL56*Transactions!$Z$4,
            AND(Y56="USD", Transactions!$Q$2="EUR"), AL56*Transactions!$Z$5,
            AND(Y56="GBP", Transactions!$Q$2="GBP"), AL56,
            AND(Y56="GBP", Transactions!$Q$2="USD"), AL56*Transactions!$Z$6,
            AND(Y56="GBP", Transactions!$Q$2="HKD"), AL56*Transactions!$Z$7,
            AND(Y56="HKG", Transactions!$Q$2="HKG"), AL56,
            AND(Y56="HKD", Transactions!$Q$2="USD"), AL56*Transactions!$Z$9,
            AND(Y56="HKD", Transactions!$Q$2="GBP"), AL56*Transactions!$Z$10,
            AND(Y56="HKD", Transactions!$Q$2="EUR"), AL56*Transactions!$Z$11,
            AND(Y56="EUR", Transactions!$Q$2="EUR"), AL56,
            AND(Y56="EUR", Transactions!$Q$2="USD"), AL56*Transactions!$Z$12,
            AND(Y56="EUR", Transactions!$Q$2="GBP"), AL56*Transactions!$Z$13,
            AND(Y56="EUR", Transactions!$Q$2="HKD"), AL56*Transactions!$Z$14,
        ),
        0
    )
)</f>
        <v>6599.6757289978659</v>
      </c>
      <c r="N56" s="120" cm="1">
        <f t="array" ref="N56">IF($A56="", "",
    IFERROR(
        _xlfn.SWITCH(
            TRUE,
            AND(Y56="USD", Transactions!$Q$2="USD"), AM56,
            AND(Y56="USD", Transactions!$Q$2="GBP"), AM56*Transactions!$Z$3,
            AND(Y56="USD", Transactions!$Q$2="HKD"), AM56*Transactions!$Z$4,
            AND(Y56="USD", Transactions!$Q$2="EUR"), AM56*Transactions!$Z$5,
            AND(Y56="GBP", Transactions!$Q$2="GBP"), AM56,
            AND(Y56="GBP", Transactions!$Q$2="USD"), AM56*Transactions!$Z$6,
            AND(Y56="GBP", Transactions!$Q$2="HKD"), AM56*Transactions!$Z$7,
            AND(Y56="HKG", Transactions!$Q$2="HKG"), AM56,
            AND(Y56="HKD", Transactions!$Q$2="USD"), AM56*Transactions!$Z$9,
            AND(Y56="HKD", Transactions!$Q$2="GBP"), AM56*Transactions!$Z$10,
            AND(Y56="HKD", Transactions!$Q$2="EUR"), AM56*Transactions!$Z$11,
            AND(Y56="EUR", Transactions!$Q$2="EUR"), AM56,
            AND(Y56="EUR", Transactions!$Q$2="USD"), AM56*Transactions!$Z$12,
            AND(Y56="EUR", Transactions!$Q$2="GBP"), AM56*Transactions!$Z$13,
            AND(Y56="EUR", Transactions!$Q$2="HKD"), AM56*Transactions!$Z$14,
        ),
        0
    )
)</f>
        <v>16370.6548</v>
      </c>
      <c r="O56" s="145"/>
      <c r="P56" s="145"/>
      <c r="Q56" s="41">
        <f t="shared" si="24"/>
        <v>9.0920121293903214E-2</v>
      </c>
      <c r="S56" s="41">
        <f t="shared" si="25"/>
        <v>9.0920121293903214E-2</v>
      </c>
      <c r="T56" s="1" t="str">
        <f t="shared" si="26"/>
        <v>Stocks</v>
      </c>
      <c r="U56" s="41">
        <f t="shared" si="27"/>
        <v>0.17515167878590182</v>
      </c>
      <c r="V56" s="41">
        <f t="shared" si="28"/>
        <v>0</v>
      </c>
      <c r="W56" s="41">
        <f t="shared" si="29"/>
        <v>0.17515167878590182</v>
      </c>
      <c r="Y56" s="17" t="str">
        <f>IFERROR(IF(ISBLANK(AA56), "", IF(VLOOKUP(AA56, Transactions!D:F, 3, FALSE) = "Stablecoin", AA56, INDEX(Transactions!$B$3:$B1060, MATCH(AA56, Transactions!$D$3:$D1060, 0)))), "")</f>
        <v>USD</v>
      </c>
      <c r="Z56" s="1" t="str">
        <f>_xlfn.XLOOKUP(AA56,Transactions!$D$3:$D$1007,Transactions!$E$3:$E$1007)</f>
        <v>Coinbase</v>
      </c>
      <c r="AA56" s="1" t="e" vm="17">
        <v>#VALUE!</v>
      </c>
      <c r="AB56" s="118" cm="1">
        <f t="array" ref="AB56">IF(ISBLANK(AA56), "",
    SUMPRODUCT(
        (Transactions!$D$3:$D$1007=AA56) *
        (Transactions!$H$3:$H$1007={"Cash Deposit","Crypto Deposit","Buy","Transfer Deposit","DRIP","Airdrop/Rewards"}) *
        Transactions!$I$3:$I$1007
    )
    - SUMPRODUCT(
        (Transactions!$D$3:$D$1007=AA56) *
        (Transactions!$H$3:$H$1007={"Sell","Transfer Send","Cash Withdrawal","Crypto Withdrawal"}) *
        Transactions!$I$3:$I$1007
    )
)</f>
        <v>58</v>
      </c>
      <c r="AC56" s="2" cm="1">
        <f t="array" ref="AC56">IF(ISBLANK(AA56), "", LOOKUP(2, 1/(Transactions!D:D=AA56), Transactions!P:P))</f>
        <v>82.934843603411494</v>
      </c>
      <c r="AD56" s="2" cm="1">
        <f t="array" ref="AD56">IF(ISBLANK(AA56),"",IFERROR(_FV(AA56,"price"),INDEX('CoinGeko API'!E:E,MATCH(Portfolio_v2!AA56,'CoinGeko API'!C:C,0))))</f>
        <v>251.4</v>
      </c>
      <c r="AF56" s="39" cm="1">
        <f t="array" ref="AF56">IF(ISBLANK(AA56),"",IFERROR(_FV(AA56,"Change (%)",TRUE),INDEX('CoinGeko API'!G:G,MATCH(Portfolio_v2!AA56,'CoinGeko API'!C:C,0))))</f>
        <v>2.9484E-2</v>
      </c>
      <c r="AG56" s="34" cm="1">
        <f t="array" ref="AG56">IF(ISBLANK(AA56),"",IFERROR(_FV(AA56,"change"),INDEX('CoinGeko API'!F:F,MATCH(Portfolio_v2!AA56,'CoinGeko API'!C:C,0))))</f>
        <v>7.2</v>
      </c>
      <c r="AH56" s="2">
        <f t="shared" si="13"/>
        <v>4810.2209289978664</v>
      </c>
      <c r="AI56" s="2">
        <f t="shared" si="14"/>
        <v>14581.2</v>
      </c>
      <c r="AJ56" s="40">
        <f t="shared" si="15"/>
        <v>2.0312952804514453</v>
      </c>
      <c r="AK56" s="2">
        <f t="shared" si="16"/>
        <v>9770.9790710021334</v>
      </c>
      <c r="AL56" s="119">
        <f>IF(OR(ISBLANK(AA56), COUNTIFS(Transactions!$D$3:$D1060, AA56) = 0), "",
    SUMIFS(Transactions!$M$3:$M1060, Transactions!$H$3:$H1060, "Sell", Transactions!$D$3:$D1060, AA56) +
    SUMIFS(Transactions!$M$3:$M1060, Transactions!$H$3:$H1060, "Dividend", Transactions!$D$3:$D1060, AA56) -
    SUMIFS(Transactions!$M$3:$M1060, Transactions!$H$3:$H1060, "Buy", Transactions!$D$3:$D1060, AA56) -
    SUMIFS(Transactions!$M$3:$M1060, Transactions!$H$3:$H1060, "Crypto Deposit", Transactions!$D$3:$D1060, AA56) -
    SUMIFS(Transactions!$M$3:$M1060, Transactions!$H$3:$H1060, "DRIP", Transactions!$D$3:$D1060, AA56) +
    SUMIFS($AH$3:$AH1052, $AA$3:$AA1052, AA56) +
    SUMIFS(Transactions!$M$3:$M1060, Transactions!$L$3:$L1060, "Stablecoin", Transactions!$B$3:$B1060, AA56)
)</f>
        <v>6599.6757289978659</v>
      </c>
      <c r="AM56" s="120">
        <f t="shared" si="17"/>
        <v>16370.6548</v>
      </c>
      <c r="AN56" s="145"/>
      <c r="AO56" s="145"/>
      <c r="AP56" s="41">
        <f t="shared" si="1"/>
        <v>9.0920121293903214E-2</v>
      </c>
      <c r="AR56" s="41">
        <f t="shared" si="18"/>
        <v>9.0920121293903214E-2</v>
      </c>
      <c r="AS56" s="1" t="str">
        <f>_xlfn.XLOOKUP(AA56,Transactions!$D$3:$D$1007,Transactions!$F$3:$F$1007)</f>
        <v>Stocks</v>
      </c>
      <c r="AT56" s="41">
        <f t="shared" si="19"/>
        <v>0.17515167878590182</v>
      </c>
      <c r="AU56" s="41">
        <f t="shared" si="20"/>
        <v>0</v>
      </c>
      <c r="AV56" s="41">
        <f t="shared" si="21"/>
        <v>0.17515167878590182</v>
      </c>
      <c r="AW56" s="18"/>
    </row>
    <row r="57" spans="1:49" ht="18" customHeight="1">
      <c r="A57" s="17" t="str">
        <f t="shared" si="2"/>
        <v>CrowdStrike</v>
      </c>
      <c r="B57" s="1" t="e" vm="14">
        <f t="shared" si="3"/>
        <v>#VALUE!</v>
      </c>
      <c r="C57" s="132">
        <f t="shared" si="4"/>
        <v>0</v>
      </c>
      <c r="D57" s="2" cm="1">
        <f t="array" ref="D57">IF($A57="", "",
    IFERROR(
        _xlfn.SWITCH(
            TRUE,
            AND(Y57="USD", Transactions!$Q$2="USD"), AC57,
            AND(Y57="USD", Transactions!$Q$2="GBP"), AC57*Transactions!$Z$3,
            AND(Y57="USD", Transactions!$Q$2="HKD"), AC57*Transactions!$Z$4,
            AND(Y57="USD", Transactions!$Q$2="EUR"), AC57*Transactions!$Z$5,
            AND(Y57="GBP", Transactions!$Q$2="GBP"), AC57,
            AND(Y57="GBP", Transactions!$Q$2="USD"), AC57*Transactions!$Z$6,
            AND(Y57="GBP", Transactions!$Q$2="HKD"), AC57*Transactions!$Z$7,
            AND(Y57="HKG", Transactions!$Q$2="HKG"), AC57,
            AND(Y57="HKD", Transactions!$Q$2="USD"), AC57*Transactions!$Z$9,
            AND(Y57="HKD", Transactions!$Q$2="GBP"), AC57*Transactions!$Z$10,
            AND(Y57="HKD", Transactions!$Q$2="EUR"), AC57*Transactions!$Z$11,
            AND(Y57="EUR", Transactions!$Q$2="EUR"), AC57,
            AND(Y57="EUR", Transactions!$Q$2="USD"), AC57*Transactions!$Z$12,
            AND(Y57="EUR", Transactions!$Q$2="GBP"), AC57*Transactions!$Z$13,
            AND(Y57="EUR", Transactions!$Q$2="HKD"), AC57*Transactions!$Z$14,
        ),
        0
    )
)</f>
        <v>111.2</v>
      </c>
      <c r="E57" s="2" cm="1">
        <f t="array" ref="E57">IF($A57="", "",
    IFERROR(
        _xlfn.SWITCH(
            TRUE,
            AND(Y57="USD", Transactions!$Q$2="USD"), AD57,
            AND(Y57="USD", Transactions!$Q$2="GBP"), AD57*Transactions!$Z$3,
            AND(Y57="USD", Transactions!$Q$2="HKD"), AD57*Transactions!$Z$4,
            AND(Y57="USD", Transactions!$Q$2="EUR"), AD57*Transactions!$Z$5,
            AND(Y57="GBP", Transactions!$Q$2="GBP"), AD57,
            AND(Y57="GBP", Transactions!$Q$2="USD"), AD57*Transactions!$Z$6,
            AND(Y57="GBP", Transactions!$Q$2="HKD"), AD57*Transactions!$Z$7,
            AND(Y57="HKG", Transactions!$Q$2="HKG"), AD57,
            AND(Y57="HKD", Transactions!$Q$2="USD"), AD57*Transactions!$Z$9,
            AND(Y57="HKD", Transactions!$Q$2="GBP"), AD57*Transactions!$Z$10,
            AND(Y57="HKD", Transactions!$Q$2="EUR"), AD57*Transactions!$Z$11,
            AND(Y57="EUR", Transactions!$Q$2="EUR"), AD57,
            AND(Y57="EUR", Transactions!$Q$2="USD"), AD57*Transactions!$Z$12,
            AND(Y57="EUR", Transactions!$Q$2="GBP"), AD57*Transactions!$Z$13,
            AND(Y57="EUR", Transactions!$Q$2="HKD"), AD57*Transactions!$Z$14,
        ),
        0
    )
)</f>
        <v>342.18</v>
      </c>
      <c r="G57" s="121">
        <f t="shared" si="30"/>
        <v>0.119772</v>
      </c>
      <c r="H57" s="34" cm="1">
        <f t="array" ref="H57">IF($A57="", "",
    IFERROR(
        _xlfn.SWITCH(
            TRUE,
            AND(Y57="USD", Transactions!$Q$2="USD"), AG57,
            AND(Y57="USD", Transactions!$Q$2="GBP"), AG57*Transactions!$Z$3,
            AND(Y57="USD", Transactions!$Q$2="HKD"), AG57*Transactions!$Z$4,
            AND(Y57="USD", Transactions!$Q$2="EUR"), AG57*Transactions!$Z$5,
            AND(Y57="GBP", Transactions!$Q$2="GBP"), AG57,
            AND(Y57="GBP", Transactions!$Q$2="USD"), AG57*Transactions!$Z$6,
            AND(Y57="GBP", Transactions!$Q$2="HKD"), AG57*Transactions!$Z$7,
            AND(Y57="HKG", Transactions!$Q$2="HKG"), AG57,
            AND(Y57="HKD", Transactions!$Q$2="USD"), AG57*Transactions!$Z$9,
            AND(Y57="HKD", Transactions!$Q$2="GBP"), AG57*Transactions!$Z$10,
            AND(Y57="HKD", Transactions!$Q$2="EUR"), AG57*Transactions!$Z$11,
            AND(Y57="EUR", Transactions!$Q$2="EUR"), AG57,
            AND(Y57="EUR", Transactions!$Q$2="USD"), AG57*Transactions!$Z$12,
            AND(Y57="EUR", Transactions!$Q$2="GBP"), AG57*Transactions!$Z$13,
            AND(Y57="EUR", Transactions!$Q$2="HKD"), AG57*Transactions!$Z$14,
        ),
        0
    )
)</f>
        <v>36.6</v>
      </c>
      <c r="I57" s="2" cm="1">
        <f t="array" ref="I57">IF($A57="", "",
    IFERROR(
        _xlfn.SWITCH(
            TRUE,
            AND(Y57="USD", Transactions!$Q$2="USD"), AH57,
            AND(Y57="USD", Transactions!$Q$2="GBP"), AH57*Transactions!$Z$3,
            AND(Y57="USD", Transactions!$Q$2="HKD"), AH57*Transactions!$Z$4,
            AND(Y57="USD", Transactions!$Q$2="EUR"), AH57*Transactions!$Z$5,
            AND(Y57="GBP", Transactions!$Q$2="GBP"), AH57,
            AND(Y57="GBP", Transactions!$Q$2="USD"), AH57*Transactions!$Z$6,
            AND(Y57="GBP", Transactions!$Q$2="HKD"), AH57*Transactions!$Z$7,
            AND(Y57="HKG", Transactions!$Q$2="HKG"), AH57,
            AND(Y57="HKD", Transactions!$Q$2="USD"), AH57*Transactions!$Z$9,
            AND(Y57="HKD", Transactions!$Q$2="GBP"), AH57*Transactions!$Z$10,
            AND(Y57="HKD", Transactions!$Q$2="EUR"), AH57*Transactions!$Z$11,
            AND(Y57="EUR", Transactions!$Q$2="EUR"), AH57,
            AND(Y57="EUR", Transactions!$Q$2="USD"), AH57*Transactions!$Z$12,
            AND(Y57="EUR", Transactions!$Q$2="GBP"), AH57*Transactions!$Z$13,
            AND(Y57="EUR", Transactions!$Q$2="HKD"), AH57*Transactions!$Z$14,
        ),
        0
    )
)</f>
        <v>0</v>
      </c>
      <c r="J57" s="2" cm="1">
        <f t="array" ref="J57">IF($A57="", "",
    IFERROR(
        _xlfn.SWITCH(
            TRUE,
            AND(Y57="USD", Transactions!$Q$2="USD"), AI57,
            AND(Y57="USD", Transactions!$Q$2="GBP"), AI57*Transactions!$Z$3,
            AND(Y57="USD", Transactions!$Q$2="HKD"), AI57*Transactions!$Z$4,
            AND(Y57="USD", Transactions!$Q$2="EUR"), AI57*Transactions!$Z$5,
            AND(Y57="GBP", Transactions!$Q$2="GBP"), AI57,
            AND(Y57="GBP", Transactions!$Q$2="USD"), AI57*Transactions!$Z$6,
            AND(Y57="GBP", Transactions!$Q$2="HKD"), AI57*Transactions!$Z$7,
            AND(Y57="HKG", Transactions!$Q$2="HKG"), AI57,
            AND(Y57="HKD", Transactions!$Q$2="USD"), AI57*Transactions!$Z$9,
            AND(Y57="HKD", Transactions!$Q$2="GBP"), AI57*Transactions!$Z$10,
            AND(Y57="HKD", Transactions!$Q$2="EUR"), AI57*Transactions!$Z$11,
            AND(Y57="EUR", Transactions!$Q$2="EUR"), AI57,
            AND(Y57="EUR", Transactions!$Q$2="USD"), AI57*Transactions!$Z$12,
            AND(Y57="EUR", Transactions!$Q$2="GBP"), AI57*Transactions!$Z$13,
            AND(Y57="EUR", Transactions!$Q$2="HKD"), AI57*Transactions!$Z$14,
        ),
        0
    )
)</f>
        <v>0</v>
      </c>
      <c r="K57" s="41">
        <f t="shared" si="23"/>
        <v>0</v>
      </c>
      <c r="L57" s="2" cm="1">
        <f t="array" ref="L57">IF($A57="", "",
    IFERROR(
        _xlfn.SWITCH(
            TRUE,
            AND(Y57="USD", Transactions!$Q$2="USD"), AK57,
            AND(Y57="USD", Transactions!$Q$2="GBP"), AK57*Transactions!$Z$3,
            AND(Y57="USD", Transactions!$Q$2="HKD"), AK57*Transactions!$Z$4,
            AND(Y57="USD", Transactions!$Q$2="EUR"), AK57*Transactions!$Z$5,
            AND(Y57="GBP", Transactions!$Q$2="GBP"), AK57,
            AND(Y57="GBP", Transactions!$Q$2="USD"), AK57*Transactions!$Z$6,
            AND(Y57="GBP", Transactions!$Q$2="HKD"), AK57*Transactions!$Z$7,
            AND(Y57="HKG", Transactions!$Q$2="HKG"), AK57,
            AND(Y57="HKD", Transactions!$Q$2="USD"), AK57*Transactions!$Z$9,
            AND(Y57="HKD", Transactions!$Q$2="GBP"), AK57*Transactions!$Z$10,
            AND(Y57="HKD", Transactions!$Q$2="EUR"), AK57*Transactions!$Z$11,
            AND(Y57="EUR", Transactions!$Q$2="EUR"), AK57,
            AND(Y57="EUR", Transactions!$Q$2="USD"), AK57*Transactions!$Z$12,
            AND(Y57="EUR", Transactions!$Q$2="GBP"), AK57*Transactions!$Z$13,
            AND(Y57="EUR", Transactions!$Q$2="HKD"), AK57*Transactions!$Z$14,
        ),
        0
    )
)</f>
        <v>0</v>
      </c>
      <c r="M57" s="119" cm="1">
        <f t="array" ref="M57">IF($A57="", "",
    IFERROR(
        _xlfn.SWITCH(
            TRUE,
            AND(Y57="USD", Transactions!$Q$2="USD"), AL57,
            AND(Y57="USD", Transactions!$Q$2="GBP"), AL57*Transactions!$Z$3,
            AND(Y57="USD", Transactions!$Q$2="HKD"), AL57*Transactions!$Z$4,
            AND(Y57="USD", Transactions!$Q$2="EUR"), AL57*Transactions!$Z$5,
            AND(Y57="GBP", Transactions!$Q$2="GBP"), AL57,
            AND(Y57="GBP", Transactions!$Q$2="USD"), AL57*Transactions!$Z$6,
            AND(Y57="GBP", Transactions!$Q$2="HKD"), AL57*Transactions!$Z$7,
            AND(Y57="HKG", Transactions!$Q$2="HKG"), AL57,
            AND(Y57="HKD", Transactions!$Q$2="USD"), AL57*Transactions!$Z$9,
            AND(Y57="HKD", Transactions!$Q$2="GBP"), AL57*Transactions!$Z$10,
            AND(Y57="HKD", Transactions!$Q$2="EUR"), AL57*Transactions!$Z$11,
            AND(Y57="EUR", Transactions!$Q$2="EUR"), AL57,
            AND(Y57="EUR", Transactions!$Q$2="USD"), AL57*Transactions!$Z$12,
            AND(Y57="EUR", Transactions!$Q$2="GBP"), AL57*Transactions!$Z$13,
            AND(Y57="EUR", Transactions!$Q$2="HKD"), AL57*Transactions!$Z$14,
        ),
        0
    )
)</f>
        <v>52.330000000000013</v>
      </c>
      <c r="N57" s="120" cm="1">
        <f t="array" ref="N57">IF($A57="", "",
    IFERROR(
        _xlfn.SWITCH(
            TRUE,
            AND(Y57="USD", Transactions!$Q$2="USD"), AM57,
            AND(Y57="USD", Transactions!$Q$2="GBP"), AM57*Transactions!$Z$3,
            AND(Y57="USD", Transactions!$Q$2="HKD"), AM57*Transactions!$Z$4,
            AND(Y57="USD", Transactions!$Q$2="EUR"), AM57*Transactions!$Z$5,
            AND(Y57="GBP", Transactions!$Q$2="GBP"), AM57,
            AND(Y57="GBP", Transactions!$Q$2="USD"), AM57*Transactions!$Z$6,
            AND(Y57="GBP", Transactions!$Q$2="HKD"), AM57*Transactions!$Z$7,
            AND(Y57="HKG", Transactions!$Q$2="HKG"), AM57,
            AND(Y57="HKD", Transactions!$Q$2="USD"), AM57*Transactions!$Z$9,
            AND(Y57="HKD", Transactions!$Q$2="GBP"), AM57*Transactions!$Z$10,
            AND(Y57="HKD", Transactions!$Q$2="EUR"), AM57*Transactions!$Z$11,
            AND(Y57="EUR", Transactions!$Q$2="EUR"), AM57,
            AND(Y57="EUR", Transactions!$Q$2="USD"), AM57*Transactions!$Z$12,
            AND(Y57="EUR", Transactions!$Q$2="GBP"), AM57*Transactions!$Z$13,
            AND(Y57="EUR", Transactions!$Q$2="HKD"), AM57*Transactions!$Z$14,
        ),
        0
    )
)</f>
        <v>52.330000000000013</v>
      </c>
      <c r="O57" s="145"/>
      <c r="P57" s="145"/>
      <c r="Q57" s="41">
        <f t="shared" si="24"/>
        <v>0</v>
      </c>
      <c r="S57" s="41">
        <f t="shared" si="25"/>
        <v>0</v>
      </c>
      <c r="T57" s="1" t="str">
        <f t="shared" si="26"/>
        <v>Stocks</v>
      </c>
      <c r="U57" s="41">
        <f t="shared" si="27"/>
        <v>0.17515167878590182</v>
      </c>
      <c r="V57" s="41">
        <f t="shared" si="28"/>
        <v>0</v>
      </c>
      <c r="W57" s="41">
        <f t="shared" si="29"/>
        <v>0.17515167878590182</v>
      </c>
      <c r="Y57" s="17" t="s">
        <v>348</v>
      </c>
      <c r="Z57" s="1" t="str">
        <f>_xlfn.XLOOKUP(AA57,Transactions!$D$3:$D$1007,Transactions!$E$3:$E$1007)</f>
        <v>CrowdStrike</v>
      </c>
      <c r="AA57" s="1" t="e" vm="14">
        <v>#VALUE!</v>
      </c>
      <c r="AB57" s="118" cm="1">
        <f t="array" ref="AB57">IF(ISBLANK(AA57), "",
    SUMPRODUCT(
        (Transactions!$D$3:$D$1007=AA57) *
        (Transactions!$H$3:$H$1007={"Cash Deposit","Crypto Deposit","Buy","Transfer Deposit","DRIP","Airdrop/Rewards"}) *
        Transactions!$I$3:$I$1007
    )
    - SUMPRODUCT(
        (Transactions!$D$3:$D$1007=AA57) *
        (Transactions!$H$3:$H$1007={"Sell","Transfer Send","Cash Withdrawal","Crypto Withdrawal"}) *
        Transactions!$I$3:$I$1007
    )
)</f>
        <v>0</v>
      </c>
      <c r="AC57" s="2" cm="1">
        <f t="array" ref="AC57">IF(ISBLANK(AA57), "", LOOKUP(2, 1/(Transactions!D:D=AA57), Transactions!P:P))</f>
        <v>111.2</v>
      </c>
      <c r="AD57" s="2" cm="1">
        <f t="array" ref="AD57">IF(ISBLANK(AA57),"",IFERROR(_FV(AA57,"price"),INDEX('CoinGeko API'!E:E,MATCH(Portfolio_v2!AA57,'CoinGeko API'!C:C,0))))</f>
        <v>342.18</v>
      </c>
      <c r="AF57" s="39" cm="1">
        <f t="array" ref="AF57">IF(ISBLANK(AA57),"",IFERROR(_FV(AA57,"Change (%)",TRUE),INDEX('CoinGeko API'!G:G,MATCH(Portfolio_v2!AA57,'CoinGeko API'!C:C,0))))</f>
        <v>0.119772</v>
      </c>
      <c r="AG57" s="34" cm="1">
        <f t="array" ref="AG57">IF(ISBLANK(AA57),"",IFERROR(_FV(AA57,"change"),INDEX('CoinGeko API'!F:F,MATCH(Portfolio_v2!AA57,'CoinGeko API'!C:C,0))))</f>
        <v>36.6</v>
      </c>
      <c r="AH57" s="2">
        <f t="shared" si="13"/>
        <v>0</v>
      </c>
      <c r="AI57" s="2">
        <f t="shared" si="14"/>
        <v>0</v>
      </c>
      <c r="AJ57" s="40">
        <f t="shared" si="15"/>
        <v>0</v>
      </c>
      <c r="AK57" s="2">
        <f t="shared" si="16"/>
        <v>0</v>
      </c>
      <c r="AL57" s="119">
        <f>IF(OR(ISBLANK(AA57), COUNTIFS(Transactions!$D$3:$D1061, AA57) = 0), "",
    SUMIFS(Transactions!$M$3:$M1061, Transactions!$H$3:$H1061, "Sell", Transactions!$D$3:$D1061, AA57) +
    SUMIFS(Transactions!$M$3:$M1061, Transactions!$H$3:$H1061, "Dividend", Transactions!$D$3:$D1061, AA57) -
    SUMIFS(Transactions!$M$3:$M1061, Transactions!$H$3:$H1061, "Buy", Transactions!$D$3:$D1061, AA57) -
    SUMIFS(Transactions!$M$3:$M1061, Transactions!$H$3:$H1061, "Crypto Deposit", Transactions!$D$3:$D1061, AA57) -
    SUMIFS(Transactions!$M$3:$M1061, Transactions!$H$3:$H1061, "DRIP", Transactions!$D$3:$D1061, AA57) +
    SUMIFS($AH$3:$AH1053, $AA$3:$AA1053, AA57) +
    SUMIFS(Transactions!$M$3:$M1061, Transactions!$L$3:$L1061, "Stablecoin", Transactions!$B$3:$B1061, AA57)
)</f>
        <v>52.330000000000013</v>
      </c>
      <c r="AM57" s="120">
        <f t="shared" si="17"/>
        <v>52.330000000000013</v>
      </c>
      <c r="AN57" s="145"/>
      <c r="AO57" s="145"/>
      <c r="AP57" s="41">
        <f t="shared" si="1"/>
        <v>0</v>
      </c>
      <c r="AR57" s="41">
        <f t="shared" si="18"/>
        <v>0</v>
      </c>
      <c r="AS57" s="1" t="str">
        <f>_xlfn.XLOOKUP(AA57,Transactions!$D$3:$D$1007,Transactions!$F$3:$F$1007)</f>
        <v>Stocks</v>
      </c>
      <c r="AT57" s="41">
        <f t="shared" si="19"/>
        <v>0.17515167878590182</v>
      </c>
      <c r="AU57" s="41">
        <f t="shared" si="20"/>
        <v>0</v>
      </c>
      <c r="AV57" s="41">
        <f t="shared" si="21"/>
        <v>0.17515167878590182</v>
      </c>
      <c r="AW57" s="18"/>
    </row>
    <row r="58" spans="1:49" ht="18" customHeight="1">
      <c r="A58" s="17" t="str">
        <f t="shared" si="2"/>
        <v>Global X NASDAQ 100 Covered Call ETF</v>
      </c>
      <c r="B58" s="1" t="e" vm="15">
        <f t="shared" si="3"/>
        <v>#VALUE!</v>
      </c>
      <c r="C58" s="132">
        <f t="shared" si="4"/>
        <v>70</v>
      </c>
      <c r="D58" s="2" cm="1">
        <f t="array" ref="D58">IF($A58="", "",
    IFERROR(
        _xlfn.SWITCH(
            TRUE,
            AND(Y58="USD", Transactions!$Q$2="USD"), AC58,
            AND(Y58="USD", Transactions!$Q$2="GBP"), AC58*Transactions!$Z$3,
            AND(Y58="USD", Transactions!$Q$2="HKD"), AC58*Transactions!$Z$4,
            AND(Y58="USD", Transactions!$Q$2="EUR"), AC58*Transactions!$Z$5,
            AND(Y58="GBP", Transactions!$Q$2="GBP"), AC58,
            AND(Y58="GBP", Transactions!$Q$2="USD"), AC58*Transactions!$Z$6,
            AND(Y58="GBP", Transactions!$Q$2="HKD"), AC58*Transactions!$Z$7,
            AND(Y58="HKG", Transactions!$Q$2="HKG"), AC58,
            AND(Y58="HKD", Transactions!$Q$2="USD"), AC58*Transactions!$Z$9,
            AND(Y58="HKD", Transactions!$Q$2="GBP"), AC58*Transactions!$Z$10,
            AND(Y58="HKD", Transactions!$Q$2="EUR"), AC58*Transactions!$Z$11,
            AND(Y58="EUR", Transactions!$Q$2="EUR"), AC58,
            AND(Y58="EUR", Transactions!$Q$2="USD"), AC58*Transactions!$Z$12,
            AND(Y58="EUR", Transactions!$Q$2="GBP"), AC58*Transactions!$Z$13,
            AND(Y58="EUR", Transactions!$Q$2="HKD"), AC58*Transactions!$Z$14,
        ),
        0
    )
)</f>
        <v>16.775714285714287</v>
      </c>
      <c r="E58" s="2" cm="1">
        <f t="array" ref="E58">IF($A58="", "",
    IFERROR(
        _xlfn.SWITCH(
            TRUE,
            AND(Y58="USD", Transactions!$Q$2="USD"), AD58,
            AND(Y58="USD", Transactions!$Q$2="GBP"), AD58*Transactions!$Z$3,
            AND(Y58="USD", Transactions!$Q$2="HKD"), AD58*Transactions!$Z$4,
            AND(Y58="USD", Transactions!$Q$2="EUR"), AD58*Transactions!$Z$5,
            AND(Y58="GBP", Transactions!$Q$2="GBP"), AD58,
            AND(Y58="GBP", Transactions!$Q$2="USD"), AD58*Transactions!$Z$6,
            AND(Y58="GBP", Transactions!$Q$2="HKD"), AD58*Transactions!$Z$7,
            AND(Y58="HKG", Transactions!$Q$2="HKG"), AD58,
            AND(Y58="HKD", Transactions!$Q$2="USD"), AD58*Transactions!$Z$9,
            AND(Y58="HKD", Transactions!$Q$2="GBP"), AD58*Transactions!$Z$10,
            AND(Y58="HKD", Transactions!$Q$2="EUR"), AD58*Transactions!$Z$11,
            AND(Y58="EUR", Transactions!$Q$2="EUR"), AD58,
            AND(Y58="EUR", Transactions!$Q$2="USD"), AD58*Transactions!$Z$12,
            AND(Y58="EUR", Transactions!$Q$2="GBP"), AD58*Transactions!$Z$13,
            AND(Y58="EUR", Transactions!$Q$2="HKD"), AD58*Transactions!$Z$14,
        ),
        0
    )
)</f>
        <v>17.68</v>
      </c>
      <c r="G58" s="121">
        <f t="shared" si="30"/>
        <v>5.6879999999999995E-3</v>
      </c>
      <c r="H58" s="34" cm="1">
        <f t="array" ref="H58">IF($A58="", "",
    IFERROR(
        _xlfn.SWITCH(
            TRUE,
            AND(Y58="USD", Transactions!$Q$2="USD"), AG58,
            AND(Y58="USD", Transactions!$Q$2="GBP"), AG58*Transactions!$Z$3,
            AND(Y58="USD", Transactions!$Q$2="HKD"), AG58*Transactions!$Z$4,
            AND(Y58="USD", Transactions!$Q$2="EUR"), AG58*Transactions!$Z$5,
            AND(Y58="GBP", Transactions!$Q$2="GBP"), AG58,
            AND(Y58="GBP", Transactions!$Q$2="USD"), AG58*Transactions!$Z$6,
            AND(Y58="GBP", Transactions!$Q$2="HKD"), AG58*Transactions!$Z$7,
            AND(Y58="HKG", Transactions!$Q$2="HKG"), AG58,
            AND(Y58="HKD", Transactions!$Q$2="USD"), AG58*Transactions!$Z$9,
            AND(Y58="HKD", Transactions!$Q$2="GBP"), AG58*Transactions!$Z$10,
            AND(Y58="HKD", Transactions!$Q$2="EUR"), AG58*Transactions!$Z$11,
            AND(Y58="EUR", Transactions!$Q$2="EUR"), AG58,
            AND(Y58="EUR", Transactions!$Q$2="USD"), AG58*Transactions!$Z$12,
            AND(Y58="EUR", Transactions!$Q$2="GBP"), AG58*Transactions!$Z$13,
            AND(Y58="EUR", Transactions!$Q$2="HKD"), AG58*Transactions!$Z$14,
        ),
        0
    )
)</f>
        <v>0.1</v>
      </c>
      <c r="I58" s="2" cm="1">
        <f t="array" ref="I58">IF($A58="", "",
    IFERROR(
        _xlfn.SWITCH(
            TRUE,
            AND(Y58="USD", Transactions!$Q$2="USD"), AH58,
            AND(Y58="USD", Transactions!$Q$2="GBP"), AH58*Transactions!$Z$3,
            AND(Y58="USD", Transactions!$Q$2="HKD"), AH58*Transactions!$Z$4,
            AND(Y58="USD", Transactions!$Q$2="EUR"), AH58*Transactions!$Z$5,
            AND(Y58="GBP", Transactions!$Q$2="GBP"), AH58,
            AND(Y58="GBP", Transactions!$Q$2="USD"), AH58*Transactions!$Z$6,
            AND(Y58="GBP", Transactions!$Q$2="HKD"), AH58*Transactions!$Z$7,
            AND(Y58="HKG", Transactions!$Q$2="HKG"), AH58,
            AND(Y58="HKD", Transactions!$Q$2="USD"), AH58*Transactions!$Z$9,
            AND(Y58="HKD", Transactions!$Q$2="GBP"), AH58*Transactions!$Z$10,
            AND(Y58="HKD", Transactions!$Q$2="EUR"), AH58*Transactions!$Z$11,
            AND(Y58="EUR", Transactions!$Q$2="EUR"), AH58,
            AND(Y58="EUR", Transactions!$Q$2="USD"), AH58*Transactions!$Z$12,
            AND(Y58="EUR", Transactions!$Q$2="GBP"), AH58*Transactions!$Z$13,
            AND(Y58="EUR", Transactions!$Q$2="HKD"), AH58*Transactions!$Z$14,
        ),
        0
    )
)</f>
        <v>1174.3000000000002</v>
      </c>
      <c r="J58" s="2" cm="1">
        <f t="array" ref="J58">IF($A58="", "",
    IFERROR(
        _xlfn.SWITCH(
            TRUE,
            AND(Y58="USD", Transactions!$Q$2="USD"), AI58,
            AND(Y58="USD", Transactions!$Q$2="GBP"), AI58*Transactions!$Z$3,
            AND(Y58="USD", Transactions!$Q$2="HKD"), AI58*Transactions!$Z$4,
            AND(Y58="USD", Transactions!$Q$2="EUR"), AI58*Transactions!$Z$5,
            AND(Y58="GBP", Transactions!$Q$2="GBP"), AI58,
            AND(Y58="GBP", Transactions!$Q$2="USD"), AI58*Transactions!$Z$6,
            AND(Y58="GBP", Transactions!$Q$2="HKD"), AI58*Transactions!$Z$7,
            AND(Y58="HKG", Transactions!$Q$2="HKG"), AI58,
            AND(Y58="HKD", Transactions!$Q$2="USD"), AI58*Transactions!$Z$9,
            AND(Y58="HKD", Transactions!$Q$2="GBP"), AI58*Transactions!$Z$10,
            AND(Y58="HKD", Transactions!$Q$2="EUR"), AI58*Transactions!$Z$11,
            AND(Y58="EUR", Transactions!$Q$2="EUR"), AI58,
            AND(Y58="EUR", Transactions!$Q$2="USD"), AI58*Transactions!$Z$12,
            AND(Y58="EUR", Transactions!$Q$2="GBP"), AI58*Transactions!$Z$13,
            AND(Y58="EUR", Transactions!$Q$2="HKD"), AI58*Transactions!$Z$14,
        ),
        0
    )
)</f>
        <v>1237.5999999999999</v>
      </c>
      <c r="K58" s="41">
        <f t="shared" si="23"/>
        <v>5.3904453717107823E-2</v>
      </c>
      <c r="L58" s="2" cm="1">
        <f t="array" ref="L58">IF($A58="", "",
    IFERROR(
        _xlfn.SWITCH(
            TRUE,
            AND(Y58="USD", Transactions!$Q$2="USD"), AK58,
            AND(Y58="USD", Transactions!$Q$2="GBP"), AK58*Transactions!$Z$3,
            AND(Y58="USD", Transactions!$Q$2="HKD"), AK58*Transactions!$Z$4,
            AND(Y58="USD", Transactions!$Q$2="EUR"), AK58*Transactions!$Z$5,
            AND(Y58="GBP", Transactions!$Q$2="GBP"), AK58,
            AND(Y58="GBP", Transactions!$Q$2="USD"), AK58*Transactions!$Z$6,
            AND(Y58="GBP", Transactions!$Q$2="HKD"), AK58*Transactions!$Z$7,
            AND(Y58="HKG", Transactions!$Q$2="HKG"), AK58,
            AND(Y58="HKD", Transactions!$Q$2="USD"), AK58*Transactions!$Z$9,
            AND(Y58="HKD", Transactions!$Q$2="GBP"), AK58*Transactions!$Z$10,
            AND(Y58="HKD", Transactions!$Q$2="EUR"), AK58*Transactions!$Z$11,
            AND(Y58="EUR", Transactions!$Q$2="EUR"), AK58,
            AND(Y58="EUR", Transactions!$Q$2="USD"), AK58*Transactions!$Z$12,
            AND(Y58="EUR", Transactions!$Q$2="GBP"), AK58*Transactions!$Z$13,
            AND(Y58="EUR", Transactions!$Q$2="HKD"), AK58*Transactions!$Z$14,
        ),
        0
    )
)</f>
        <v>63.299999999999727</v>
      </c>
      <c r="M58" s="119" cm="1">
        <f t="array" ref="M58">IF($A58="", "",
    IFERROR(
        _xlfn.SWITCH(
            TRUE,
            AND(Y58="USD", Transactions!$Q$2="USD"), AL58,
            AND(Y58="USD", Transactions!$Q$2="GBP"), AL58*Transactions!$Z$3,
            AND(Y58="USD", Transactions!$Q$2="HKD"), AL58*Transactions!$Z$4,
            AND(Y58="USD", Transactions!$Q$2="EUR"), AL58*Transactions!$Z$5,
            AND(Y58="GBP", Transactions!$Q$2="GBP"), AL58,
            AND(Y58="GBP", Transactions!$Q$2="USD"), AL58*Transactions!$Z$6,
            AND(Y58="GBP", Transactions!$Q$2="HKD"), AL58*Transactions!$Z$7,
            AND(Y58="HKG", Transactions!$Q$2="HKG"), AL58,
            AND(Y58="HKD", Transactions!$Q$2="USD"), AL58*Transactions!$Z$9,
            AND(Y58="HKD", Transactions!$Q$2="GBP"), AL58*Transactions!$Z$10,
            AND(Y58="HKD", Transactions!$Q$2="EUR"), AL58*Transactions!$Z$11,
            AND(Y58="EUR", Transactions!$Q$2="EUR"), AL58,
            AND(Y58="EUR", Transactions!$Q$2="USD"), AL58*Transactions!$Z$12,
            AND(Y58="EUR", Transactions!$Q$2="GBP"), AL58*Transactions!$Z$13,
            AND(Y58="EUR", Transactions!$Q$2="HKD"), AL58*Transactions!$Z$14,
        ),
        0
    )
)</f>
        <v>133.52999999999997</v>
      </c>
      <c r="N58" s="120" cm="1">
        <f t="array" ref="N58">IF($A58="", "",
    IFERROR(
        _xlfn.SWITCH(
            TRUE,
            AND(Y58="USD", Transactions!$Q$2="USD"), AM58,
            AND(Y58="USD", Transactions!$Q$2="GBP"), AM58*Transactions!$Z$3,
            AND(Y58="USD", Transactions!$Q$2="HKD"), AM58*Transactions!$Z$4,
            AND(Y58="USD", Transactions!$Q$2="EUR"), AM58*Transactions!$Z$5,
            AND(Y58="GBP", Transactions!$Q$2="GBP"), AM58,
            AND(Y58="GBP", Transactions!$Q$2="USD"), AM58*Transactions!$Z$6,
            AND(Y58="GBP", Transactions!$Q$2="HKD"), AM58*Transactions!$Z$7,
            AND(Y58="HKG", Transactions!$Q$2="HKG"), AM58,
            AND(Y58="HKD", Transactions!$Q$2="USD"), AM58*Transactions!$Z$9,
            AND(Y58="HKD", Transactions!$Q$2="GBP"), AM58*Transactions!$Z$10,
            AND(Y58="HKD", Transactions!$Q$2="EUR"), AM58*Transactions!$Z$11,
            AND(Y58="EUR", Transactions!$Q$2="EUR"), AM58,
            AND(Y58="EUR", Transactions!$Q$2="USD"), AM58*Transactions!$Z$12,
            AND(Y58="EUR", Transactions!$Q$2="GBP"), AM58*Transactions!$Z$13,
            AND(Y58="EUR", Transactions!$Q$2="HKD"), AM58*Transactions!$Z$14,
        ),
        0
    )
)</f>
        <v>196.8299999999997</v>
      </c>
      <c r="O58" s="145"/>
      <c r="P58" s="145"/>
      <c r="Q58" s="41">
        <f t="shared" si="24"/>
        <v>7.7169740565477879E-3</v>
      </c>
      <c r="S58" s="41">
        <f t="shared" si="25"/>
        <v>7.7169740565477879E-3</v>
      </c>
      <c r="T58" s="1" t="str">
        <f t="shared" si="26"/>
        <v>ETF</v>
      </c>
      <c r="U58" s="41">
        <f t="shared" si="27"/>
        <v>9.6920480161563141E-3</v>
      </c>
      <c r="V58" s="41">
        <f t="shared" si="28"/>
        <v>0</v>
      </c>
      <c r="W58" s="41">
        <f t="shared" si="29"/>
        <v>9.6920480161563141E-3</v>
      </c>
      <c r="Y58" s="17" t="str">
        <f>IFERROR(IF(ISBLANK(AA58), "", IF(VLOOKUP(AA58, Transactions!D:F, 3, FALSE) = "Stablecoin", AA58, INDEX(Transactions!$B$3:$B1062, MATCH(AA58, Transactions!$D$3:$D1062, 0)))), "")</f>
        <v>USD</v>
      </c>
      <c r="Z58" s="1" t="str">
        <f>_xlfn.XLOOKUP(AA58,Transactions!$D$3:$D$1007,Transactions!$E$3:$E$1007)</f>
        <v>Global X NASDAQ 100 Covered Call ETF</v>
      </c>
      <c r="AA58" s="1" t="e" vm="15">
        <v>#VALUE!</v>
      </c>
      <c r="AB58" s="118" cm="1">
        <f t="array" ref="AB58">IF(ISBLANK(AA58), "",
    SUMPRODUCT(
        (Transactions!$D$3:$D$1007=AA58) *
        (Transactions!$H$3:$H$1007={"Cash Deposit","Crypto Deposit","Buy","Transfer Deposit","DRIP","Airdrop/Rewards"}) *
        Transactions!$I$3:$I$1007
    )
    - SUMPRODUCT(
        (Transactions!$D$3:$D$1007=AA58) *
        (Transactions!$H$3:$H$1007={"Sell","Transfer Send","Cash Withdrawal","Crypto Withdrawal"}) *
        Transactions!$I$3:$I$1007
    )
)</f>
        <v>70</v>
      </c>
      <c r="AC58" s="2" cm="1">
        <f t="array" ref="AC58">IF(ISBLANK(AA58), "", LOOKUP(2, 1/(Transactions!D:D=AA58), Transactions!P:P))</f>
        <v>16.775714285714287</v>
      </c>
      <c r="AD58" s="2" cm="1">
        <f t="array" ref="AD58">IF(ISBLANK(AA58),"",IFERROR(_FV(AA58,"price"),INDEX('CoinGeko API'!E:E,MATCH(Portfolio_v2!AA58,'CoinGeko API'!C:C,0))))</f>
        <v>17.68</v>
      </c>
      <c r="AF58" s="39" cm="1">
        <f t="array" ref="AF58">IF(ISBLANK(AA58),"",IFERROR(_FV(AA58,"Change (%)",TRUE),INDEX('CoinGeko API'!G:G,MATCH(Portfolio_v2!AA58,'CoinGeko API'!C:C,0))))</f>
        <v>5.6879999999999995E-3</v>
      </c>
      <c r="AG58" s="34" cm="1">
        <f t="array" ref="AG58">IF(ISBLANK(AA58),"",IFERROR(_FV(AA58,"change"),INDEX('CoinGeko API'!F:F,MATCH(Portfolio_v2!AA58,'CoinGeko API'!C:C,0))))</f>
        <v>0.1</v>
      </c>
      <c r="AH58" s="2">
        <f t="shared" si="13"/>
        <v>1174.3000000000002</v>
      </c>
      <c r="AI58" s="2">
        <f t="shared" si="14"/>
        <v>1237.5999999999999</v>
      </c>
      <c r="AJ58" s="40">
        <f t="shared" si="15"/>
        <v>5.3904453717107823E-2</v>
      </c>
      <c r="AK58" s="2">
        <f t="shared" si="16"/>
        <v>63.299999999999727</v>
      </c>
      <c r="AL58" s="119">
        <f>IF(OR(ISBLANK(AA58), COUNTIFS(Transactions!$D$3:$D1062, AA58) = 0), "",
    SUMIFS(Transactions!$M$3:$M1062, Transactions!$H$3:$H1062, "Sell", Transactions!$D$3:$D1062, AA58) +
    SUMIFS(Transactions!$M$3:$M1062, Transactions!$H$3:$H1062, "Dividend", Transactions!$D$3:$D1062, AA58) -
    SUMIFS(Transactions!$M$3:$M1062, Transactions!$H$3:$H1062, "Buy", Transactions!$D$3:$D1062, AA58) -
    SUMIFS(Transactions!$M$3:$M1062, Transactions!$H$3:$H1062, "Crypto Deposit", Transactions!$D$3:$D1062, AA58) -
    SUMIFS(Transactions!$M$3:$M1062, Transactions!$H$3:$H1062, "DRIP", Transactions!$D$3:$D1062, AA58) +
    SUMIFS($AH$3:$AH1054, $AA$3:$AA1054, AA58) +
    SUMIFS(Transactions!$M$3:$M1062, Transactions!$L$3:$L1062, "Stablecoin", Transactions!$B$3:$B1062, AA58)
)</f>
        <v>133.52999999999997</v>
      </c>
      <c r="AM58" s="120">
        <f t="shared" si="17"/>
        <v>196.8299999999997</v>
      </c>
      <c r="AN58" s="145"/>
      <c r="AO58" s="145"/>
      <c r="AP58" s="41">
        <f t="shared" si="1"/>
        <v>7.7169740565477879E-3</v>
      </c>
      <c r="AR58" s="41">
        <f t="shared" si="18"/>
        <v>7.7169740565477879E-3</v>
      </c>
      <c r="AS58" s="1" t="str">
        <f>_xlfn.XLOOKUP(AA58,Transactions!$D$3:$D$1007,Transactions!$F$3:$F$1007)</f>
        <v>ETF</v>
      </c>
      <c r="AT58" s="41">
        <f t="shared" si="19"/>
        <v>9.6920480161563141E-3</v>
      </c>
      <c r="AU58" s="41">
        <f t="shared" si="20"/>
        <v>0</v>
      </c>
      <c r="AV58" s="41">
        <f t="shared" si="21"/>
        <v>9.6920480161563141E-3</v>
      </c>
      <c r="AW58" s="18"/>
    </row>
    <row r="59" spans="1:49" ht="18" customHeight="1">
      <c r="A59" s="17" t="str">
        <f t="shared" si="2"/>
        <v>Grayscale Bitcoin Trust</v>
      </c>
      <c r="B59" s="1" t="e" vm="13">
        <f t="shared" ref="B59:B65" si="31">AA59</f>
        <v>#VALUE!</v>
      </c>
      <c r="C59" s="132">
        <f t="shared" si="4"/>
        <v>5</v>
      </c>
      <c r="D59" s="2" cm="1">
        <f t="array" ref="D59">IF($A59="", "",
    IFERROR(
        _xlfn.SWITCH(
            TRUE,
            AND(Y59="USD", Transactions!$Q$2="USD"), AC59,
            AND(Y59="USD", Transactions!$Q$2="GBP"), AC59*Transactions!$Z$3,
            AND(Y59="USD", Transactions!$Q$2="HKD"), AC59*Transactions!$Z$4,
            AND(Y59="USD", Transactions!$Q$2="EUR"), AC59*Transactions!$Z$5,
            AND(Y59="GBP", Transactions!$Q$2="GBP"), AC59,
            AND(Y59="GBP", Transactions!$Q$2="USD"), AC59*Transactions!$Z$6,
            AND(Y59="GBP", Transactions!$Q$2="HKD"), AC59*Transactions!$Z$7,
            AND(Y59="HKG", Transactions!$Q$2="HKG"), AC59,
            AND(Y59="HKD", Transactions!$Q$2="USD"), AC59*Transactions!$Z$9,
            AND(Y59="HKD", Transactions!$Q$2="GBP"), AC59*Transactions!$Z$10,
            AND(Y59="HKD", Transactions!$Q$2="EUR"), AC59*Transactions!$Z$11,
            AND(Y59="EUR", Transactions!$Q$2="EUR"), AC59,
            AND(Y59="EUR", Transactions!$Q$2="USD"), AC59*Transactions!$Z$12,
            AND(Y59="EUR", Transactions!$Q$2="GBP"), AC59*Transactions!$Z$13,
            AND(Y59="EUR", Transactions!$Q$2="HKD"), AC59*Transactions!$Z$14,
        ),
        0
    )
)</f>
        <v>22</v>
      </c>
      <c r="E59" s="2" cm="1">
        <f t="array" ref="E59">IF($A59="", "",
    IFERROR(
        _xlfn.SWITCH(
            TRUE,
            AND(Y59="USD", Transactions!$Q$2="USD"), AD59,
            AND(Y59="USD", Transactions!$Q$2="GBP"), AD59*Transactions!$Z$3,
            AND(Y59="USD", Transactions!$Q$2="HKD"), AD59*Transactions!$Z$4,
            AND(Y59="USD", Transactions!$Q$2="EUR"), AD59*Transactions!$Z$5,
            AND(Y59="GBP", Transactions!$Q$2="GBP"), AD59,
            AND(Y59="GBP", Transactions!$Q$2="USD"), AD59*Transactions!$Z$6,
            AND(Y59="GBP", Transactions!$Q$2="HKD"), AD59*Transactions!$Z$7,
            AND(Y59="HKG", Transactions!$Q$2="HKG"), AD59,
            AND(Y59="HKD", Transactions!$Q$2="USD"), AD59*Transactions!$Z$9,
            AND(Y59="HKD", Transactions!$Q$2="GBP"), AD59*Transactions!$Z$10,
            AND(Y59="HKD", Transactions!$Q$2="EUR"), AD59*Transactions!$Z$11,
            AND(Y59="EUR", Transactions!$Q$2="EUR"), AD59,
            AND(Y59="EUR", Transactions!$Q$2="USD"), AD59*Transactions!$Z$12,
            AND(Y59="EUR", Transactions!$Q$2="GBP"), AD59*Transactions!$Z$13,
            AND(Y59="EUR", Transactions!$Q$2="HKD"), AD59*Transactions!$Z$14,
        ),
        0
    )
)</f>
        <v>63.35</v>
      </c>
      <c r="G59" s="121">
        <f t="shared" si="30"/>
        <v>1.1658E-2</v>
      </c>
      <c r="H59" s="34" cm="1">
        <f t="array" ref="H59">IF($A59="", "",
    IFERROR(
        _xlfn.SWITCH(
            TRUE,
            AND(Y59="USD", Transactions!$Q$2="USD"), AG59,
            AND(Y59="USD", Transactions!$Q$2="GBP"), AG59*Transactions!$Z$3,
            AND(Y59="USD", Transactions!$Q$2="HKD"), AG59*Transactions!$Z$4,
            AND(Y59="USD", Transactions!$Q$2="EUR"), AG59*Transactions!$Z$5,
            AND(Y59="GBP", Transactions!$Q$2="GBP"), AG59,
            AND(Y59="GBP", Transactions!$Q$2="USD"), AG59*Transactions!$Z$6,
            AND(Y59="GBP", Transactions!$Q$2="HKD"), AG59*Transactions!$Z$7,
            AND(Y59="HKG", Transactions!$Q$2="HKG"), AG59,
            AND(Y59="HKD", Transactions!$Q$2="USD"), AG59*Transactions!$Z$9,
            AND(Y59="HKD", Transactions!$Q$2="GBP"), AG59*Transactions!$Z$10,
            AND(Y59="HKD", Transactions!$Q$2="EUR"), AG59*Transactions!$Z$11,
            AND(Y59="EUR", Transactions!$Q$2="EUR"), AG59,
            AND(Y59="EUR", Transactions!$Q$2="USD"), AG59*Transactions!$Z$12,
            AND(Y59="EUR", Transactions!$Q$2="GBP"), AG59*Transactions!$Z$13,
            AND(Y59="EUR", Transactions!$Q$2="HKD"), AG59*Transactions!$Z$14,
        ),
        0
    )
)</f>
        <v>0.73</v>
      </c>
      <c r="I59" s="2" cm="1">
        <f t="array" ref="I59">IF($A59="", "",
    IFERROR(
        _xlfn.SWITCH(
            TRUE,
            AND(Y59="USD", Transactions!$Q$2="USD"), AH59,
            AND(Y59="USD", Transactions!$Q$2="GBP"), AH59*Transactions!$Z$3,
            AND(Y59="USD", Transactions!$Q$2="HKD"), AH59*Transactions!$Z$4,
            AND(Y59="USD", Transactions!$Q$2="EUR"), AH59*Transactions!$Z$5,
            AND(Y59="GBP", Transactions!$Q$2="GBP"), AH59,
            AND(Y59="GBP", Transactions!$Q$2="USD"), AH59*Transactions!$Z$6,
            AND(Y59="GBP", Transactions!$Q$2="HKD"), AH59*Transactions!$Z$7,
            AND(Y59="HKG", Transactions!$Q$2="HKG"), AH59,
            AND(Y59="HKD", Transactions!$Q$2="USD"), AH59*Transactions!$Z$9,
            AND(Y59="HKD", Transactions!$Q$2="GBP"), AH59*Transactions!$Z$10,
            AND(Y59="HKD", Transactions!$Q$2="EUR"), AH59*Transactions!$Z$11,
            AND(Y59="EUR", Transactions!$Q$2="EUR"), AH59,
            AND(Y59="EUR", Transactions!$Q$2="USD"), AH59*Transactions!$Z$12,
            AND(Y59="EUR", Transactions!$Q$2="GBP"), AH59*Transactions!$Z$13,
            AND(Y59="EUR", Transactions!$Q$2="HKD"), AH59*Transactions!$Z$14,
        ),
        0
    )
)</f>
        <v>110</v>
      </c>
      <c r="J59" s="2" cm="1">
        <f t="array" ref="J59">IF($A59="", "",
    IFERROR(
        _xlfn.SWITCH(
            TRUE,
            AND(Y59="USD", Transactions!$Q$2="USD"), AI59,
            AND(Y59="USD", Transactions!$Q$2="GBP"), AI59*Transactions!$Z$3,
            AND(Y59="USD", Transactions!$Q$2="HKD"), AI59*Transactions!$Z$4,
            AND(Y59="USD", Transactions!$Q$2="EUR"), AI59*Transactions!$Z$5,
            AND(Y59="GBP", Transactions!$Q$2="GBP"), AI59,
            AND(Y59="GBP", Transactions!$Q$2="USD"), AI59*Transactions!$Z$6,
            AND(Y59="GBP", Transactions!$Q$2="HKD"), AI59*Transactions!$Z$7,
            AND(Y59="HKG", Transactions!$Q$2="HKG"), AI59,
            AND(Y59="HKD", Transactions!$Q$2="USD"), AI59*Transactions!$Z$9,
            AND(Y59="HKD", Transactions!$Q$2="GBP"), AI59*Transactions!$Z$10,
            AND(Y59="HKD", Transactions!$Q$2="EUR"), AI59*Transactions!$Z$11,
            AND(Y59="EUR", Transactions!$Q$2="EUR"), AI59,
            AND(Y59="EUR", Transactions!$Q$2="USD"), AI59*Transactions!$Z$12,
            AND(Y59="EUR", Transactions!$Q$2="GBP"), AI59*Transactions!$Z$13,
            AND(Y59="EUR", Transactions!$Q$2="HKD"), AI59*Transactions!$Z$14,
        ),
        0
    )
)</f>
        <v>316.75</v>
      </c>
      <c r="K59" s="41">
        <f t="shared" si="23"/>
        <v>1.8795454545454546</v>
      </c>
      <c r="L59" s="2" cm="1">
        <f t="array" ref="L59">IF($A59="", "",
    IFERROR(
        _xlfn.SWITCH(
            TRUE,
            AND(Y59="USD", Transactions!$Q$2="USD"), AK59,
            AND(Y59="USD", Transactions!$Q$2="GBP"), AK59*Transactions!$Z$3,
            AND(Y59="USD", Transactions!$Q$2="HKD"), AK59*Transactions!$Z$4,
            AND(Y59="USD", Transactions!$Q$2="EUR"), AK59*Transactions!$Z$5,
            AND(Y59="GBP", Transactions!$Q$2="GBP"), AK59,
            AND(Y59="GBP", Transactions!$Q$2="USD"), AK59*Transactions!$Z$6,
            AND(Y59="GBP", Transactions!$Q$2="HKD"), AK59*Transactions!$Z$7,
            AND(Y59="HKG", Transactions!$Q$2="HKG"), AK59,
            AND(Y59="HKD", Transactions!$Q$2="USD"), AK59*Transactions!$Z$9,
            AND(Y59="HKD", Transactions!$Q$2="GBP"), AK59*Transactions!$Z$10,
            AND(Y59="HKD", Transactions!$Q$2="EUR"), AK59*Transactions!$Z$11,
            AND(Y59="EUR", Transactions!$Q$2="EUR"), AK59,
            AND(Y59="EUR", Transactions!$Q$2="USD"), AK59*Transactions!$Z$12,
            AND(Y59="EUR", Transactions!$Q$2="GBP"), AK59*Transactions!$Z$13,
            AND(Y59="EUR", Transactions!$Q$2="HKD"), AK59*Transactions!$Z$14,
        ),
        0
    )
)</f>
        <v>206.75</v>
      </c>
      <c r="M59" s="119" cm="1">
        <f t="array" ref="M59">IF($A59="", "",
    IFERROR(
        _xlfn.SWITCH(
            TRUE,
            AND(Y59="USD", Transactions!$Q$2="USD"), AL59,
            AND(Y59="USD", Transactions!$Q$2="GBP"), AL59*Transactions!$Z$3,
            AND(Y59="USD", Transactions!$Q$2="HKD"), AL59*Transactions!$Z$4,
            AND(Y59="USD", Transactions!$Q$2="EUR"), AL59*Transactions!$Z$5,
            AND(Y59="GBP", Transactions!$Q$2="GBP"), AL59,
            AND(Y59="GBP", Transactions!$Q$2="USD"), AL59*Transactions!$Z$6,
            AND(Y59="GBP", Transactions!$Q$2="HKD"), AL59*Transactions!$Z$7,
            AND(Y59="HKG", Transactions!$Q$2="HKG"), AL59,
            AND(Y59="HKD", Transactions!$Q$2="USD"), AL59*Transactions!$Z$9,
            AND(Y59="HKD", Transactions!$Q$2="GBP"), AL59*Transactions!$Z$10,
            AND(Y59="HKD", Transactions!$Q$2="EUR"), AL59*Transactions!$Z$11,
            AND(Y59="EUR", Transactions!$Q$2="EUR"), AL59,
            AND(Y59="EUR", Transactions!$Q$2="USD"), AL59*Transactions!$Z$12,
            AND(Y59="EUR", Transactions!$Q$2="GBP"), AL59*Transactions!$Z$13,
            AND(Y59="EUR", Transactions!$Q$2="HKD"), AL59*Transactions!$Z$14,
        ),
        0
    )
)</f>
        <v>0</v>
      </c>
      <c r="N59" s="120" cm="1">
        <f t="array" ref="N59">IF($A59="", "",
    IFERROR(
        _xlfn.SWITCH(
            TRUE,
            AND(Y59="USD", Transactions!$Q$2="USD"), AM59,
            AND(Y59="USD", Transactions!$Q$2="GBP"), AM59*Transactions!$Z$3,
            AND(Y59="USD", Transactions!$Q$2="HKD"), AM59*Transactions!$Z$4,
            AND(Y59="USD", Transactions!$Q$2="EUR"), AM59*Transactions!$Z$5,
            AND(Y59="GBP", Transactions!$Q$2="GBP"), AM59,
            AND(Y59="GBP", Transactions!$Q$2="USD"), AM59*Transactions!$Z$6,
            AND(Y59="GBP", Transactions!$Q$2="HKD"), AM59*Transactions!$Z$7,
            AND(Y59="HKG", Transactions!$Q$2="HKG"), AM59,
            AND(Y59="HKD", Transactions!$Q$2="USD"), AM59*Transactions!$Z$9,
            AND(Y59="HKD", Transactions!$Q$2="GBP"), AM59*Transactions!$Z$10,
            AND(Y59="HKD", Transactions!$Q$2="EUR"), AM59*Transactions!$Z$11,
            AND(Y59="EUR", Transactions!$Q$2="EUR"), AM59,
            AND(Y59="EUR", Transactions!$Q$2="USD"), AM59*Transactions!$Z$12,
            AND(Y59="EUR", Transactions!$Q$2="GBP"), AM59*Transactions!$Z$13,
            AND(Y59="EUR", Transactions!$Q$2="HKD"), AM59*Transactions!$Z$14,
        ),
        0
    )
)</f>
        <v>206.75</v>
      </c>
      <c r="O59" s="145"/>
      <c r="P59" s="145"/>
      <c r="Q59" s="41">
        <f t="shared" si="24"/>
        <v>1.9750739596085263E-3</v>
      </c>
      <c r="S59" s="41">
        <f t="shared" si="25"/>
        <v>1.9750739596085263E-3</v>
      </c>
      <c r="T59" s="1" t="str">
        <f t="shared" si="26"/>
        <v>ETF</v>
      </c>
      <c r="U59" s="41">
        <f t="shared" si="27"/>
        <v>9.6920480161563141E-3</v>
      </c>
      <c r="V59" s="41">
        <f t="shared" si="28"/>
        <v>0</v>
      </c>
      <c r="W59" s="41">
        <f t="shared" si="29"/>
        <v>9.6920480161563141E-3</v>
      </c>
      <c r="Y59" s="17" t="str">
        <f>IFERROR(IF(ISBLANK(AA59), "", IF(VLOOKUP(AA59, Transactions!D:F, 3, FALSE) = "Stablecoin", AA59, INDEX(Transactions!$B$3:$B1063, MATCH(AA59, Transactions!$D$3:$D1063, 0)))), "")</f>
        <v>USD</v>
      </c>
      <c r="Z59" s="1" t="str">
        <f>_xlfn.XLOOKUP(AA59,Transactions!$D$3:$D$1007,Transactions!$E$3:$E$1007)</f>
        <v>Grayscale Bitcoin Trust</v>
      </c>
      <c r="AA59" s="1" t="e" vm="13">
        <v>#VALUE!</v>
      </c>
      <c r="AB59" s="118" cm="1">
        <f t="array" ref="AB59">IF(ISBLANK(AA59), "",
    SUMPRODUCT(
        (Transactions!$D$3:$D$1007=AA59) *
        (Transactions!$H$3:$H$1007={"Cash Deposit","Crypto Deposit","Buy","Transfer Deposit","DRIP","Airdrop/Rewards"}) *
        Transactions!$I$3:$I$1007
    )
    - SUMPRODUCT(
        (Transactions!$D$3:$D$1007=AA59) *
        (Transactions!$H$3:$H$1007={"Sell","Transfer Send","Cash Withdrawal","Crypto Withdrawal"}) *
        Transactions!$I$3:$I$1007
    )
)</f>
        <v>5</v>
      </c>
      <c r="AC59" s="2" cm="1">
        <f t="array" ref="AC59">IF(ISBLANK(AA59), "", LOOKUP(2, 1/(Transactions!D:D=AA59), Transactions!P:P))</f>
        <v>22</v>
      </c>
      <c r="AD59" s="2" cm="1">
        <f t="array" ref="AD59">IF(ISBLANK(AA59),"",IFERROR(_FV(AA59,"price"),INDEX('CoinGeko API'!E:E,MATCH(Portfolio_v2!AA59,'CoinGeko API'!C:C,0))))</f>
        <v>63.35</v>
      </c>
      <c r="AF59" s="39" cm="1">
        <f t="array" ref="AF59">IF(ISBLANK(AA59),"",IFERROR(_FV(AA59,"Change (%)",TRUE),INDEX('CoinGeko API'!G:G,MATCH(Portfolio_v2!AA59,'CoinGeko API'!C:C,0))))</f>
        <v>1.1658E-2</v>
      </c>
      <c r="AG59" s="34" cm="1">
        <f t="array" ref="AG59">IF(ISBLANK(AA59),"",IFERROR(_FV(AA59,"change"),INDEX('CoinGeko API'!F:F,MATCH(Portfolio_v2!AA59,'CoinGeko API'!C:C,0))))</f>
        <v>0.73</v>
      </c>
      <c r="AH59" s="2">
        <f t="shared" si="13"/>
        <v>110</v>
      </c>
      <c r="AI59" s="2">
        <f t="shared" si="14"/>
        <v>316.75</v>
      </c>
      <c r="AJ59" s="40">
        <f t="shared" si="15"/>
        <v>1.8795454545454546</v>
      </c>
      <c r="AK59" s="2">
        <f t="shared" si="16"/>
        <v>206.75</v>
      </c>
      <c r="AL59" s="119">
        <f>IF(OR(ISBLANK(AA59), COUNTIFS(Transactions!$D$3:$D1063, AA59) = 0), "",
    SUMIFS(Transactions!$M$3:$M1063, Transactions!$H$3:$H1063, "Sell", Transactions!$D$3:$D1063, AA59) +
    SUMIFS(Transactions!$M$3:$M1063, Transactions!$H$3:$H1063, "Dividend", Transactions!$D$3:$D1063, AA59) -
    SUMIFS(Transactions!$M$3:$M1063, Transactions!$H$3:$H1063, "Buy", Transactions!$D$3:$D1063, AA59) -
    SUMIFS(Transactions!$M$3:$M1063, Transactions!$H$3:$H1063, "Crypto Deposit", Transactions!$D$3:$D1063, AA59) -
    SUMIFS(Transactions!$M$3:$M1063, Transactions!$H$3:$H1063, "DRIP", Transactions!$D$3:$D1063, AA59) +
    SUMIFS($AH$3:$AH1055, $AA$3:$AA1055, AA59) +
    SUMIFS(Transactions!$M$3:$M1063, Transactions!$L$3:$L1063, "Stablecoin", Transactions!$B$3:$B1063, AA59)
)</f>
        <v>0</v>
      </c>
      <c r="AM59" s="120">
        <f t="shared" si="17"/>
        <v>206.75</v>
      </c>
      <c r="AN59" s="145"/>
      <c r="AO59" s="145"/>
      <c r="AP59" s="41">
        <f t="shared" si="1"/>
        <v>1.9750739596085263E-3</v>
      </c>
      <c r="AR59" s="41">
        <f t="shared" si="18"/>
        <v>1.9750739596085263E-3</v>
      </c>
      <c r="AS59" s="1" t="str">
        <f>_xlfn.XLOOKUP(AA59,Transactions!$D$3:$D$1007,Transactions!$F$3:$F$1007)</f>
        <v>ETF</v>
      </c>
      <c r="AT59" s="41">
        <f t="shared" si="19"/>
        <v>9.6920480161563141E-3</v>
      </c>
      <c r="AU59" s="41">
        <f t="shared" si="20"/>
        <v>0</v>
      </c>
      <c r="AV59" s="41">
        <f t="shared" si="21"/>
        <v>9.6920480161563141E-3</v>
      </c>
      <c r="AW59" s="18"/>
    </row>
    <row r="60" spans="1:49" ht="18" customHeight="1">
      <c r="A60" s="17" t="str">
        <f t="shared" si="2"/>
        <v>Marathon Digital</v>
      </c>
      <c r="B60" s="1" t="e" vm="20">
        <f t="shared" si="31"/>
        <v>#VALUE!</v>
      </c>
      <c r="C60" s="132">
        <f t="shared" si="4"/>
        <v>235</v>
      </c>
      <c r="D60" s="2" cm="1">
        <f t="array" ref="D60">IF($A60="", "",
    IFERROR(
        _xlfn.SWITCH(
            TRUE,
            AND(Y60="USD", Transactions!$Q$2="USD"), AC60,
            AND(Y60="USD", Transactions!$Q$2="GBP"), AC60*Transactions!$Z$3,
            AND(Y60="USD", Transactions!$Q$2="HKD"), AC60*Transactions!$Z$4,
            AND(Y60="USD", Transactions!$Q$2="EUR"), AC60*Transactions!$Z$5,
            AND(Y60="GBP", Transactions!$Q$2="GBP"), AC60,
            AND(Y60="GBP", Transactions!$Q$2="USD"), AC60*Transactions!$Z$6,
            AND(Y60="GBP", Transactions!$Q$2="HKD"), AC60*Transactions!$Z$7,
            AND(Y60="HKG", Transactions!$Q$2="HKG"), AC60,
            AND(Y60="HKD", Transactions!$Q$2="USD"), AC60*Transactions!$Z$9,
            AND(Y60="HKD", Transactions!$Q$2="GBP"), AC60*Transactions!$Z$10,
            AND(Y60="HKD", Transactions!$Q$2="EUR"), AC60*Transactions!$Z$11,
            AND(Y60="EUR", Transactions!$Q$2="EUR"), AC60,
            AND(Y60="EUR", Transactions!$Q$2="USD"), AC60*Transactions!$Z$12,
            AND(Y60="EUR", Transactions!$Q$2="GBP"), AC60*Transactions!$Z$13,
            AND(Y60="EUR", Transactions!$Q$2="HKD"), AC60*Transactions!$Z$14,
        ),
        0
    )
)</f>
        <v>11.40570156028369</v>
      </c>
      <c r="E60" s="2" cm="1">
        <f t="array" ref="E60">IF($A60="", "",
    IFERROR(
        _xlfn.SWITCH(
            TRUE,
            AND(Y60="USD", Transactions!$Q$2="USD"), AD60,
            AND(Y60="USD", Transactions!$Q$2="GBP"), AD60*Transactions!$Z$3,
            AND(Y60="USD", Transactions!$Q$2="HKD"), AD60*Transactions!$Z$4,
            AND(Y60="USD", Transactions!$Q$2="EUR"), AD60*Transactions!$Z$5,
            AND(Y60="GBP", Transactions!$Q$2="GBP"), AD60,
            AND(Y60="GBP", Transactions!$Q$2="USD"), AD60*Transactions!$Z$6,
            AND(Y60="GBP", Transactions!$Q$2="HKD"), AD60*Transactions!$Z$7,
            AND(Y60="HKG", Transactions!$Q$2="HKG"), AD60,
            AND(Y60="HKD", Transactions!$Q$2="USD"), AD60*Transactions!$Z$9,
            AND(Y60="HKD", Transactions!$Q$2="GBP"), AD60*Transactions!$Z$10,
            AND(Y60="HKD", Transactions!$Q$2="EUR"), AD60*Transactions!$Z$11,
            AND(Y60="EUR", Transactions!$Q$2="EUR"), AD60,
            AND(Y60="EUR", Transactions!$Q$2="USD"), AD60*Transactions!$Z$12,
            AND(Y60="EUR", Transactions!$Q$2="GBP"), AD60*Transactions!$Z$13,
            AND(Y60="EUR", Transactions!$Q$2="HKD"), AD60*Transactions!$Z$14,
        ),
        0
    )
)</f>
        <v>21.07</v>
      </c>
      <c r="G60" s="121">
        <f t="shared" si="30"/>
        <v>2.6803E-2</v>
      </c>
      <c r="H60" s="34" cm="1">
        <f t="array" ref="H60">IF($A60="", "",
    IFERROR(
        _xlfn.SWITCH(
            TRUE,
            AND(Y60="USD", Transactions!$Q$2="USD"), AG60,
            AND(Y60="USD", Transactions!$Q$2="GBP"), AG60*Transactions!$Z$3,
            AND(Y60="USD", Transactions!$Q$2="HKD"), AG60*Transactions!$Z$4,
            AND(Y60="USD", Transactions!$Q$2="EUR"), AG60*Transactions!$Z$5,
            AND(Y60="GBP", Transactions!$Q$2="GBP"), AG60,
            AND(Y60="GBP", Transactions!$Q$2="USD"), AG60*Transactions!$Z$6,
            AND(Y60="GBP", Transactions!$Q$2="HKD"), AG60*Transactions!$Z$7,
            AND(Y60="HKG", Transactions!$Q$2="HKG"), AG60,
            AND(Y60="HKD", Transactions!$Q$2="USD"), AG60*Transactions!$Z$9,
            AND(Y60="HKD", Transactions!$Q$2="GBP"), AG60*Transactions!$Z$10,
            AND(Y60="HKD", Transactions!$Q$2="EUR"), AG60*Transactions!$Z$11,
            AND(Y60="EUR", Transactions!$Q$2="EUR"), AG60,
            AND(Y60="EUR", Transactions!$Q$2="USD"), AG60*Transactions!$Z$12,
            AND(Y60="EUR", Transactions!$Q$2="GBP"), AG60*Transactions!$Z$13,
            AND(Y60="EUR", Transactions!$Q$2="HKD"), AG60*Transactions!$Z$14,
        ),
        0
    )
)</f>
        <v>0.55000000000000004</v>
      </c>
      <c r="I60" s="2" cm="1">
        <f t="array" ref="I60">IF($A60="", "",
    IFERROR(
        _xlfn.SWITCH(
            TRUE,
            AND(Y60="USD", Transactions!$Q$2="USD"), AH60,
            AND(Y60="USD", Transactions!$Q$2="GBP"), AH60*Transactions!$Z$3,
            AND(Y60="USD", Transactions!$Q$2="HKD"), AH60*Transactions!$Z$4,
            AND(Y60="USD", Transactions!$Q$2="EUR"), AH60*Transactions!$Z$5,
            AND(Y60="GBP", Transactions!$Q$2="GBP"), AH60,
            AND(Y60="GBP", Transactions!$Q$2="USD"), AH60*Transactions!$Z$6,
            AND(Y60="GBP", Transactions!$Q$2="HKD"), AH60*Transactions!$Z$7,
            AND(Y60="HKG", Transactions!$Q$2="HKG"), AH60,
            AND(Y60="HKD", Transactions!$Q$2="USD"), AH60*Transactions!$Z$9,
            AND(Y60="HKD", Transactions!$Q$2="GBP"), AH60*Transactions!$Z$10,
            AND(Y60="HKD", Transactions!$Q$2="EUR"), AH60*Transactions!$Z$11,
            AND(Y60="EUR", Transactions!$Q$2="EUR"), AH60,
            AND(Y60="EUR", Transactions!$Q$2="USD"), AH60*Transactions!$Z$12,
            AND(Y60="EUR", Transactions!$Q$2="GBP"), AH60*Transactions!$Z$13,
            AND(Y60="EUR", Transactions!$Q$2="HKD"), AH60*Transactions!$Z$14,
        ),
        0
    )
)</f>
        <v>2680.3398666666671</v>
      </c>
      <c r="J60" s="2" cm="1">
        <f t="array" ref="J60">IF($A60="", "",
    IFERROR(
        _xlfn.SWITCH(
            TRUE,
            AND(Y60="USD", Transactions!$Q$2="USD"), AI60,
            AND(Y60="USD", Transactions!$Q$2="GBP"), AI60*Transactions!$Z$3,
            AND(Y60="USD", Transactions!$Q$2="HKD"), AI60*Transactions!$Z$4,
            AND(Y60="USD", Transactions!$Q$2="EUR"), AI60*Transactions!$Z$5,
            AND(Y60="GBP", Transactions!$Q$2="GBP"), AI60,
            AND(Y60="GBP", Transactions!$Q$2="USD"), AI60*Transactions!$Z$6,
            AND(Y60="GBP", Transactions!$Q$2="HKD"), AI60*Transactions!$Z$7,
            AND(Y60="HKG", Transactions!$Q$2="HKG"), AI60,
            AND(Y60="HKD", Transactions!$Q$2="USD"), AI60*Transactions!$Z$9,
            AND(Y60="HKD", Transactions!$Q$2="GBP"), AI60*Transactions!$Z$10,
            AND(Y60="HKD", Transactions!$Q$2="EUR"), AI60*Transactions!$Z$11,
            AND(Y60="EUR", Transactions!$Q$2="EUR"), AI60,
            AND(Y60="EUR", Transactions!$Q$2="USD"), AI60*Transactions!$Z$12,
            AND(Y60="EUR", Transactions!$Q$2="GBP"), AI60*Transactions!$Z$13,
            AND(Y60="EUR", Transactions!$Q$2="HKD"), AI60*Transactions!$Z$14,
        ),
        0
    )
)</f>
        <v>4951.45</v>
      </c>
      <c r="K60" s="41">
        <f t="shared" si="23"/>
        <v>0.8473217003475525</v>
      </c>
      <c r="L60" s="2" cm="1">
        <f t="array" ref="L60">IF($A60="", "",
    IFERROR(
        _xlfn.SWITCH(
            TRUE,
            AND(Y60="USD", Transactions!$Q$2="USD"), AK60,
            AND(Y60="USD", Transactions!$Q$2="GBP"), AK60*Transactions!$Z$3,
            AND(Y60="USD", Transactions!$Q$2="HKD"), AK60*Transactions!$Z$4,
            AND(Y60="USD", Transactions!$Q$2="EUR"), AK60*Transactions!$Z$5,
            AND(Y60="GBP", Transactions!$Q$2="GBP"), AK60,
            AND(Y60="GBP", Transactions!$Q$2="USD"), AK60*Transactions!$Z$6,
            AND(Y60="GBP", Transactions!$Q$2="HKD"), AK60*Transactions!$Z$7,
            AND(Y60="HKG", Transactions!$Q$2="HKG"), AK60,
            AND(Y60="HKD", Transactions!$Q$2="USD"), AK60*Transactions!$Z$9,
            AND(Y60="HKD", Transactions!$Q$2="GBP"), AK60*Transactions!$Z$10,
            AND(Y60="HKD", Transactions!$Q$2="EUR"), AK60*Transactions!$Z$11,
            AND(Y60="EUR", Transactions!$Q$2="EUR"), AK60,
            AND(Y60="EUR", Transactions!$Q$2="USD"), AK60*Transactions!$Z$12,
            AND(Y60="EUR", Transactions!$Q$2="GBP"), AK60*Transactions!$Z$13,
            AND(Y60="EUR", Transactions!$Q$2="HKD"), AK60*Transactions!$Z$14,
        ),
        0
    )
)</f>
        <v>2271.1101333333327</v>
      </c>
      <c r="M60" s="119" cm="1">
        <f t="array" ref="M60">IF($A60="", "",
    IFERROR(
        _xlfn.SWITCH(
            TRUE,
            AND(Y60="USD", Transactions!$Q$2="USD"), AL60,
            AND(Y60="USD", Transactions!$Q$2="GBP"), AL60*Transactions!$Z$3,
            AND(Y60="USD", Transactions!$Q$2="HKD"), AL60*Transactions!$Z$4,
            AND(Y60="USD", Transactions!$Q$2="EUR"), AL60*Transactions!$Z$5,
            AND(Y60="GBP", Transactions!$Q$2="GBP"), AL60,
            AND(Y60="GBP", Transactions!$Q$2="USD"), AL60*Transactions!$Z$6,
            AND(Y60="GBP", Transactions!$Q$2="HKD"), AL60*Transactions!$Z$7,
            AND(Y60="HKG", Transactions!$Q$2="HKG"), AL60,
            AND(Y60="HKD", Transactions!$Q$2="USD"), AL60*Transactions!$Z$9,
            AND(Y60="HKD", Transactions!$Q$2="GBP"), AL60*Transactions!$Z$10,
            AND(Y60="HKD", Transactions!$Q$2="EUR"), AL60*Transactions!$Z$11,
            AND(Y60="EUR", Transactions!$Q$2="EUR"), AL60,
            AND(Y60="EUR", Transactions!$Q$2="USD"), AL60*Transactions!$Z$12,
            AND(Y60="EUR", Transactions!$Q$2="GBP"), AL60*Transactions!$Z$13,
            AND(Y60="EUR", Transactions!$Q$2="HKD"), AL60*Transactions!$Z$14,
        ),
        0
    )
)</f>
        <v>862.13906666666662</v>
      </c>
      <c r="N60" s="120" cm="1">
        <f t="array" ref="N60">IF($A60="", "",
    IFERROR(
        _xlfn.SWITCH(
            TRUE,
            AND(Y60="USD", Transactions!$Q$2="USD"), AM60,
            AND(Y60="USD", Transactions!$Q$2="GBP"), AM60*Transactions!$Z$3,
            AND(Y60="USD", Transactions!$Q$2="HKD"), AM60*Transactions!$Z$4,
            AND(Y60="USD", Transactions!$Q$2="EUR"), AM60*Transactions!$Z$5,
            AND(Y60="GBP", Transactions!$Q$2="GBP"), AM60,
            AND(Y60="GBP", Transactions!$Q$2="USD"), AM60*Transactions!$Z$6,
            AND(Y60="GBP", Transactions!$Q$2="HKD"), AM60*Transactions!$Z$7,
            AND(Y60="HKG", Transactions!$Q$2="HKG"), AM60,
            AND(Y60="HKD", Transactions!$Q$2="USD"), AM60*Transactions!$Z$9,
            AND(Y60="HKD", Transactions!$Q$2="GBP"), AM60*Transactions!$Z$10,
            AND(Y60="HKD", Transactions!$Q$2="EUR"), AM60*Transactions!$Z$11,
            AND(Y60="EUR", Transactions!$Q$2="EUR"), AM60,
            AND(Y60="EUR", Transactions!$Q$2="USD"), AM60*Transactions!$Z$12,
            AND(Y60="EUR", Transactions!$Q$2="GBP"), AM60*Transactions!$Z$13,
            AND(Y60="EUR", Transactions!$Q$2="HKD"), AM60*Transactions!$Z$14,
        ),
        0
    )
)</f>
        <v>3133.2491999999993</v>
      </c>
      <c r="O60" s="145"/>
      <c r="P60" s="145"/>
      <c r="Q60" s="41">
        <f t="shared" si="24"/>
        <v>3.0874443432687092E-2</v>
      </c>
      <c r="S60" s="41">
        <f t="shared" si="25"/>
        <v>3.0874443432687092E-2</v>
      </c>
      <c r="T60" s="1" t="str">
        <f t="shared" si="26"/>
        <v>Stocks</v>
      </c>
      <c r="U60" s="41">
        <f t="shared" si="27"/>
        <v>0.17515167878590182</v>
      </c>
      <c r="V60" s="41">
        <f t="shared" si="28"/>
        <v>0</v>
      </c>
      <c r="W60" s="41">
        <f t="shared" si="29"/>
        <v>0.17515167878590182</v>
      </c>
      <c r="Y60" s="17" t="str">
        <f>IFERROR(IF(ISBLANK(AA60), "", IF(VLOOKUP(AA60, Transactions!D:F, 3, FALSE) = "Stablecoin", AA60, INDEX(Transactions!$B$3:$B1064, MATCH(AA60, Transactions!$D$3:$D1064, 0)))), "")</f>
        <v>USD</v>
      </c>
      <c r="Z60" s="1" t="str">
        <f>_xlfn.XLOOKUP(AA60,Transactions!$D$3:$D$1007,Transactions!$E$3:$E$1007)</f>
        <v>Marathon Digital</v>
      </c>
      <c r="AA60" s="1" t="e" vm="20">
        <v>#VALUE!</v>
      </c>
      <c r="AB60" s="118" cm="1">
        <f t="array" ref="AB60">IF(ISBLANK(AA60), "",
    SUMPRODUCT(
        (Transactions!$D$3:$D$1007=AA60) *
        (Transactions!$H$3:$H$1007={"Cash Deposit","Crypto Deposit","Buy","Transfer Deposit","DRIP","Airdrop/Rewards"}) *
        Transactions!$I$3:$I$1007
    )
    - SUMPRODUCT(
        (Transactions!$D$3:$D$1007=AA60) *
        (Transactions!$H$3:$H$1007={"Sell","Transfer Send","Cash Withdrawal","Crypto Withdrawal"}) *
        Transactions!$I$3:$I$1007
    )
)</f>
        <v>235</v>
      </c>
      <c r="AC60" s="2" cm="1">
        <f t="array" ref="AC60">IF(ISBLANK(AA60), "", LOOKUP(2, 1/(Transactions!D:D=AA60), Transactions!P:P))</f>
        <v>11.40570156028369</v>
      </c>
      <c r="AD60" s="2" cm="1">
        <f t="array" ref="AD60">IF(ISBLANK(AA60),"",IFERROR(_FV(AA60,"price"),INDEX('CoinGeko API'!E:E,MATCH(Portfolio_v2!AA60,'CoinGeko API'!C:C,0))))</f>
        <v>21.07</v>
      </c>
      <c r="AF60" s="39" cm="1">
        <f t="array" ref="AF60">IF(ISBLANK(AA60),"",IFERROR(_FV(AA60,"Change (%)",TRUE),INDEX('CoinGeko API'!G:G,MATCH(Portfolio_v2!AA60,'CoinGeko API'!C:C,0))))</f>
        <v>2.6803E-2</v>
      </c>
      <c r="AG60" s="34" cm="1">
        <f t="array" ref="AG60">IF(ISBLANK(AA60),"",IFERROR(_FV(AA60,"change"),INDEX('CoinGeko API'!F:F,MATCH(Portfolio_v2!AA60,'CoinGeko API'!C:C,0))))</f>
        <v>0.55000000000000004</v>
      </c>
      <c r="AH60" s="2">
        <f t="shared" si="13"/>
        <v>2680.3398666666671</v>
      </c>
      <c r="AI60" s="2">
        <f t="shared" si="14"/>
        <v>4951.45</v>
      </c>
      <c r="AJ60" s="40">
        <f t="shared" si="15"/>
        <v>0.8473217003475525</v>
      </c>
      <c r="AK60" s="2">
        <f t="shared" si="16"/>
        <v>2271.1101333333327</v>
      </c>
      <c r="AL60" s="119">
        <f>IF(OR(ISBLANK(AA60), COUNTIFS(Transactions!$D$3:$D1064, AA60) = 0), "",
    SUMIFS(Transactions!$M$3:$M1064, Transactions!$H$3:$H1064, "Sell", Transactions!$D$3:$D1064, AA60) +
    SUMIFS(Transactions!$M$3:$M1064, Transactions!$H$3:$H1064, "Dividend", Transactions!$D$3:$D1064, AA60) -
    SUMIFS(Transactions!$M$3:$M1064, Transactions!$H$3:$H1064, "Buy", Transactions!$D$3:$D1064, AA60) -
    SUMIFS(Transactions!$M$3:$M1064, Transactions!$H$3:$H1064, "Crypto Deposit", Transactions!$D$3:$D1064, AA60) -
    SUMIFS(Transactions!$M$3:$M1064, Transactions!$H$3:$H1064, "DRIP", Transactions!$D$3:$D1064, AA60) +
    SUMIFS($AH$3:$AH1056, $AA$3:$AA1056, AA60) +
    SUMIFS(Transactions!$M$3:$M1064, Transactions!$L$3:$L1064, "Stablecoin", Transactions!$B$3:$B1064, AA60)
)</f>
        <v>862.13906666666662</v>
      </c>
      <c r="AM60" s="120">
        <f t="shared" si="17"/>
        <v>3133.2491999999993</v>
      </c>
      <c r="AN60" s="145"/>
      <c r="AO60" s="145"/>
      <c r="AP60" s="41">
        <f t="shared" si="1"/>
        <v>3.0874443432687092E-2</v>
      </c>
      <c r="AR60" s="41">
        <f t="shared" si="18"/>
        <v>3.0874443432687092E-2</v>
      </c>
      <c r="AS60" s="1" t="str">
        <f>_xlfn.XLOOKUP(AA60,Transactions!$D$3:$D$1007,Transactions!$F$3:$F$1007)</f>
        <v>Stocks</v>
      </c>
      <c r="AT60" s="41">
        <f t="shared" si="19"/>
        <v>0.17515167878590182</v>
      </c>
      <c r="AU60" s="41">
        <f t="shared" si="20"/>
        <v>0</v>
      </c>
      <c r="AV60" s="41">
        <f t="shared" si="21"/>
        <v>0.17515167878590182</v>
      </c>
      <c r="AW60" s="18"/>
    </row>
    <row r="61" spans="1:49" ht="18" customHeight="1">
      <c r="A61" s="17" t="str">
        <f t="shared" si="2"/>
        <v>MicroStrategy</v>
      </c>
      <c r="B61" s="1" t="e" vm="21">
        <f t="shared" si="31"/>
        <v>#VALUE!</v>
      </c>
      <c r="C61" s="132">
        <f t="shared" si="4"/>
        <v>2</v>
      </c>
      <c r="D61" s="2" cm="1">
        <f t="array" ref="D61">IF($A61="", "",
    IFERROR(
        _xlfn.SWITCH(
            TRUE,
            AND(Y61="USD", Transactions!$Q$2="USD"), AC61,
            AND(Y61="USD", Transactions!$Q$2="GBP"), AC61*Transactions!$Z$3,
            AND(Y61="USD", Transactions!$Q$2="HKD"), AC61*Transactions!$Z$4,
            AND(Y61="USD", Transactions!$Q$2="EUR"), AC61*Transactions!$Z$5,
            AND(Y61="GBP", Transactions!$Q$2="GBP"), AC61,
            AND(Y61="GBP", Transactions!$Q$2="USD"), AC61*Transactions!$Z$6,
            AND(Y61="GBP", Transactions!$Q$2="HKD"), AC61*Transactions!$Z$7,
            AND(Y61="HKG", Transactions!$Q$2="HKG"), AC61,
            AND(Y61="HKD", Transactions!$Q$2="USD"), AC61*Transactions!$Z$9,
            AND(Y61="HKD", Transactions!$Q$2="GBP"), AC61*Transactions!$Z$10,
            AND(Y61="HKD", Transactions!$Q$2="EUR"), AC61*Transactions!$Z$11,
            AND(Y61="EUR", Transactions!$Q$2="EUR"), AC61,
            AND(Y61="EUR", Transactions!$Q$2="USD"), AC61*Transactions!$Z$12,
            AND(Y61="EUR", Transactions!$Q$2="GBP"), AC61*Transactions!$Z$13,
            AND(Y61="EUR", Transactions!$Q$2="HKD"), AC61*Transactions!$Z$14,
        ),
        0
    )
)</f>
        <v>353.55666666666667</v>
      </c>
      <c r="E61" s="2" cm="1">
        <f t="array" ref="E61">IF($A61="", "",
    IFERROR(
        _xlfn.SWITCH(
            TRUE,
            AND(Y61="USD", Transactions!$Q$2="USD"), AD61,
            AND(Y61="USD", Transactions!$Q$2="GBP"), AD61*Transactions!$Z$3,
            AND(Y61="USD", Transactions!$Q$2="HKD"), AD61*Transactions!$Z$4,
            AND(Y61="USD", Transactions!$Q$2="EUR"), AD61*Transactions!$Z$5,
            AND(Y61="GBP", Transactions!$Q$2="GBP"), AD61,
            AND(Y61="GBP", Transactions!$Q$2="USD"), AD61*Transactions!$Z$6,
            AND(Y61="GBP", Transactions!$Q$2="HKD"), AD61*Transactions!$Z$7,
            AND(Y61="HKG", Transactions!$Q$2="HKG"), AD61,
            AND(Y61="HKD", Transactions!$Q$2="USD"), AD61*Transactions!$Z$9,
            AND(Y61="HKD", Transactions!$Q$2="GBP"), AD61*Transactions!$Z$10,
            AND(Y61="HKD", Transactions!$Q$2="EUR"), AD61*Transactions!$Z$11,
            AND(Y61="EUR", Transactions!$Q$2="EUR"), AD61,
            AND(Y61="EUR", Transactions!$Q$2="USD"), AD61*Transactions!$Z$12,
            AND(Y61="EUR", Transactions!$Q$2="GBP"), AD61*Transactions!$Z$13,
            AND(Y61="EUR", Transactions!$Q$2="HKD"), AD61*Transactions!$Z$14,
        ),
        0
    )
)</f>
        <v>1694.69</v>
      </c>
      <c r="G61" s="121">
        <f t="shared" si="30"/>
        <v>3.4123000000000001E-2</v>
      </c>
      <c r="H61" s="34" cm="1">
        <f t="array" ref="H61">IF($A61="", "",
    IFERROR(
        _xlfn.SWITCH(
            TRUE,
            AND(Y61="USD", Transactions!$Q$2="USD"), AG61,
            AND(Y61="USD", Transactions!$Q$2="GBP"), AG61*Transactions!$Z$3,
            AND(Y61="USD", Transactions!$Q$2="HKD"), AG61*Transactions!$Z$4,
            AND(Y61="USD", Transactions!$Q$2="EUR"), AG61*Transactions!$Z$5,
            AND(Y61="GBP", Transactions!$Q$2="GBP"), AG61,
            AND(Y61="GBP", Transactions!$Q$2="USD"), AG61*Transactions!$Z$6,
            AND(Y61="GBP", Transactions!$Q$2="HKD"), AG61*Transactions!$Z$7,
            AND(Y61="HKG", Transactions!$Q$2="HKG"), AG61,
            AND(Y61="HKD", Transactions!$Q$2="USD"), AG61*Transactions!$Z$9,
            AND(Y61="HKD", Transactions!$Q$2="GBP"), AG61*Transactions!$Z$10,
            AND(Y61="HKD", Transactions!$Q$2="EUR"), AG61*Transactions!$Z$11,
            AND(Y61="EUR", Transactions!$Q$2="EUR"), AG61,
            AND(Y61="EUR", Transactions!$Q$2="USD"), AG61*Transactions!$Z$12,
            AND(Y61="EUR", Transactions!$Q$2="GBP"), AG61*Transactions!$Z$13,
            AND(Y61="EUR", Transactions!$Q$2="HKD"), AG61*Transactions!$Z$14,
        ),
        0
    )
)</f>
        <v>55.92</v>
      </c>
      <c r="I61" s="2" cm="1">
        <f t="array" ref="I61">IF($A61="", "",
    IFERROR(
        _xlfn.SWITCH(
            TRUE,
            AND(Y61="USD", Transactions!$Q$2="USD"), AH61,
            AND(Y61="USD", Transactions!$Q$2="GBP"), AH61*Transactions!$Z$3,
            AND(Y61="USD", Transactions!$Q$2="HKD"), AH61*Transactions!$Z$4,
            AND(Y61="USD", Transactions!$Q$2="EUR"), AH61*Transactions!$Z$5,
            AND(Y61="GBP", Transactions!$Q$2="GBP"), AH61,
            AND(Y61="GBP", Transactions!$Q$2="USD"), AH61*Transactions!$Z$6,
            AND(Y61="GBP", Transactions!$Q$2="HKD"), AH61*Transactions!$Z$7,
            AND(Y61="HKG", Transactions!$Q$2="HKG"), AH61,
            AND(Y61="HKD", Transactions!$Q$2="USD"), AH61*Transactions!$Z$9,
            AND(Y61="HKD", Transactions!$Q$2="GBP"), AH61*Transactions!$Z$10,
            AND(Y61="HKD", Transactions!$Q$2="EUR"), AH61*Transactions!$Z$11,
            AND(Y61="EUR", Transactions!$Q$2="EUR"), AH61,
            AND(Y61="EUR", Transactions!$Q$2="USD"), AH61*Transactions!$Z$12,
            AND(Y61="EUR", Transactions!$Q$2="GBP"), AH61*Transactions!$Z$13,
            AND(Y61="EUR", Transactions!$Q$2="HKD"), AH61*Transactions!$Z$14,
        ),
        0
    )
)</f>
        <v>707.11333333333334</v>
      </c>
      <c r="J61" s="2" cm="1">
        <f t="array" ref="J61">IF($A61="", "",
    IFERROR(
        _xlfn.SWITCH(
            TRUE,
            AND(Y61="USD", Transactions!$Q$2="USD"), AI61,
            AND(Y61="USD", Transactions!$Q$2="GBP"), AI61*Transactions!$Z$3,
            AND(Y61="USD", Transactions!$Q$2="HKD"), AI61*Transactions!$Z$4,
            AND(Y61="USD", Transactions!$Q$2="EUR"), AI61*Transactions!$Z$5,
            AND(Y61="GBP", Transactions!$Q$2="GBP"), AI61,
            AND(Y61="GBP", Transactions!$Q$2="USD"), AI61*Transactions!$Z$6,
            AND(Y61="GBP", Transactions!$Q$2="HKD"), AI61*Transactions!$Z$7,
            AND(Y61="HKG", Transactions!$Q$2="HKG"), AI61,
            AND(Y61="HKD", Transactions!$Q$2="USD"), AI61*Transactions!$Z$9,
            AND(Y61="HKD", Transactions!$Q$2="GBP"), AI61*Transactions!$Z$10,
            AND(Y61="HKD", Transactions!$Q$2="EUR"), AI61*Transactions!$Z$11,
            AND(Y61="EUR", Transactions!$Q$2="EUR"), AI61,
            AND(Y61="EUR", Transactions!$Q$2="USD"), AI61*Transactions!$Z$12,
            AND(Y61="EUR", Transactions!$Q$2="GBP"), AI61*Transactions!$Z$13,
            AND(Y61="EUR", Transactions!$Q$2="HKD"), AI61*Transactions!$Z$14,
        ),
        0
    )
)</f>
        <v>3389.38</v>
      </c>
      <c r="K61" s="41">
        <f t="shared" si="23"/>
        <v>3.7932627490171309</v>
      </c>
      <c r="L61" s="2" cm="1">
        <f t="array" ref="L61">IF($A61="", "",
    IFERROR(
        _xlfn.SWITCH(
            TRUE,
            AND(Y61="USD", Transactions!$Q$2="USD"), AK61,
            AND(Y61="USD", Transactions!$Q$2="GBP"), AK61*Transactions!$Z$3,
            AND(Y61="USD", Transactions!$Q$2="HKD"), AK61*Transactions!$Z$4,
            AND(Y61="USD", Transactions!$Q$2="EUR"), AK61*Transactions!$Z$5,
            AND(Y61="GBP", Transactions!$Q$2="GBP"), AK61,
            AND(Y61="GBP", Transactions!$Q$2="USD"), AK61*Transactions!$Z$6,
            AND(Y61="GBP", Transactions!$Q$2="HKD"), AK61*Transactions!$Z$7,
            AND(Y61="HKG", Transactions!$Q$2="HKG"), AK61,
            AND(Y61="HKD", Transactions!$Q$2="USD"), AK61*Transactions!$Z$9,
            AND(Y61="HKD", Transactions!$Q$2="GBP"), AK61*Transactions!$Z$10,
            AND(Y61="HKD", Transactions!$Q$2="EUR"), AK61*Transactions!$Z$11,
            AND(Y61="EUR", Transactions!$Q$2="EUR"), AK61,
            AND(Y61="EUR", Transactions!$Q$2="USD"), AK61*Transactions!$Z$12,
            AND(Y61="EUR", Transactions!$Q$2="GBP"), AK61*Transactions!$Z$13,
            AND(Y61="EUR", Transactions!$Q$2="HKD"), AK61*Transactions!$Z$14,
        ),
        0
    )
)</f>
        <v>2682.2666666666669</v>
      </c>
      <c r="M61" s="119" cm="1">
        <f t="array" ref="M61">IF($A61="", "",
    IFERROR(
        _xlfn.SWITCH(
            TRUE,
            AND(Y61="USD", Transactions!$Q$2="USD"), AL61,
            AND(Y61="USD", Transactions!$Q$2="GBP"), AL61*Transactions!$Z$3,
            AND(Y61="USD", Transactions!$Q$2="HKD"), AL61*Transactions!$Z$4,
            AND(Y61="USD", Transactions!$Q$2="EUR"), AL61*Transactions!$Z$5,
            AND(Y61="GBP", Transactions!$Q$2="GBP"), AL61,
            AND(Y61="GBP", Transactions!$Q$2="USD"), AL61*Transactions!$Z$6,
            AND(Y61="GBP", Transactions!$Q$2="HKD"), AL61*Transactions!$Z$7,
            AND(Y61="HKG", Transactions!$Q$2="HKG"), AL61,
            AND(Y61="HKD", Transactions!$Q$2="USD"), AL61*Transactions!$Z$9,
            AND(Y61="HKD", Transactions!$Q$2="GBP"), AL61*Transactions!$Z$10,
            AND(Y61="HKD", Transactions!$Q$2="EUR"), AL61*Transactions!$Z$11,
            AND(Y61="EUR", Transactions!$Q$2="EUR"), AL61,
            AND(Y61="EUR", Transactions!$Q$2="USD"), AL61*Transactions!$Z$12,
            AND(Y61="EUR", Transactions!$Q$2="GBP"), AL61*Transactions!$Z$13,
            AND(Y61="EUR", Transactions!$Q$2="HKD"), AL61*Transactions!$Z$14,
        ),
        0
    )
)</f>
        <v>4291.7733333333335</v>
      </c>
      <c r="N61" s="120" cm="1">
        <f t="array" ref="N61">IF($A61="", "",
    IFERROR(
        _xlfn.SWITCH(
            TRUE,
            AND(Y61="USD", Transactions!$Q$2="USD"), AM61,
            AND(Y61="USD", Transactions!$Q$2="GBP"), AM61*Transactions!$Z$3,
            AND(Y61="USD", Transactions!$Q$2="HKD"), AM61*Transactions!$Z$4,
            AND(Y61="USD", Transactions!$Q$2="EUR"), AM61*Transactions!$Z$5,
            AND(Y61="GBP", Transactions!$Q$2="GBP"), AM61,
            AND(Y61="GBP", Transactions!$Q$2="USD"), AM61*Transactions!$Z$6,
            AND(Y61="GBP", Transactions!$Q$2="HKD"), AM61*Transactions!$Z$7,
            AND(Y61="HKG", Transactions!$Q$2="HKG"), AM61,
            AND(Y61="HKD", Transactions!$Q$2="USD"), AM61*Transactions!$Z$9,
            AND(Y61="HKD", Transactions!$Q$2="GBP"), AM61*Transactions!$Z$10,
            AND(Y61="HKD", Transactions!$Q$2="EUR"), AM61*Transactions!$Z$11,
            AND(Y61="EUR", Transactions!$Q$2="EUR"), AM61,
            AND(Y61="EUR", Transactions!$Q$2="USD"), AM61*Transactions!$Z$12,
            AND(Y61="EUR", Transactions!$Q$2="GBP"), AM61*Transactions!$Z$13,
            AND(Y61="EUR", Transactions!$Q$2="HKD"), AM61*Transactions!$Z$14,
        ),
        0
    )
)</f>
        <v>6974.0400000000009</v>
      </c>
      <c r="O61" s="145"/>
      <c r="P61" s="145"/>
      <c r="Q61" s="41">
        <f t="shared" si="24"/>
        <v>2.1134257860198725E-2</v>
      </c>
      <c r="S61" s="41">
        <f t="shared" si="25"/>
        <v>2.1134257860198725E-2</v>
      </c>
      <c r="T61" s="1" t="str">
        <f t="shared" si="26"/>
        <v>Stocks</v>
      </c>
      <c r="U61" s="41">
        <f t="shared" si="27"/>
        <v>0.17515167878590182</v>
      </c>
      <c r="V61" s="41">
        <f t="shared" si="28"/>
        <v>0</v>
      </c>
      <c r="W61" s="41">
        <f t="shared" si="29"/>
        <v>0.17515167878590182</v>
      </c>
      <c r="Y61" s="17" t="str">
        <f>IFERROR(IF(ISBLANK(AA61), "", IF(VLOOKUP(AA61, Transactions!D:F, 3, FALSE) = "Stablecoin", AA61, INDEX(Transactions!$B$3:$B1065, MATCH(AA61, Transactions!$D$3:$D1065, 0)))), "")</f>
        <v>USD</v>
      </c>
      <c r="Z61" s="1" t="str">
        <f>_xlfn.XLOOKUP(AA61,Transactions!$D$3:$D$1007,Transactions!$E$3:$E$1007)</f>
        <v>MicroStrategy</v>
      </c>
      <c r="AA61" s="1" t="e" vm="21">
        <v>#VALUE!</v>
      </c>
      <c r="AB61" s="118" cm="1">
        <f t="array" ref="AB61">IF(ISBLANK(AA61), "",
    SUMPRODUCT(
        (Transactions!$D$3:$D$1007=AA61) *
        (Transactions!$H$3:$H$1007={"Cash Deposit","Crypto Deposit","Buy","Transfer Deposit","DRIP","Airdrop/Rewards"}) *
        Transactions!$I$3:$I$1007
    )
    - SUMPRODUCT(
        (Transactions!$D$3:$D$1007=AA61) *
        (Transactions!$H$3:$H$1007={"Sell","Transfer Send","Cash Withdrawal","Crypto Withdrawal"}) *
        Transactions!$I$3:$I$1007
    )
)</f>
        <v>2</v>
      </c>
      <c r="AC61" s="2" cm="1">
        <f t="array" ref="AC61">IF(ISBLANK(AA61), "", LOOKUP(2, 1/(Transactions!D:D=AA61), Transactions!P:P))</f>
        <v>353.55666666666667</v>
      </c>
      <c r="AD61" s="2" cm="1">
        <f t="array" ref="AD61">IF(ISBLANK(AA61),"",IFERROR(_FV(AA61,"price"),INDEX('CoinGeko API'!E:E,MATCH(Portfolio_v2!AA61,'CoinGeko API'!C:C,0))))</f>
        <v>1694.69</v>
      </c>
      <c r="AF61" s="39" cm="1">
        <f t="array" ref="AF61">IF(ISBLANK(AA61),"",IFERROR(_FV(AA61,"Change (%)",TRUE),INDEX('CoinGeko API'!G:G,MATCH(Portfolio_v2!AA61,'CoinGeko API'!C:C,0))))</f>
        <v>3.4123000000000001E-2</v>
      </c>
      <c r="AG61" s="34" cm="1">
        <f t="array" ref="AG61">IF(ISBLANK(AA61),"",IFERROR(_FV(AA61,"change"),INDEX('CoinGeko API'!F:F,MATCH(Portfolio_v2!AA61,'CoinGeko API'!C:C,0))))</f>
        <v>55.92</v>
      </c>
      <c r="AH61" s="2">
        <f t="shared" si="13"/>
        <v>707.11333333333334</v>
      </c>
      <c r="AI61" s="2">
        <f t="shared" si="14"/>
        <v>3389.38</v>
      </c>
      <c r="AJ61" s="40">
        <f t="shared" si="15"/>
        <v>3.7932627490171309</v>
      </c>
      <c r="AK61" s="2">
        <f t="shared" si="16"/>
        <v>2682.2666666666669</v>
      </c>
      <c r="AL61" s="119">
        <f>IF(OR(ISBLANK(AA61), COUNTIFS(Transactions!$D$3:$D1065, AA61) = 0), "",
    SUMIFS(Transactions!$M$3:$M1065, Transactions!$H$3:$H1065, "Sell", Transactions!$D$3:$D1065, AA61) +
    SUMIFS(Transactions!$M$3:$M1065, Transactions!$H$3:$H1065, "Dividend", Transactions!$D$3:$D1065, AA61) -
    SUMIFS(Transactions!$M$3:$M1065, Transactions!$H$3:$H1065, "Buy", Transactions!$D$3:$D1065, AA61) -
    SUMIFS(Transactions!$M$3:$M1065, Transactions!$H$3:$H1065, "Crypto Deposit", Transactions!$D$3:$D1065, AA61) -
    SUMIFS(Transactions!$M$3:$M1065, Transactions!$H$3:$H1065, "DRIP", Transactions!$D$3:$D1065, AA61) +
    SUMIFS($AH$3:$AH1057, $AA$3:$AA1057, AA61) +
    SUMIFS(Transactions!$M$3:$M1065, Transactions!$L$3:$L1065, "Stablecoin", Transactions!$B$3:$B1065, AA61)
)</f>
        <v>4291.7733333333335</v>
      </c>
      <c r="AM61" s="120">
        <f t="shared" si="17"/>
        <v>6974.0400000000009</v>
      </c>
      <c r="AN61" s="145"/>
      <c r="AO61" s="145"/>
      <c r="AP61" s="41">
        <f t="shared" si="1"/>
        <v>2.1134257860198725E-2</v>
      </c>
      <c r="AR61" s="41">
        <f t="shared" si="18"/>
        <v>2.1134257860198725E-2</v>
      </c>
      <c r="AS61" s="1" t="str">
        <f>_xlfn.XLOOKUP(AA61,Transactions!$D$3:$D$1007,Transactions!$F$3:$F$1007)</f>
        <v>Stocks</v>
      </c>
      <c r="AT61" s="41">
        <f t="shared" si="19"/>
        <v>0.17515167878590182</v>
      </c>
      <c r="AU61" s="41">
        <f t="shared" si="20"/>
        <v>0</v>
      </c>
      <c r="AV61" s="41">
        <f t="shared" si="21"/>
        <v>0.17515167878590182</v>
      </c>
      <c r="AW61" s="18"/>
    </row>
    <row r="62" spans="1:49" ht="18" customHeight="1">
      <c r="A62" s="17" t="str">
        <f t="shared" si="2"/>
        <v>Riot Platforms</v>
      </c>
      <c r="B62" s="1" t="e" vm="26">
        <f t="shared" si="31"/>
        <v>#VALUE!</v>
      </c>
      <c r="C62" s="132">
        <f>AB62</f>
        <v>60</v>
      </c>
      <c r="D62" s="2" cm="1">
        <f t="array" ref="D62">IF($A62="", "",
    IFERROR(
        _xlfn.SWITCH(
            TRUE,
            AND(Y62="USD", Transactions!$Q$2="USD"), AC62,
            AND(Y62="USD", Transactions!$Q$2="GBP"), AC62*Transactions!$Z$3,
            AND(Y62="USD", Transactions!$Q$2="HKD"), AC62*Transactions!$Z$4,
            AND(Y62="USD", Transactions!$Q$2="EUR"), AC62*Transactions!$Z$5,
            AND(Y62="GBP", Transactions!$Q$2="GBP"), AC62,
            AND(Y62="GBP", Transactions!$Q$2="USD"), AC62*Transactions!$Z$6,
            AND(Y62="GBP", Transactions!$Q$2="HKD"), AC62*Transactions!$Z$7,
            AND(Y62="HKG", Transactions!$Q$2="HKG"), AC62,
            AND(Y62="HKD", Transactions!$Q$2="USD"), AC62*Transactions!$Z$9,
            AND(Y62="HKD", Transactions!$Q$2="GBP"), AC62*Transactions!$Z$10,
            AND(Y62="HKD", Transactions!$Q$2="EUR"), AC62*Transactions!$Z$11,
            AND(Y62="EUR", Transactions!$Q$2="EUR"), AC62,
            AND(Y62="EUR", Transactions!$Q$2="USD"), AC62*Transactions!$Z$12,
            AND(Y62="EUR", Transactions!$Q$2="GBP"), AC62*Transactions!$Z$13,
            AND(Y62="EUR", Transactions!$Q$2="HKD"), AC62*Transactions!$Z$14,
        ),
        0
    )
)</f>
        <v>11.68</v>
      </c>
      <c r="E62" s="2" cm="1">
        <f t="array" ref="E62">IF($A62="", "",
    IFERROR(
        _xlfn.SWITCH(
            TRUE,
            AND(Y62="USD", Transactions!$Q$2="USD"), AD62,
            AND(Y62="USD", Transactions!$Q$2="GBP"), AD62*Transactions!$Z$3,
            AND(Y62="USD", Transactions!$Q$2="HKD"), AD62*Transactions!$Z$4,
            AND(Y62="USD", Transactions!$Q$2="EUR"), AD62*Transactions!$Z$5,
            AND(Y62="GBP", Transactions!$Q$2="GBP"), AD62,
            AND(Y62="GBP", Transactions!$Q$2="USD"), AD62*Transactions!$Z$6,
            AND(Y62="GBP", Transactions!$Q$2="HKD"), AD62*Transactions!$Z$7,
            AND(Y62="HKG", Transactions!$Q$2="HKG"), AD62,
            AND(Y62="HKD", Transactions!$Q$2="USD"), AD62*Transactions!$Z$9,
            AND(Y62="HKD", Transactions!$Q$2="GBP"), AD62*Transactions!$Z$10,
            AND(Y62="HKD", Transactions!$Q$2="EUR"), AD62*Transactions!$Z$11,
            AND(Y62="EUR", Transactions!$Q$2="EUR"), AD62,
            AND(Y62="EUR", Transactions!$Q$2="USD"), AD62*Transactions!$Z$12,
            AND(Y62="EUR", Transactions!$Q$2="GBP"), AD62*Transactions!$Z$13,
            AND(Y62="EUR", Transactions!$Q$2="HKD"), AD62*Transactions!$Z$14,
        ),
        0
    )
)</f>
        <v>9.65</v>
      </c>
      <c r="G62" s="121">
        <f t="shared" si="30"/>
        <v>-2.068E-3</v>
      </c>
      <c r="H62" s="34" cm="1">
        <f t="array" ref="H62">IF($A62="", "",
    IFERROR(
        _xlfn.SWITCH(
            TRUE,
            AND(Y62="USD", Transactions!$Q$2="USD"), AG62,
            AND(Y62="USD", Transactions!$Q$2="GBP"), AG62*Transactions!$Z$3,
            AND(Y62="USD", Transactions!$Q$2="HKD"), AG62*Transactions!$Z$4,
            AND(Y62="USD", Transactions!$Q$2="EUR"), AG62*Transactions!$Z$5,
            AND(Y62="GBP", Transactions!$Q$2="GBP"), AG62,
            AND(Y62="GBP", Transactions!$Q$2="USD"), AG62*Transactions!$Z$6,
            AND(Y62="GBP", Transactions!$Q$2="HKD"), AG62*Transactions!$Z$7,
            AND(Y62="HKG", Transactions!$Q$2="HKG"), AG62,
            AND(Y62="HKD", Transactions!$Q$2="USD"), AG62*Transactions!$Z$9,
            AND(Y62="HKD", Transactions!$Q$2="GBP"), AG62*Transactions!$Z$10,
            AND(Y62="HKD", Transactions!$Q$2="EUR"), AG62*Transactions!$Z$11,
            AND(Y62="EUR", Transactions!$Q$2="EUR"), AG62,
            AND(Y62="EUR", Transactions!$Q$2="USD"), AG62*Transactions!$Z$12,
            AND(Y62="EUR", Transactions!$Q$2="GBP"), AG62*Transactions!$Z$13,
            AND(Y62="EUR", Transactions!$Q$2="HKD"), AG62*Transactions!$Z$14,
        ),
        0
    )
)</f>
        <v>-0.02</v>
      </c>
      <c r="I62" s="2" cm="1">
        <f t="array" ref="I62">IF($A62="", "",
    IFERROR(
        _xlfn.SWITCH(
            TRUE,
            AND(Y62="USD", Transactions!$Q$2="USD"), AH62,
            AND(Y62="USD", Transactions!$Q$2="GBP"), AH62*Transactions!$Z$3,
            AND(Y62="USD", Transactions!$Q$2="HKD"), AH62*Transactions!$Z$4,
            AND(Y62="USD", Transactions!$Q$2="EUR"), AH62*Transactions!$Z$5,
            AND(Y62="GBP", Transactions!$Q$2="GBP"), AH62,
            AND(Y62="GBP", Transactions!$Q$2="USD"), AH62*Transactions!$Z$6,
            AND(Y62="GBP", Transactions!$Q$2="HKD"), AH62*Transactions!$Z$7,
            AND(Y62="HKG", Transactions!$Q$2="HKG"), AH62,
            AND(Y62="HKD", Transactions!$Q$2="USD"), AH62*Transactions!$Z$9,
            AND(Y62="HKD", Transactions!$Q$2="GBP"), AH62*Transactions!$Z$10,
            AND(Y62="HKD", Transactions!$Q$2="EUR"), AH62*Transactions!$Z$11,
            AND(Y62="EUR", Transactions!$Q$2="EUR"), AH62,
            AND(Y62="EUR", Transactions!$Q$2="USD"), AH62*Transactions!$Z$12,
            AND(Y62="EUR", Transactions!$Q$2="GBP"), AH62*Transactions!$Z$13,
            AND(Y62="EUR", Transactions!$Q$2="HKD"), AH62*Transactions!$Z$14,
        ),
        0
    )
)</f>
        <v>700.8</v>
      </c>
      <c r="J62" s="2" cm="1">
        <f t="array" ref="J62">IF($A62="", "",
    IFERROR(
        _xlfn.SWITCH(
            TRUE,
            AND(Y62="USD", Transactions!$Q$2="USD"), AI62,
            AND(Y62="USD", Transactions!$Q$2="GBP"), AI62*Transactions!$Z$3,
            AND(Y62="USD", Transactions!$Q$2="HKD"), AI62*Transactions!$Z$4,
            AND(Y62="USD", Transactions!$Q$2="EUR"), AI62*Transactions!$Z$5,
            AND(Y62="GBP", Transactions!$Q$2="GBP"), AI62,
            AND(Y62="GBP", Transactions!$Q$2="USD"), AI62*Transactions!$Z$6,
            AND(Y62="GBP", Transactions!$Q$2="HKD"), AI62*Transactions!$Z$7,
            AND(Y62="HKG", Transactions!$Q$2="HKG"), AI62,
            AND(Y62="HKD", Transactions!$Q$2="USD"), AI62*Transactions!$Z$9,
            AND(Y62="HKD", Transactions!$Q$2="GBP"), AI62*Transactions!$Z$10,
            AND(Y62="HKD", Transactions!$Q$2="EUR"), AI62*Transactions!$Z$11,
            AND(Y62="EUR", Transactions!$Q$2="EUR"), AI62,
            AND(Y62="EUR", Transactions!$Q$2="USD"), AI62*Transactions!$Z$12,
            AND(Y62="EUR", Transactions!$Q$2="GBP"), AI62*Transactions!$Z$13,
            AND(Y62="EUR", Transactions!$Q$2="HKD"), AI62*Transactions!$Z$14,
        ),
        0
    )
)</f>
        <v>579</v>
      </c>
      <c r="K62" s="41">
        <f t="shared" si="23"/>
        <v>-0.17380136986301364</v>
      </c>
      <c r="L62" s="2" cm="1">
        <f t="array" ref="L62">IF($A62="", "",
    IFERROR(
        _xlfn.SWITCH(
            TRUE,
            AND(Y62="USD", Transactions!$Q$2="USD"), AK62,
            AND(Y62="USD", Transactions!$Q$2="GBP"), AK62*Transactions!$Z$3,
            AND(Y62="USD", Transactions!$Q$2="HKD"), AK62*Transactions!$Z$4,
            AND(Y62="USD", Transactions!$Q$2="EUR"), AK62*Transactions!$Z$5,
            AND(Y62="GBP", Transactions!$Q$2="GBP"), AK62,
            AND(Y62="GBP", Transactions!$Q$2="USD"), AK62*Transactions!$Z$6,
            AND(Y62="GBP", Transactions!$Q$2="HKD"), AK62*Transactions!$Z$7,
            AND(Y62="HKG", Transactions!$Q$2="HKG"), AK62,
            AND(Y62="HKD", Transactions!$Q$2="USD"), AK62*Transactions!$Z$9,
            AND(Y62="HKD", Transactions!$Q$2="GBP"), AK62*Transactions!$Z$10,
            AND(Y62="HKD", Transactions!$Q$2="EUR"), AK62*Transactions!$Z$11,
            AND(Y62="EUR", Transactions!$Q$2="EUR"), AK62,
            AND(Y62="EUR", Transactions!$Q$2="USD"), AK62*Transactions!$Z$12,
            AND(Y62="EUR", Transactions!$Q$2="GBP"), AK62*Transactions!$Z$13,
            AND(Y62="EUR", Transactions!$Q$2="HKD"), AK62*Transactions!$Z$14,
        ),
        0
    )
)</f>
        <v>-121.79999999999995</v>
      </c>
      <c r="M62" s="119" cm="1">
        <f t="array" ref="M62">IF($A62="", "",
    IFERROR(
        _xlfn.SWITCH(
            TRUE,
            AND(Y62="USD", Transactions!$Q$2="USD"), AL62,
            AND(Y62="USD", Transactions!$Q$2="GBP"), AL62*Transactions!$Z$3,
            AND(Y62="USD", Transactions!$Q$2="HKD"), AL62*Transactions!$Z$4,
            AND(Y62="USD", Transactions!$Q$2="EUR"), AL62*Transactions!$Z$5,
            AND(Y62="GBP", Transactions!$Q$2="GBP"), AL62,
            AND(Y62="GBP", Transactions!$Q$2="USD"), AL62*Transactions!$Z$6,
            AND(Y62="GBP", Transactions!$Q$2="HKD"), AL62*Transactions!$Z$7,
            AND(Y62="HKG", Transactions!$Q$2="HKG"), AL62,
            AND(Y62="HKD", Transactions!$Q$2="USD"), AL62*Transactions!$Z$9,
            AND(Y62="HKD", Transactions!$Q$2="GBP"), AL62*Transactions!$Z$10,
            AND(Y62="HKD", Transactions!$Q$2="EUR"), AL62*Transactions!$Z$11,
            AND(Y62="EUR", Transactions!$Q$2="EUR"), AL62,
            AND(Y62="EUR", Transactions!$Q$2="USD"), AL62*Transactions!$Z$12,
            AND(Y62="EUR", Transactions!$Q$2="GBP"), AL62*Transactions!$Z$13,
            AND(Y62="EUR", Transactions!$Q$2="HKD"), AL62*Transactions!$Z$14,
        ),
        0
    )
)</f>
        <v>0</v>
      </c>
      <c r="N62" s="120" cm="1">
        <f t="array" ref="N62">IF($A62="", "",
    IFERROR(
        _xlfn.SWITCH(
            TRUE,
            AND(Y62="USD", Transactions!$Q$2="USD"), AM62,
            AND(Y62="USD", Transactions!$Q$2="GBP"), AM62*Transactions!$Z$3,
            AND(Y62="USD", Transactions!$Q$2="HKD"), AM62*Transactions!$Z$4,
            AND(Y62="USD", Transactions!$Q$2="EUR"), AM62*Transactions!$Z$5,
            AND(Y62="GBP", Transactions!$Q$2="GBP"), AM62,
            AND(Y62="GBP", Transactions!$Q$2="USD"), AM62*Transactions!$Z$6,
            AND(Y62="GBP", Transactions!$Q$2="HKD"), AM62*Transactions!$Z$7,
            AND(Y62="HKG", Transactions!$Q$2="HKG"), AM62,
            AND(Y62="HKD", Transactions!$Q$2="USD"), AM62*Transactions!$Z$9,
            AND(Y62="HKD", Transactions!$Q$2="GBP"), AM62*Transactions!$Z$10,
            AND(Y62="HKD", Transactions!$Q$2="EUR"), AM62*Transactions!$Z$11,
            AND(Y62="EUR", Transactions!$Q$2="EUR"), AM62,
            AND(Y62="EUR", Transactions!$Q$2="USD"), AM62*Transactions!$Z$12,
            AND(Y62="EUR", Transactions!$Q$2="GBP"), AM62*Transactions!$Z$13,
            AND(Y62="EUR", Transactions!$Q$2="HKD"), AM62*Transactions!$Z$14,
        ),
        0
    )
)</f>
        <v>-121.79999999999995</v>
      </c>
      <c r="O62" s="145"/>
      <c r="P62" s="145"/>
      <c r="Q62" s="41">
        <f t="shared" si="24"/>
        <v>3.6103167249039829E-3</v>
      </c>
      <c r="S62" s="41">
        <f t="shared" si="25"/>
        <v>3.6103167249039829E-3</v>
      </c>
      <c r="T62" s="1" t="str">
        <f t="shared" si="26"/>
        <v>Stocks</v>
      </c>
      <c r="U62" s="41">
        <f t="shared" si="27"/>
        <v>0.17515167878590182</v>
      </c>
      <c r="V62" s="41">
        <f t="shared" si="28"/>
        <v>0</v>
      </c>
      <c r="W62" s="41">
        <f t="shared" si="29"/>
        <v>0.17515167878590182</v>
      </c>
      <c r="Y62" s="17" t="str">
        <f>IFERROR(IF(ISBLANK(AA62), "", IF(VLOOKUP(AA62, Transactions!D:F, 3, FALSE) = "Stablecoin", AA62, INDEX(Transactions!$B$3:$B1066, MATCH(AA62, Transactions!$D$3:$D1066, 0)))), "")</f>
        <v>USD</v>
      </c>
      <c r="Z62" s="1" t="str">
        <f>_xlfn.XLOOKUP(AA62,Transactions!$D$3:$D$1007,Transactions!$E$3:$E$1007)</f>
        <v>Riot Platforms</v>
      </c>
      <c r="AA62" s="1" t="e" vm="26">
        <v>#VALUE!</v>
      </c>
      <c r="AB62" s="118" cm="1">
        <f t="array" ref="AB62">IF(ISBLANK(AA62), "",
    SUMPRODUCT(
        (Transactions!$D$3:$D$1007=AA62) *
        (Transactions!$H$3:$H$1007={"Cash Deposit","Crypto Deposit","Buy","Transfer Deposit","DRIP","Airdrop/Rewards"}) *
        Transactions!$I$3:$I$1007
    )
    - SUMPRODUCT(
        (Transactions!$D$3:$D$1007=AA62) *
        (Transactions!$H$3:$H$1007={"Sell","Transfer Send","Cash Withdrawal","Crypto Withdrawal"}) *
        Transactions!$I$3:$I$1007
    )
)</f>
        <v>60</v>
      </c>
      <c r="AC62" s="2" cm="1">
        <f t="array" ref="AC62">IF(ISBLANK(AA62), "", LOOKUP(2, 1/(Transactions!D:D=AA62), Transactions!P:P))</f>
        <v>11.68</v>
      </c>
      <c r="AD62" s="2" cm="1">
        <f t="array" ref="AD62">IF(ISBLANK(AA62),"",IFERROR(_FV(AA62,"price"),INDEX('CoinGeko API'!E:E,MATCH(Portfolio_v2!AA62,'CoinGeko API'!C:C,0))))</f>
        <v>9.65</v>
      </c>
      <c r="AF62" s="39" cm="1">
        <f t="array" ref="AF62">IF(ISBLANK(AA62),"",IFERROR(_FV(AA62,"Change (%)",TRUE),INDEX('CoinGeko API'!G:G,MATCH(Portfolio_v2!AA62,'CoinGeko API'!C:C,0))))</f>
        <v>-2.068E-3</v>
      </c>
      <c r="AG62" s="34" cm="1">
        <f t="array" ref="AG62">IF(ISBLANK(AA62),"",IFERROR(_FV(AA62,"change"),INDEX('CoinGeko API'!F:F,MATCH(Portfolio_v2!AA62,'CoinGeko API'!C:C,0))))</f>
        <v>-0.02</v>
      </c>
      <c r="AH62" s="2">
        <f t="shared" si="13"/>
        <v>700.8</v>
      </c>
      <c r="AI62" s="2">
        <f t="shared" si="14"/>
        <v>579</v>
      </c>
      <c r="AJ62" s="40">
        <f t="shared" si="15"/>
        <v>-0.17380136986301364</v>
      </c>
      <c r="AK62" s="2">
        <f t="shared" si="16"/>
        <v>-121.79999999999995</v>
      </c>
      <c r="AL62" s="119">
        <f>IF(OR(ISBLANK(AA62), COUNTIFS(Transactions!$D$3:$D1066, AA62) = 0), "",
    SUMIFS(Transactions!$M$3:$M1066, Transactions!$H$3:$H1066, "Sell", Transactions!$D$3:$D1066, AA62) +
    SUMIFS(Transactions!$M$3:$M1066, Transactions!$H$3:$H1066, "Dividend", Transactions!$D$3:$D1066, AA62) -
    SUMIFS(Transactions!$M$3:$M1066, Transactions!$H$3:$H1066, "Buy", Transactions!$D$3:$D1066, AA62) -
    SUMIFS(Transactions!$M$3:$M1066, Transactions!$H$3:$H1066, "Crypto Deposit", Transactions!$D$3:$D1066, AA62) -
    SUMIFS(Transactions!$M$3:$M1066, Transactions!$H$3:$H1066, "DRIP", Transactions!$D$3:$D1066, AA62) +
    SUMIFS($AH$3:$AH1058, $AA$3:$AA1058, AA62) +
    SUMIFS(Transactions!$M$3:$M1066, Transactions!$L$3:$L1066, "Stablecoin", Transactions!$B$3:$B1066, AA62)
)</f>
        <v>0</v>
      </c>
      <c r="AM62" s="120">
        <f t="shared" si="17"/>
        <v>-121.79999999999995</v>
      </c>
      <c r="AN62" s="145"/>
      <c r="AO62" s="145"/>
      <c r="AP62" s="41">
        <f t="shared" si="1"/>
        <v>3.6103167249039829E-3</v>
      </c>
      <c r="AR62" s="41">
        <f t="shared" si="18"/>
        <v>3.6103167249039829E-3</v>
      </c>
      <c r="AS62" s="1" t="str">
        <f>_xlfn.XLOOKUP(AA62,Transactions!$D$3:$D$1007,Transactions!$F$3:$F$1007)</f>
        <v>Stocks</v>
      </c>
      <c r="AT62" s="41">
        <f t="shared" si="19"/>
        <v>0.17515167878590182</v>
      </c>
      <c r="AU62" s="41">
        <f t="shared" si="20"/>
        <v>0</v>
      </c>
      <c r="AV62" s="41">
        <f t="shared" si="21"/>
        <v>0.17515167878590182</v>
      </c>
      <c r="AW62" s="18"/>
    </row>
    <row r="63" spans="1:49" ht="18" customHeight="1">
      <c r="A63" s="17" t="str">
        <f t="shared" si="2"/>
        <v>Robinhood</v>
      </c>
      <c r="B63" s="1" t="e" vm="23">
        <f t="shared" si="31"/>
        <v>#VALUE!</v>
      </c>
      <c r="C63" s="132">
        <f t="shared" ref="C63" si="32">AB63</f>
        <v>70</v>
      </c>
      <c r="D63" s="2" cm="1">
        <f t="array" ref="D63">IF($A63="", "",
    IFERROR(
        _xlfn.SWITCH(
            TRUE,
            AND(Y63="USD", Transactions!$Q$2="USD"), AC63,
            AND(Y63="USD", Transactions!$Q$2="GBP"), AC63*Transactions!$Z$3,
            AND(Y63="USD", Transactions!$Q$2="HKD"), AC63*Transactions!$Z$4,
            AND(Y63="USD", Transactions!$Q$2="EUR"), AC63*Transactions!$Z$5,
            AND(Y63="GBP", Transactions!$Q$2="GBP"), AC63,
            AND(Y63="GBP", Transactions!$Q$2="USD"), AC63*Transactions!$Z$6,
            AND(Y63="GBP", Transactions!$Q$2="HKD"), AC63*Transactions!$Z$7,
            AND(Y63="HKG", Transactions!$Q$2="HKG"), AC63,
            AND(Y63="HKD", Transactions!$Q$2="USD"), AC63*Transactions!$Z$9,
            AND(Y63="HKD", Transactions!$Q$2="GBP"), AC63*Transactions!$Z$10,
            AND(Y63="HKD", Transactions!$Q$2="EUR"), AC63*Transactions!$Z$11,
            AND(Y63="EUR", Transactions!$Q$2="EUR"), AC63,
            AND(Y63="EUR", Transactions!$Q$2="USD"), AC63*Transactions!$Z$12,
            AND(Y63="EUR", Transactions!$Q$2="GBP"), AC63*Transactions!$Z$13,
            AND(Y63="EUR", Transactions!$Q$2="HKD"), AC63*Transactions!$Z$14,
        ),
        0
    )
)</f>
        <v>14.95142857142857</v>
      </c>
      <c r="E63" s="2" cm="1">
        <f t="array" ref="E63">IF($A63="", "",
    IFERROR(
        _xlfn.SWITCH(
            TRUE,
            AND(Y63="USD", Transactions!$Q$2="USD"), AD63,
            AND(Y63="USD", Transactions!$Q$2="GBP"), AD63*Transactions!$Z$3,
            AND(Y63="USD", Transactions!$Q$2="HKD"), AD63*Transactions!$Z$4,
            AND(Y63="USD", Transactions!$Q$2="EUR"), AD63*Transactions!$Z$5,
            AND(Y63="GBP", Transactions!$Q$2="GBP"), AD63,
            AND(Y63="GBP", Transactions!$Q$2="USD"), AD63*Transactions!$Z$6,
            AND(Y63="GBP", Transactions!$Q$2="HKD"), AD63*Transactions!$Z$7,
            AND(Y63="HKG", Transactions!$Q$2="HKG"), AD63,
            AND(Y63="HKD", Transactions!$Q$2="USD"), AD63*Transactions!$Z$9,
            AND(Y63="HKD", Transactions!$Q$2="GBP"), AD63*Transactions!$Z$10,
            AND(Y63="HKD", Transactions!$Q$2="EUR"), AD63*Transactions!$Z$11,
            AND(Y63="EUR", Transactions!$Q$2="EUR"), AD63,
            AND(Y63="EUR", Transactions!$Q$2="USD"), AD63*Transactions!$Z$12,
            AND(Y63="EUR", Transactions!$Q$2="GBP"), AD63*Transactions!$Z$13,
            AND(Y63="EUR", Transactions!$Q$2="HKD"), AD63*Transactions!$Z$14,
        ),
        0
    )
)</f>
        <v>21.57</v>
      </c>
      <c r="G63" s="121">
        <f t="shared" ref="G63:G64" si="33">AF63</f>
        <v>3.8016999999999995E-2</v>
      </c>
      <c r="H63" s="34" cm="1">
        <f t="array" ref="H63">IF($A63="", "",
    IFERROR(
        _xlfn.SWITCH(
            TRUE,
            AND(Y63="USD", Transactions!$Q$2="USD"), AG63,
            AND(Y63="USD", Transactions!$Q$2="GBP"), AG63*Transactions!$Z$3,
            AND(Y63="USD", Transactions!$Q$2="HKD"), AG63*Transactions!$Z$4,
            AND(Y63="USD", Transactions!$Q$2="EUR"), AG63*Transactions!$Z$5,
            AND(Y63="GBP", Transactions!$Q$2="GBP"), AG63,
            AND(Y63="GBP", Transactions!$Q$2="USD"), AG63*Transactions!$Z$6,
            AND(Y63="GBP", Transactions!$Q$2="HKD"), AG63*Transactions!$Z$7,
            AND(Y63="HKG", Transactions!$Q$2="HKG"), AG63,
            AND(Y63="HKD", Transactions!$Q$2="USD"), AG63*Transactions!$Z$9,
            AND(Y63="HKD", Transactions!$Q$2="GBP"), AG63*Transactions!$Z$10,
            AND(Y63="HKD", Transactions!$Q$2="EUR"), AG63*Transactions!$Z$11,
            AND(Y63="EUR", Transactions!$Q$2="EUR"), AG63,
            AND(Y63="EUR", Transactions!$Q$2="USD"), AG63*Transactions!$Z$12,
            AND(Y63="EUR", Transactions!$Q$2="GBP"), AG63*Transactions!$Z$13,
            AND(Y63="EUR", Transactions!$Q$2="HKD"), AG63*Transactions!$Z$14,
        ),
        0
    )
)</f>
        <v>0.79</v>
      </c>
      <c r="I63" s="2" cm="1">
        <f t="array" ref="I63">IF($A63="", "",
    IFERROR(
        _xlfn.SWITCH(
            TRUE,
            AND(Y63="USD", Transactions!$Q$2="USD"), AH63,
            AND(Y63="USD", Transactions!$Q$2="GBP"), AH63*Transactions!$Z$3,
            AND(Y63="USD", Transactions!$Q$2="HKD"), AH63*Transactions!$Z$4,
            AND(Y63="USD", Transactions!$Q$2="EUR"), AH63*Transactions!$Z$5,
            AND(Y63="GBP", Transactions!$Q$2="GBP"), AH63,
            AND(Y63="GBP", Transactions!$Q$2="USD"), AH63*Transactions!$Z$6,
            AND(Y63="GBP", Transactions!$Q$2="HKD"), AH63*Transactions!$Z$7,
            AND(Y63="HKG", Transactions!$Q$2="HKG"), AH63,
            AND(Y63="HKD", Transactions!$Q$2="USD"), AH63*Transactions!$Z$9,
            AND(Y63="HKD", Transactions!$Q$2="GBP"), AH63*Transactions!$Z$10,
            AND(Y63="HKD", Transactions!$Q$2="EUR"), AH63*Transactions!$Z$11,
            AND(Y63="EUR", Transactions!$Q$2="EUR"), AH63,
            AND(Y63="EUR", Transactions!$Q$2="USD"), AH63*Transactions!$Z$12,
            AND(Y63="EUR", Transactions!$Q$2="GBP"), AH63*Transactions!$Z$13,
            AND(Y63="EUR", Transactions!$Q$2="HKD"), AH63*Transactions!$Z$14,
        ),
        0
    )
)</f>
        <v>1046.5999999999999</v>
      </c>
      <c r="J63" s="2" cm="1">
        <f t="array" ref="J63">IF($A63="", "",
    IFERROR(
        _xlfn.SWITCH(
            TRUE,
            AND(Y63="USD", Transactions!$Q$2="USD"), AI63,
            AND(Y63="USD", Transactions!$Q$2="GBP"), AI63*Transactions!$Z$3,
            AND(Y63="USD", Transactions!$Q$2="HKD"), AI63*Transactions!$Z$4,
            AND(Y63="USD", Transactions!$Q$2="EUR"), AI63*Transactions!$Z$5,
            AND(Y63="GBP", Transactions!$Q$2="GBP"), AI63,
            AND(Y63="GBP", Transactions!$Q$2="USD"), AI63*Transactions!$Z$6,
            AND(Y63="GBP", Transactions!$Q$2="HKD"), AI63*Transactions!$Z$7,
            AND(Y63="HKG", Transactions!$Q$2="HKG"), AI63,
            AND(Y63="HKD", Transactions!$Q$2="USD"), AI63*Transactions!$Z$9,
            AND(Y63="HKD", Transactions!$Q$2="GBP"), AI63*Transactions!$Z$10,
            AND(Y63="HKD", Transactions!$Q$2="EUR"), AI63*Transactions!$Z$11,
            AND(Y63="EUR", Transactions!$Q$2="EUR"), AI63,
            AND(Y63="EUR", Transactions!$Q$2="USD"), AI63*Transactions!$Z$12,
            AND(Y63="EUR", Transactions!$Q$2="GBP"), AI63*Transactions!$Z$13,
            AND(Y63="EUR", Transactions!$Q$2="HKD"), AI63*Transactions!$Z$14,
        ),
        0
    )
)</f>
        <v>1509.9</v>
      </c>
      <c r="K63" s="41">
        <f t="shared" ref="K63:K64" si="34">AJ63</f>
        <v>0.44267150773934666</v>
      </c>
      <c r="L63" s="2" cm="1">
        <f t="array" ref="L63">IF($A63="", "",
    IFERROR(
        _xlfn.SWITCH(
            TRUE,
            AND(Y63="USD", Transactions!$Q$2="USD"), AK63,
            AND(Y63="USD", Transactions!$Q$2="GBP"), AK63*Transactions!$Z$3,
            AND(Y63="USD", Transactions!$Q$2="HKD"), AK63*Transactions!$Z$4,
            AND(Y63="USD", Transactions!$Q$2="EUR"), AK63*Transactions!$Z$5,
            AND(Y63="GBP", Transactions!$Q$2="GBP"), AK63,
            AND(Y63="GBP", Transactions!$Q$2="USD"), AK63*Transactions!$Z$6,
            AND(Y63="GBP", Transactions!$Q$2="HKD"), AK63*Transactions!$Z$7,
            AND(Y63="HKG", Transactions!$Q$2="HKG"), AK63,
            AND(Y63="HKD", Transactions!$Q$2="USD"), AK63*Transactions!$Z$9,
            AND(Y63="HKD", Transactions!$Q$2="GBP"), AK63*Transactions!$Z$10,
            AND(Y63="HKD", Transactions!$Q$2="EUR"), AK63*Transactions!$Z$11,
            AND(Y63="EUR", Transactions!$Q$2="EUR"), AK63,
            AND(Y63="EUR", Transactions!$Q$2="USD"), AK63*Transactions!$Z$12,
            AND(Y63="EUR", Transactions!$Q$2="GBP"), AK63*Transactions!$Z$13,
            AND(Y63="EUR", Transactions!$Q$2="HKD"), AK63*Transactions!$Z$14,
        ),
        0
    )
)</f>
        <v>463.30000000000018</v>
      </c>
      <c r="M63" s="119" cm="1">
        <f t="array" ref="M63">IF($A63="", "",
    IFERROR(
        _xlfn.SWITCH(
            TRUE,
            AND(Y63="USD", Transactions!$Q$2="USD"), AL63,
            AND(Y63="USD", Transactions!$Q$2="GBP"), AL63*Transactions!$Z$3,
            AND(Y63="USD", Transactions!$Q$2="HKD"), AL63*Transactions!$Z$4,
            AND(Y63="USD", Transactions!$Q$2="EUR"), AL63*Transactions!$Z$5,
            AND(Y63="GBP", Transactions!$Q$2="GBP"), AL63,
            AND(Y63="GBP", Transactions!$Q$2="USD"), AL63*Transactions!$Z$6,
            AND(Y63="GBP", Transactions!$Q$2="HKD"), AL63*Transactions!$Z$7,
            AND(Y63="HKG", Transactions!$Q$2="HKG"), AL63,
            AND(Y63="HKD", Transactions!$Q$2="USD"), AL63*Transactions!$Z$9,
            AND(Y63="HKD", Transactions!$Q$2="GBP"), AL63*Transactions!$Z$10,
            AND(Y63="HKD", Transactions!$Q$2="EUR"), AL63*Transactions!$Z$11,
            AND(Y63="EUR", Transactions!$Q$2="EUR"), AL63,
            AND(Y63="EUR", Transactions!$Q$2="USD"), AL63*Transactions!$Z$12,
            AND(Y63="EUR", Transactions!$Q$2="GBP"), AL63*Transactions!$Z$13,
            AND(Y63="EUR", Transactions!$Q$2="HKD"), AL63*Transactions!$Z$14,
        ),
        0
    )
)</f>
        <v>0</v>
      </c>
      <c r="N63" s="120" cm="1">
        <f t="array" ref="N63">IF($A63="", "",
    IFERROR(
        _xlfn.SWITCH(
            TRUE,
            AND(Y63="USD", Transactions!$Q$2="USD"), AM63,
            AND(Y63="USD", Transactions!$Q$2="GBP"), AM63*Transactions!$Z$3,
            AND(Y63="USD", Transactions!$Q$2="HKD"), AM63*Transactions!$Z$4,
            AND(Y63="USD", Transactions!$Q$2="EUR"), AM63*Transactions!$Z$5,
            AND(Y63="GBP", Transactions!$Q$2="GBP"), AM63,
            AND(Y63="GBP", Transactions!$Q$2="USD"), AM63*Transactions!$Z$6,
            AND(Y63="GBP", Transactions!$Q$2="HKD"), AM63*Transactions!$Z$7,
            AND(Y63="HKG", Transactions!$Q$2="HKG"), AM63,
            AND(Y63="HKD", Transactions!$Q$2="USD"), AM63*Transactions!$Z$9,
            AND(Y63="HKD", Transactions!$Q$2="GBP"), AM63*Transactions!$Z$10,
            AND(Y63="HKD", Transactions!$Q$2="EUR"), AM63*Transactions!$Z$11,
            AND(Y63="EUR", Transactions!$Q$2="EUR"), AM63,
            AND(Y63="EUR", Transactions!$Q$2="USD"), AM63*Transactions!$Z$12,
            AND(Y63="EUR", Transactions!$Q$2="GBP"), AM63*Transactions!$Z$13,
            AND(Y63="EUR", Transactions!$Q$2="HKD"), AM63*Transactions!$Z$14,
        ),
        0
    )
)</f>
        <v>463.30000000000018</v>
      </c>
      <c r="O63" s="145"/>
      <c r="P63" s="145"/>
      <c r="Q63" s="41">
        <f t="shared" ref="Q63:Q64" si="35">AP63</f>
        <v>9.4148829411615266E-3</v>
      </c>
      <c r="S63" s="41">
        <f t="shared" ref="S63:S64" si="36">AR63</f>
        <v>9.4148829411615266E-3</v>
      </c>
      <c r="T63" s="1" t="str">
        <f t="shared" ref="T63:T64" si="37">AS63</f>
        <v>Stocks</v>
      </c>
      <c r="U63" s="41">
        <f t="shared" ref="U63:U64" si="38">AT63</f>
        <v>0.17515167878590182</v>
      </c>
      <c r="V63" s="41">
        <f t="shared" ref="V63:V64" si="39">AU63</f>
        <v>0</v>
      </c>
      <c r="W63" s="41">
        <f t="shared" ref="W63:W64" si="40">AV63</f>
        <v>0.17515167878590182</v>
      </c>
      <c r="Y63" s="17" t="str">
        <f>IFERROR(IF(ISBLANK(AA63), "", IF(VLOOKUP(AA63, Transactions!D:F, 3, FALSE) = "Stablecoin", AA63, INDEX(Transactions!$B$3:$B1067, MATCH(AA63, Transactions!$D$3:$D1067, 0)))), "")</f>
        <v>USD</v>
      </c>
      <c r="Z63" s="1" t="str">
        <f>_xlfn.XLOOKUP(AA63,Transactions!$D$3:$D$1007,Transactions!$E$3:$E$1007)</f>
        <v>Robinhood</v>
      </c>
      <c r="AA63" s="1" t="e" vm="23">
        <v>#VALUE!</v>
      </c>
      <c r="AB63" s="118" cm="1">
        <f t="array" ref="AB63">IF(ISBLANK(AA63), "",
    SUMPRODUCT(
        (Transactions!$D$3:$D$1007=AA63) *
        (Transactions!$H$3:$H$1007={"Cash Deposit","Crypto Deposit","Buy","Transfer Deposit","DRIP","Airdrop/Rewards"}) *
        Transactions!$I$3:$I$1007
    )
    - SUMPRODUCT(
        (Transactions!$D$3:$D$1007=AA63) *
        (Transactions!$H$3:$H$1007={"Sell","Transfer Send","Cash Withdrawal","Crypto Withdrawal"}) *
        Transactions!$I$3:$I$1007
    )
)</f>
        <v>70</v>
      </c>
      <c r="AC63" s="2" cm="1">
        <f t="array" ref="AC63">IF(ISBLANK(AA63), "", LOOKUP(2, 1/(Transactions!D:D=AA63), Transactions!P:P))</f>
        <v>14.95142857142857</v>
      </c>
      <c r="AD63" s="2" cm="1">
        <f t="array" ref="AD63">IF(ISBLANK(AA63),"",IFERROR(_FV(AA63,"price"),INDEX('CoinGeko API'!E:E,MATCH(Portfolio_v2!AA63,'CoinGeko API'!C:C,0))))</f>
        <v>21.57</v>
      </c>
      <c r="AF63" s="39" cm="1">
        <f t="array" ref="AF63">IF(ISBLANK(AA63),"",IFERROR(_FV(AA63,"Change (%)",TRUE),INDEX('CoinGeko API'!G:G,MATCH(Portfolio_v2!AA63,'CoinGeko API'!C:C,0))))</f>
        <v>3.8016999999999995E-2</v>
      </c>
      <c r="AG63" s="34" cm="1">
        <f t="array" ref="AG63">IF(ISBLANK(AA63),"",IFERROR(_FV(AA63,"change"),INDEX('CoinGeko API'!F:F,MATCH(Portfolio_v2!AA63,'CoinGeko API'!C:C,0))))</f>
        <v>0.79</v>
      </c>
      <c r="AH63" s="2">
        <f t="shared" si="13"/>
        <v>1046.5999999999999</v>
      </c>
      <c r="AI63" s="2">
        <f t="shared" si="14"/>
        <v>1509.9</v>
      </c>
      <c r="AJ63" s="40">
        <f t="shared" si="15"/>
        <v>0.44267150773934666</v>
      </c>
      <c r="AK63" s="2">
        <f t="shared" si="16"/>
        <v>463.30000000000018</v>
      </c>
      <c r="AL63" s="119">
        <f>IF(OR(ISBLANK(AA63), COUNTIFS(Transactions!$D$3:$D1067, AA63) = 0), "",
    SUMIFS(Transactions!$M$3:$M1067, Transactions!$H$3:$H1067, "Sell", Transactions!$D$3:$D1067, AA63) +
    SUMIFS(Transactions!$M$3:$M1067, Transactions!$H$3:$H1067, "Dividend", Transactions!$D$3:$D1067, AA63) -
    SUMIFS(Transactions!$M$3:$M1067, Transactions!$H$3:$H1067, "Buy", Transactions!$D$3:$D1067, AA63) -
    SUMIFS(Transactions!$M$3:$M1067, Transactions!$H$3:$H1067, "Crypto Deposit", Transactions!$D$3:$D1067, AA63) -
    SUMIFS(Transactions!$M$3:$M1067, Transactions!$H$3:$H1067, "DRIP", Transactions!$D$3:$D1067, AA63) +
    SUMIFS($AH$3:$AH1059, $AA$3:$AA1059, AA63) +
    SUMIFS(Transactions!$M$3:$M1067, Transactions!$L$3:$L1067, "Stablecoin", Transactions!$B$3:$B1067, AA63)
)</f>
        <v>0</v>
      </c>
      <c r="AM63" s="120">
        <f t="shared" ref="AM63" si="41">IF(ISBLANK(AA63),"",AK63+AL63)</f>
        <v>463.30000000000018</v>
      </c>
      <c r="AN63" s="145"/>
      <c r="AO63" s="145"/>
      <c r="AP63" s="41">
        <f t="shared" si="1"/>
        <v>9.4148829411615266E-3</v>
      </c>
      <c r="AR63" s="41">
        <f t="shared" ref="AR63" si="42">IF(ISBLANK(AD63),"",AP63-AQ63)</f>
        <v>9.4148829411615266E-3</v>
      </c>
      <c r="AS63" s="1" t="str">
        <f>_xlfn.XLOOKUP(AA63,Transactions!$D$3:$D$1007,Transactions!$F$3:$F$1007)</f>
        <v>Stocks</v>
      </c>
      <c r="AT63" s="41">
        <f t="shared" ref="AT63" si="43">IF(ISBLANK(AD63),"",SUMIF($AS:$AS,AS63,$AP:$AP))</f>
        <v>0.17515167878590182</v>
      </c>
      <c r="AU63" s="41">
        <f t="shared" ref="AU63" si="44">IF(ISBLANK(AD63),"",SUMIF($AS:$AS,AS63,$AQ:$AQ))</f>
        <v>0</v>
      </c>
      <c r="AV63" s="41">
        <f t="shared" ref="AV63" si="45">IF(ISBLANK(AD63),"",AT63-AU63)</f>
        <v>0.17515167878590182</v>
      </c>
      <c r="AW63" s="18"/>
    </row>
    <row r="64" spans="1:49" ht="18" customHeight="1">
      <c r="A64" s="17" t="str">
        <f t="shared" si="2"/>
        <v>Silvergate Capital</v>
      </c>
      <c r="B64" s="1" t="e" vm="16">
        <f t="shared" si="31"/>
        <v>#VALUE!</v>
      </c>
      <c r="C64" s="132">
        <f>AB64</f>
        <v>0</v>
      </c>
      <c r="D64" s="2" cm="1">
        <f t="array" ref="D64">IF($A64="", "",
    IFERROR(
        _xlfn.SWITCH(
            TRUE,
            AND(Y64="USD", Transactions!$Q$2="USD"), AC64,
            AND(Y64="USD", Transactions!$Q$2="GBP"), AC64*Transactions!$Z$3,
            AND(Y64="USD", Transactions!$Q$2="HKD"), AC64*Transactions!$Z$4,
            AND(Y64="USD", Transactions!$Q$2="EUR"), AC64*Transactions!$Z$5,
            AND(Y64="GBP", Transactions!$Q$2="GBP"), AC64,
            AND(Y64="GBP", Transactions!$Q$2="USD"), AC64*Transactions!$Z$6,
            AND(Y64="GBP", Transactions!$Q$2="HKD"), AC64*Transactions!$Z$7,
            AND(Y64="HKG", Transactions!$Q$2="HKG"), AC64,
            AND(Y64="HKD", Transactions!$Q$2="USD"), AC64*Transactions!$Z$9,
            AND(Y64="HKD", Transactions!$Q$2="GBP"), AC64*Transactions!$Z$10,
            AND(Y64="HKD", Transactions!$Q$2="EUR"), AC64*Transactions!$Z$11,
            AND(Y64="EUR", Transactions!$Q$2="EUR"), AC64,
            AND(Y64="EUR", Transactions!$Q$2="USD"), AC64*Transactions!$Z$12,
            AND(Y64="EUR", Transactions!$Q$2="GBP"), AC64*Transactions!$Z$13,
            AND(Y64="EUR", Transactions!$Q$2="HKD"), AC64*Transactions!$Z$14,
        ),
        0
    )
)</f>
        <v>17.399999999999999</v>
      </c>
      <c r="E64" s="2" cm="1">
        <f t="array" ref="E64">IF($A64="", "",
    IFERROR(
        _xlfn.SWITCH(
            TRUE,
            AND(Y64="USD", Transactions!$Q$2="USD"), AD64,
            AND(Y64="USD", Transactions!$Q$2="GBP"), AD64*Transactions!$Z$3,
            AND(Y64="USD", Transactions!$Q$2="HKD"), AD64*Transactions!$Z$4,
            AND(Y64="USD", Transactions!$Q$2="EUR"), AD64*Transactions!$Z$5,
            AND(Y64="GBP", Transactions!$Q$2="GBP"), AD64,
            AND(Y64="GBP", Transactions!$Q$2="USD"), AD64*Transactions!$Z$6,
            AND(Y64="GBP", Transactions!$Q$2="HKD"), AD64*Transactions!$Z$7,
            AND(Y64="HKG", Transactions!$Q$2="HKG"), AD64,
            AND(Y64="HKD", Transactions!$Q$2="USD"), AD64*Transactions!$Z$9,
            AND(Y64="HKD", Transactions!$Q$2="GBP"), AD64*Transactions!$Z$10,
            AND(Y64="HKD", Transactions!$Q$2="EUR"), AD64*Transactions!$Z$11,
            AND(Y64="EUR", Transactions!$Q$2="EUR"), AD64,
            AND(Y64="EUR", Transactions!$Q$2="USD"), AD64*Transactions!$Z$12,
            AND(Y64="EUR", Transactions!$Q$2="GBP"), AD64*Transactions!$Z$13,
            AND(Y64="EUR", Transactions!$Q$2="HKD"), AD64*Transactions!$Z$14,
        ),
        0
    )
)</f>
        <v>0.52</v>
      </c>
      <c r="G64" s="121">
        <f t="shared" si="33"/>
        <v>0</v>
      </c>
      <c r="H64" s="34" cm="1">
        <f t="array" ref="H64">IF($A64="", "",
    IFERROR(
        _xlfn.SWITCH(
            TRUE,
            AND(Y64="USD", Transactions!$Q$2="USD"), AG64,
            AND(Y64="USD", Transactions!$Q$2="GBP"), AG64*Transactions!$Z$3,
            AND(Y64="USD", Transactions!$Q$2="HKD"), AG64*Transactions!$Z$4,
            AND(Y64="USD", Transactions!$Q$2="EUR"), AG64*Transactions!$Z$5,
            AND(Y64="GBP", Transactions!$Q$2="GBP"), AG64,
            AND(Y64="GBP", Transactions!$Q$2="USD"), AG64*Transactions!$Z$6,
            AND(Y64="GBP", Transactions!$Q$2="HKD"), AG64*Transactions!$Z$7,
            AND(Y64="HKG", Transactions!$Q$2="HKG"), AG64,
            AND(Y64="HKD", Transactions!$Q$2="USD"), AG64*Transactions!$Z$9,
            AND(Y64="HKD", Transactions!$Q$2="GBP"), AG64*Transactions!$Z$10,
            AND(Y64="HKD", Transactions!$Q$2="EUR"), AG64*Transactions!$Z$11,
            AND(Y64="EUR", Transactions!$Q$2="EUR"), AG64,
            AND(Y64="EUR", Transactions!$Q$2="USD"), AG64*Transactions!$Z$12,
            AND(Y64="EUR", Transactions!$Q$2="GBP"), AG64*Transactions!$Z$13,
            AND(Y64="EUR", Transactions!$Q$2="HKD"), AG64*Transactions!$Z$14,
        ),
        0
    )
)</f>
        <v>0</v>
      </c>
      <c r="I64" s="2" cm="1">
        <f t="array" ref="I64">IF($A64="", "",
    IFERROR(
        _xlfn.SWITCH(
            TRUE,
            AND(Y64="USD", Transactions!$Q$2="USD"), AH64,
            AND(Y64="USD", Transactions!$Q$2="GBP"), AH64*Transactions!$Z$3,
            AND(Y64="USD", Transactions!$Q$2="HKD"), AH64*Transactions!$Z$4,
            AND(Y64="USD", Transactions!$Q$2="EUR"), AH64*Transactions!$Z$5,
            AND(Y64="GBP", Transactions!$Q$2="GBP"), AH64,
            AND(Y64="GBP", Transactions!$Q$2="USD"), AH64*Transactions!$Z$6,
            AND(Y64="GBP", Transactions!$Q$2="HKD"), AH64*Transactions!$Z$7,
            AND(Y64="HKG", Transactions!$Q$2="HKG"), AH64,
            AND(Y64="HKD", Transactions!$Q$2="USD"), AH64*Transactions!$Z$9,
            AND(Y64="HKD", Transactions!$Q$2="GBP"), AH64*Transactions!$Z$10,
            AND(Y64="HKD", Transactions!$Q$2="EUR"), AH64*Transactions!$Z$11,
            AND(Y64="EUR", Transactions!$Q$2="EUR"), AH64,
            AND(Y64="EUR", Transactions!$Q$2="USD"), AH64*Transactions!$Z$12,
            AND(Y64="EUR", Transactions!$Q$2="GBP"), AH64*Transactions!$Z$13,
            AND(Y64="EUR", Transactions!$Q$2="HKD"), AH64*Transactions!$Z$14,
        ),
        0
    )
)</f>
        <v>0</v>
      </c>
      <c r="J64" s="2" cm="1">
        <f t="array" ref="J64">IF($A64="", "",
    IFERROR(
        _xlfn.SWITCH(
            TRUE,
            AND(Y64="USD", Transactions!$Q$2="USD"), AI64,
            AND(Y64="USD", Transactions!$Q$2="GBP"), AI64*Transactions!$Z$3,
            AND(Y64="USD", Transactions!$Q$2="HKD"), AI64*Transactions!$Z$4,
            AND(Y64="USD", Transactions!$Q$2="EUR"), AI64*Transactions!$Z$5,
            AND(Y64="GBP", Transactions!$Q$2="GBP"), AI64,
            AND(Y64="GBP", Transactions!$Q$2="USD"), AI64*Transactions!$Z$6,
            AND(Y64="GBP", Transactions!$Q$2="HKD"), AI64*Transactions!$Z$7,
            AND(Y64="HKG", Transactions!$Q$2="HKG"), AI64,
            AND(Y64="HKD", Transactions!$Q$2="USD"), AI64*Transactions!$Z$9,
            AND(Y64="HKD", Transactions!$Q$2="GBP"), AI64*Transactions!$Z$10,
            AND(Y64="HKD", Transactions!$Q$2="EUR"), AI64*Transactions!$Z$11,
            AND(Y64="EUR", Transactions!$Q$2="EUR"), AI64,
            AND(Y64="EUR", Transactions!$Q$2="USD"), AI64*Transactions!$Z$12,
            AND(Y64="EUR", Transactions!$Q$2="GBP"), AI64*Transactions!$Z$13,
            AND(Y64="EUR", Transactions!$Q$2="HKD"), AI64*Transactions!$Z$14,
        ),
        0
    )
)</f>
        <v>0</v>
      </c>
      <c r="K64" s="41">
        <f t="shared" si="34"/>
        <v>0</v>
      </c>
      <c r="L64" s="2" cm="1">
        <f t="array" ref="L64">IF($A64="", "",
    IFERROR(
        _xlfn.SWITCH(
            TRUE,
            AND(Y64="USD", Transactions!$Q$2="USD"), AK64,
            AND(Y64="USD", Transactions!$Q$2="GBP"), AK64*Transactions!$Z$3,
            AND(Y64="USD", Transactions!$Q$2="HKD"), AK64*Transactions!$Z$4,
            AND(Y64="USD", Transactions!$Q$2="EUR"), AK64*Transactions!$Z$5,
            AND(Y64="GBP", Transactions!$Q$2="GBP"), AK64,
            AND(Y64="GBP", Transactions!$Q$2="USD"), AK64*Transactions!$Z$6,
            AND(Y64="GBP", Transactions!$Q$2="HKD"), AK64*Transactions!$Z$7,
            AND(Y64="HKG", Transactions!$Q$2="HKG"), AK64,
            AND(Y64="HKD", Transactions!$Q$2="USD"), AK64*Transactions!$Z$9,
            AND(Y64="HKD", Transactions!$Q$2="GBP"), AK64*Transactions!$Z$10,
            AND(Y64="HKD", Transactions!$Q$2="EUR"), AK64*Transactions!$Z$11,
            AND(Y64="EUR", Transactions!$Q$2="EUR"), AK64,
            AND(Y64="EUR", Transactions!$Q$2="USD"), AK64*Transactions!$Z$12,
            AND(Y64="EUR", Transactions!$Q$2="GBP"), AK64*Transactions!$Z$13,
            AND(Y64="EUR", Transactions!$Q$2="HKD"), AK64*Transactions!$Z$14,
        ),
        0
    )
)</f>
        <v>0</v>
      </c>
      <c r="M64" s="119" cm="1">
        <f t="array" ref="M64">IF($A64="", "",
    IFERROR(
        _xlfn.SWITCH(
            TRUE,
            AND(Y64="USD", Transactions!$Q$2="USD"), AL64,
            AND(Y64="USD", Transactions!$Q$2="GBP"), AL64*Transactions!$Z$3,
            AND(Y64="USD", Transactions!$Q$2="HKD"), AL64*Transactions!$Z$4,
            AND(Y64="USD", Transactions!$Q$2="EUR"), AL64*Transactions!$Z$5,
            AND(Y64="GBP", Transactions!$Q$2="GBP"), AL64,
            AND(Y64="GBP", Transactions!$Q$2="USD"), AL64*Transactions!$Z$6,
            AND(Y64="GBP", Transactions!$Q$2="HKD"), AL64*Transactions!$Z$7,
            AND(Y64="HKG", Transactions!$Q$2="HKG"), AL64,
            AND(Y64="HKD", Transactions!$Q$2="USD"), AL64*Transactions!$Z$9,
            AND(Y64="HKD", Transactions!$Q$2="GBP"), AL64*Transactions!$Z$10,
            AND(Y64="HKD", Transactions!$Q$2="EUR"), AL64*Transactions!$Z$11,
            AND(Y64="EUR", Transactions!$Q$2="EUR"), AL64,
            AND(Y64="EUR", Transactions!$Q$2="USD"), AL64*Transactions!$Z$12,
            AND(Y64="EUR", Transactions!$Q$2="GBP"), AL64*Transactions!$Z$13,
            AND(Y64="EUR", Transactions!$Q$2="HKD"), AL64*Transactions!$Z$14,
        ),
        0
    )
)</f>
        <v>-274.07</v>
      </c>
      <c r="N64" s="120" cm="1">
        <f t="array" ref="N64">IF($A64="", "",
    IFERROR(
        _xlfn.SWITCH(
            TRUE,
            AND(Y64="USD", Transactions!$Q$2="USD"), AM64,
            AND(Y64="USD", Transactions!$Q$2="GBP"), AM64*Transactions!$Z$3,
            AND(Y64="USD", Transactions!$Q$2="HKD"), AM64*Transactions!$Z$4,
            AND(Y64="USD", Transactions!$Q$2="EUR"), AM64*Transactions!$Z$5,
            AND(Y64="GBP", Transactions!$Q$2="GBP"), AM64,
            AND(Y64="GBP", Transactions!$Q$2="USD"), AM64*Transactions!$Z$6,
            AND(Y64="GBP", Transactions!$Q$2="HKD"), AM64*Transactions!$Z$7,
            AND(Y64="HKG", Transactions!$Q$2="HKG"), AM64,
            AND(Y64="HKD", Transactions!$Q$2="USD"), AM64*Transactions!$Z$9,
            AND(Y64="HKD", Transactions!$Q$2="GBP"), AM64*Transactions!$Z$10,
            AND(Y64="HKD", Transactions!$Q$2="EUR"), AM64*Transactions!$Z$11,
            AND(Y64="EUR", Transactions!$Q$2="EUR"), AM64,
            AND(Y64="EUR", Transactions!$Q$2="USD"), AM64*Transactions!$Z$12,
            AND(Y64="EUR", Transactions!$Q$2="GBP"), AM64*Transactions!$Z$13,
            AND(Y64="EUR", Transactions!$Q$2="HKD"), AM64*Transactions!$Z$14,
        ),
        0
    )
)</f>
        <v>-274.07</v>
      </c>
      <c r="O64" s="145"/>
      <c r="P64" s="145"/>
      <c r="Q64" s="41">
        <f t="shared" si="35"/>
        <v>0</v>
      </c>
      <c r="S64" s="41">
        <f t="shared" si="36"/>
        <v>0</v>
      </c>
      <c r="T64" s="1" t="str">
        <f t="shared" si="37"/>
        <v>Stocks</v>
      </c>
      <c r="U64" s="41">
        <f t="shared" si="38"/>
        <v>0.17515167878590182</v>
      </c>
      <c r="V64" s="41">
        <f t="shared" si="39"/>
        <v>0</v>
      </c>
      <c r="W64" s="41">
        <f t="shared" si="40"/>
        <v>0.17515167878590182</v>
      </c>
      <c r="Y64" s="17" t="str">
        <f>IFERROR(IF(ISBLANK(AA64), "", IF(VLOOKUP(AA64, Transactions!D:F, 3, FALSE) = "Stablecoin", AA64, INDEX(Transactions!$B$3:$B1068, MATCH(AA64, Transactions!$D$3:$D1068, 0)))), "")</f>
        <v>USD</v>
      </c>
      <c r="Z64" s="1" t="str">
        <f>_xlfn.XLOOKUP(AA64,Transactions!$D$3:$D$1007,Transactions!$E$3:$E$1007)</f>
        <v>Silvergate Capital</v>
      </c>
      <c r="AA64" s="1" t="e" vm="16">
        <v>#VALUE!</v>
      </c>
      <c r="AB64" s="118" cm="1">
        <f t="array" ref="AB64">IF(ISBLANK(AA64), "",
    SUMPRODUCT(
        (Transactions!$D$3:$D$1007=AA64) *
        (Transactions!$H$3:$H$1007={"Cash Deposit","Crypto Deposit","Buy","Transfer Deposit","DRIP","Airdrop/Rewards"}) *
        Transactions!$I$3:$I$1007
    )
    - SUMPRODUCT(
        (Transactions!$D$3:$D$1007=AA64) *
        (Transactions!$H$3:$H$1007={"Sell","Transfer Send","Cash Withdrawal","Crypto Withdrawal"}) *
        Transactions!$I$3:$I$1007
    )
)</f>
        <v>0</v>
      </c>
      <c r="AC64" s="2" cm="1">
        <f t="array" ref="AC64">IF(ISBLANK(AA64), "", LOOKUP(2, 1/(Transactions!D:D=AA64), Transactions!P:P))</f>
        <v>17.399999999999999</v>
      </c>
      <c r="AD64" s="2" cm="1">
        <f t="array" ref="AD64">IF(ISBLANK(AA64),"",IFERROR(_FV(AA64,"price"),INDEX('CoinGeko API'!E:E,MATCH(Portfolio_v2!AA64,'CoinGeko API'!C:C,0))))</f>
        <v>0.52</v>
      </c>
      <c r="AF64" s="39" cm="1">
        <f t="array" ref="AF64">IF(ISBLANK(AA64),"",IFERROR(_FV(AA64,"Change (%)",TRUE),INDEX('CoinGeko API'!G:G,MATCH(Portfolio_v2!AA64,'CoinGeko API'!C:C,0))))</f>
        <v>0</v>
      </c>
      <c r="AG64" s="34" cm="1">
        <f t="array" ref="AG64">IF(ISBLANK(AA64),"",IFERROR(_FV(AA64,"change"),INDEX('CoinGeko API'!F:F,MATCH(Portfolio_v2!AA64,'CoinGeko API'!C:C,0))))</f>
        <v>0</v>
      </c>
      <c r="AH64" s="2">
        <f t="shared" ref="AH64" si="46">IF(ISBLANK(AA64),"",IFERROR((AB64*AC64),""))</f>
        <v>0</v>
      </c>
      <c r="AI64" s="2">
        <f t="shared" ref="AI64" si="47">IF(ISBLANK(AA64),"",IFERROR((AB64*AD64),""))</f>
        <v>0</v>
      </c>
      <c r="AJ64" s="40">
        <f t="shared" ref="AJ64" si="48">IF(ISBLANK(AA64),"",IFERROR(((AI64-AH64)/AH64), 0))</f>
        <v>0</v>
      </c>
      <c r="AK64" s="2">
        <f t="shared" ref="AK64" si="49">IF(ISBLANK(AA64),"",IFERROR((AI64-AH64),""))</f>
        <v>0</v>
      </c>
      <c r="AL64" s="119">
        <f>IF(OR(ISBLANK(AA64), COUNTIFS(Transactions!$D$3:$D1068, AA64) = 0), "",
    SUMIFS(Transactions!$M$3:$M1068, Transactions!$H$3:$H1068, "Sell", Transactions!$D$3:$D1068, AA64) +
    SUMIFS(Transactions!$M$3:$M1068, Transactions!$H$3:$H1068, "Dividend", Transactions!$D$3:$D1068, AA64) -
    SUMIFS(Transactions!$M$3:$M1068, Transactions!$H$3:$H1068, "Buy", Transactions!$D$3:$D1068, AA64) -
    SUMIFS(Transactions!$M$3:$M1068, Transactions!$H$3:$H1068, "Crypto Deposit", Transactions!$D$3:$D1068, AA64) -
    SUMIFS(Transactions!$M$3:$M1068, Transactions!$H$3:$H1068, "DRIP", Transactions!$D$3:$D1068, AA64) +
    SUMIFS($AH$3:$AH1060, $AA$3:$AA1060, AA64) +
    SUMIFS(Transactions!$M$3:$M1068, Transactions!$L$3:$L1068, "Stablecoin", Transactions!$B$3:$B1068, AA64)
)</f>
        <v>-274.07</v>
      </c>
      <c r="AM64" s="120">
        <f t="shared" ref="AM64" si="50">IF(ISBLANK(AA64),"",AK64+AL64)</f>
        <v>-274.07</v>
      </c>
      <c r="AN64" s="145"/>
      <c r="AO64" s="145"/>
      <c r="AP64" s="41">
        <f>IF(ISBLANK(AA64),"",AI64/SUM($AI$3:$AI$64))</f>
        <v>0</v>
      </c>
      <c r="AR64" s="41">
        <f t="shared" ref="AR64" si="51">IF(ISBLANK(AD64),"",AP64-AQ64)</f>
        <v>0</v>
      </c>
      <c r="AS64" s="1" t="str">
        <f>_xlfn.XLOOKUP(AA64,Transactions!$D$3:$D$1007,Transactions!$F$3:$F$1007)</f>
        <v>Stocks</v>
      </c>
      <c r="AT64" s="41">
        <f t="shared" ref="AT64" si="52">IF(ISBLANK(AD64),"",SUMIF($AS:$AS,AS64,$AP:$AP))</f>
        <v>0.17515167878590182</v>
      </c>
      <c r="AU64" s="41">
        <f t="shared" ref="AU64" si="53">IF(ISBLANK(AD64),"",SUMIF($AS:$AS,AS64,$AQ:$AQ))</f>
        <v>0</v>
      </c>
      <c r="AV64" s="41">
        <f t="shared" ref="AV64" si="54">IF(ISBLANK(AD64),"",AT64-AU64)</f>
        <v>0.17515167878590182</v>
      </c>
      <c r="AW64" s="18"/>
    </row>
    <row r="65" spans="1:49" ht="18" customHeight="1">
      <c r="A65" s="17" t="str">
        <f t="shared" ref="A65" si="55">Z65</f>
        <v>SPDR Gold</v>
      </c>
      <c r="B65" s="1" t="e" vm="22">
        <f t="shared" si="31"/>
        <v>#VALUE!</v>
      </c>
      <c r="C65" s="132">
        <f>AB65</f>
        <v>0</v>
      </c>
      <c r="D65" s="2" cm="1">
        <f t="array" ref="D65">IF($A65="", "",
    IFERROR(
        _xlfn.SWITCH(
            TRUE,
            AND(Y65="USD", Transactions!$Q$2="USD"), AC65,
            AND(Y65="USD", Transactions!$Q$2="GBP"), AC65*Transactions!$Z$3,
            AND(Y65="USD", Transactions!$Q$2="HKD"), AC65*Transactions!$Z$4,
            AND(Y65="USD", Transactions!$Q$2="EUR"), AC65*Transactions!$Z$5,
            AND(Y65="GBP", Transactions!$Q$2="GBP"), AC65,
            AND(Y65="GBP", Transactions!$Q$2="USD"), AC65*Transactions!$Z$6,
            AND(Y65="GBP", Transactions!$Q$2="HKD"), AC65*Transactions!$Z$7,
            AND(Y65="HKG", Transactions!$Q$2="HKG"), AC65,
            AND(Y65="HKD", Transactions!$Q$2="USD"), AC65*Transactions!$Z$9,
            AND(Y65="HKD", Transactions!$Q$2="GBP"), AC65*Transactions!$Z$10,
            AND(Y65="HKD", Transactions!$Q$2="EUR"), AC65*Transactions!$Z$11,
            AND(Y65="EUR", Transactions!$Q$2="EUR"), AC65,
            AND(Y65="EUR", Transactions!$Q$2="USD"), AC65*Transactions!$Z$12,
            AND(Y65="EUR", Transactions!$Q$2="GBP"), AC65*Transactions!$Z$13,
            AND(Y65="EUR", Transactions!$Q$2="HKD"), AC65*Transactions!$Z$14,
        ),
        0
    )
)</f>
        <v>183.845</v>
      </c>
      <c r="E65" s="2" cm="1">
        <f t="array" ref="E65">IF($A65="", "",
    IFERROR(
        _xlfn.SWITCH(
            TRUE,
            AND(Y65="USD", Transactions!$Q$2="USD"), AD65,
            AND(Y65="USD", Transactions!$Q$2="GBP"), AD65*Transactions!$Z$3,
            AND(Y65="USD", Transactions!$Q$2="HKD"), AD65*Transactions!$Z$4,
            AND(Y65="USD", Transactions!$Q$2="EUR"), AD65*Transactions!$Z$5,
            AND(Y65="GBP", Transactions!$Q$2="GBP"), AD65,
            AND(Y65="GBP", Transactions!$Q$2="USD"), AD65*Transactions!$Z$6,
            AND(Y65="GBP", Transactions!$Q$2="HKD"), AD65*Transactions!$Z$7,
            AND(Y65="HKG", Transactions!$Q$2="HKG"), AD65,
            AND(Y65="HKD", Transactions!$Q$2="USD"), AD65*Transactions!$Z$9,
            AND(Y65="HKD", Transactions!$Q$2="GBP"), AD65*Transactions!$Z$10,
            AND(Y65="HKD", Transactions!$Q$2="EUR"), AD65*Transactions!$Z$11,
            AND(Y65="EUR", Transactions!$Q$2="EUR"), AD65,
            AND(Y65="EUR", Transactions!$Q$2="USD"), AD65*Transactions!$Z$12,
            AND(Y65="EUR", Transactions!$Q$2="GBP"), AD65*Transactions!$Z$13,
            AND(Y65="EUR", Transactions!$Q$2="HKD"), AD65*Transactions!$Z$14,
        ),
        0
    )
)</f>
        <v>217.82</v>
      </c>
      <c r="G65" s="121">
        <f t="shared" ref="G65" si="56">AF65</f>
        <v>1.1846000000000001E-2</v>
      </c>
      <c r="H65" s="34" cm="1">
        <f t="array" ref="H65">IF($A65="", "",
    IFERROR(
        _xlfn.SWITCH(
            TRUE,
            AND(Y65="USD", Transactions!$Q$2="USD"), AG65,
            AND(Y65="USD", Transactions!$Q$2="GBP"), AG65*Transactions!$Z$3,
            AND(Y65="USD", Transactions!$Q$2="HKD"), AG65*Transactions!$Z$4,
            AND(Y65="USD", Transactions!$Q$2="EUR"), AG65*Transactions!$Z$5,
            AND(Y65="GBP", Transactions!$Q$2="GBP"), AG65,
            AND(Y65="GBP", Transactions!$Q$2="USD"), AG65*Transactions!$Z$6,
            AND(Y65="GBP", Transactions!$Q$2="HKD"), AG65*Transactions!$Z$7,
            AND(Y65="HKG", Transactions!$Q$2="HKG"), AG65,
            AND(Y65="HKD", Transactions!$Q$2="USD"), AG65*Transactions!$Z$9,
            AND(Y65="HKD", Transactions!$Q$2="GBP"), AG65*Transactions!$Z$10,
            AND(Y65="HKD", Transactions!$Q$2="EUR"), AG65*Transactions!$Z$11,
            AND(Y65="EUR", Transactions!$Q$2="EUR"), AG65,
            AND(Y65="EUR", Transactions!$Q$2="USD"), AG65*Transactions!$Z$12,
            AND(Y65="EUR", Transactions!$Q$2="GBP"), AG65*Transactions!$Z$13,
            AND(Y65="EUR", Transactions!$Q$2="HKD"), AG65*Transactions!$Z$14,
        ),
        0
    )
)</f>
        <v>2.5499999999999998</v>
      </c>
      <c r="I65" s="2" cm="1">
        <f t="array" ref="I65">IF($A65="", "",
    IFERROR(
        _xlfn.SWITCH(
            TRUE,
            AND(Y65="USD", Transactions!$Q$2="USD"), AH65,
            AND(Y65="USD", Transactions!$Q$2="GBP"), AH65*Transactions!$Z$3,
            AND(Y65="USD", Transactions!$Q$2="HKD"), AH65*Transactions!$Z$4,
            AND(Y65="USD", Transactions!$Q$2="EUR"), AH65*Transactions!$Z$5,
            AND(Y65="GBP", Transactions!$Q$2="GBP"), AH65,
            AND(Y65="GBP", Transactions!$Q$2="USD"), AH65*Transactions!$Z$6,
            AND(Y65="GBP", Transactions!$Q$2="HKD"), AH65*Transactions!$Z$7,
            AND(Y65="HKG", Transactions!$Q$2="HKG"), AH65,
            AND(Y65="HKD", Transactions!$Q$2="USD"), AH65*Transactions!$Z$9,
            AND(Y65="HKD", Transactions!$Q$2="GBP"), AH65*Transactions!$Z$10,
            AND(Y65="HKD", Transactions!$Q$2="EUR"), AH65*Transactions!$Z$11,
            AND(Y65="EUR", Transactions!$Q$2="EUR"), AH65,
            AND(Y65="EUR", Transactions!$Q$2="USD"), AH65*Transactions!$Z$12,
            AND(Y65="EUR", Transactions!$Q$2="GBP"), AH65*Transactions!$Z$13,
            AND(Y65="EUR", Transactions!$Q$2="HKD"), AH65*Transactions!$Z$14,
        ),
        0
    )
)</f>
        <v>0</v>
      </c>
      <c r="J65" s="2" cm="1">
        <f t="array" ref="J65">IF($A65="", "",
    IFERROR(
        _xlfn.SWITCH(
            TRUE,
            AND(Y65="USD", Transactions!$Q$2="USD"), AI65,
            AND(Y65="USD", Transactions!$Q$2="GBP"), AI65*Transactions!$Z$3,
            AND(Y65="USD", Transactions!$Q$2="HKD"), AI65*Transactions!$Z$4,
            AND(Y65="USD", Transactions!$Q$2="EUR"), AI65*Transactions!$Z$5,
            AND(Y65="GBP", Transactions!$Q$2="GBP"), AI65,
            AND(Y65="GBP", Transactions!$Q$2="USD"), AI65*Transactions!$Z$6,
            AND(Y65="GBP", Transactions!$Q$2="HKD"), AI65*Transactions!$Z$7,
            AND(Y65="HKG", Transactions!$Q$2="HKG"), AI65,
            AND(Y65="HKD", Transactions!$Q$2="USD"), AI65*Transactions!$Z$9,
            AND(Y65="HKD", Transactions!$Q$2="GBP"), AI65*Transactions!$Z$10,
            AND(Y65="HKD", Transactions!$Q$2="EUR"), AI65*Transactions!$Z$11,
            AND(Y65="EUR", Transactions!$Q$2="EUR"), AI65,
            AND(Y65="EUR", Transactions!$Q$2="USD"), AI65*Transactions!$Z$12,
            AND(Y65="EUR", Transactions!$Q$2="GBP"), AI65*Transactions!$Z$13,
            AND(Y65="EUR", Transactions!$Q$2="HKD"), AI65*Transactions!$Z$14,
        ),
        0
    )
)</f>
        <v>0</v>
      </c>
      <c r="K65" s="41">
        <f t="shared" ref="K65" si="57">AJ65</f>
        <v>0</v>
      </c>
      <c r="L65" s="2" cm="1">
        <f t="array" ref="L65">IF($A65="", "",
    IFERROR(
        _xlfn.SWITCH(
            TRUE,
            AND(Y65="USD", Transactions!$Q$2="USD"), AK65,
            AND(Y65="USD", Transactions!$Q$2="GBP"), AK65*Transactions!$Z$3,
            AND(Y65="USD", Transactions!$Q$2="HKD"), AK65*Transactions!$Z$4,
            AND(Y65="USD", Transactions!$Q$2="EUR"), AK65*Transactions!$Z$5,
            AND(Y65="GBP", Transactions!$Q$2="GBP"), AK65,
            AND(Y65="GBP", Transactions!$Q$2="USD"), AK65*Transactions!$Z$6,
            AND(Y65="GBP", Transactions!$Q$2="HKD"), AK65*Transactions!$Z$7,
            AND(Y65="HKG", Transactions!$Q$2="HKG"), AK65,
            AND(Y65="HKD", Transactions!$Q$2="USD"), AK65*Transactions!$Z$9,
            AND(Y65="HKD", Transactions!$Q$2="GBP"), AK65*Transactions!$Z$10,
            AND(Y65="HKD", Transactions!$Q$2="EUR"), AK65*Transactions!$Z$11,
            AND(Y65="EUR", Transactions!$Q$2="EUR"), AK65,
            AND(Y65="EUR", Transactions!$Q$2="USD"), AK65*Transactions!$Z$12,
            AND(Y65="EUR", Transactions!$Q$2="GBP"), AK65*Transactions!$Z$13,
            AND(Y65="EUR", Transactions!$Q$2="HKD"), AK65*Transactions!$Z$14,
        ),
        0
    )
)</f>
        <v>0</v>
      </c>
      <c r="M65" s="119" cm="1">
        <f t="array" ref="M65">IF($A65="", "",
    IFERROR(
        _xlfn.SWITCH(
            TRUE,
            AND(Y65="USD", Transactions!$Q$2="USD"), AL65,
            AND(Y65="USD", Transactions!$Q$2="GBP"), AL65*Transactions!$Z$3,
            AND(Y65="USD", Transactions!$Q$2="HKD"), AL65*Transactions!$Z$4,
            AND(Y65="USD", Transactions!$Q$2="EUR"), AL65*Transactions!$Z$5,
            AND(Y65="GBP", Transactions!$Q$2="GBP"), AL65,
            AND(Y65="GBP", Transactions!$Q$2="USD"), AL65*Transactions!$Z$6,
            AND(Y65="GBP", Transactions!$Q$2="HKD"), AL65*Transactions!$Z$7,
            AND(Y65="HKG", Transactions!$Q$2="HKG"), AL65,
            AND(Y65="HKD", Transactions!$Q$2="USD"), AL65*Transactions!$Z$9,
            AND(Y65="HKD", Transactions!$Q$2="GBP"), AL65*Transactions!$Z$10,
            AND(Y65="HKD", Transactions!$Q$2="EUR"), AL65*Transactions!$Z$11,
            AND(Y65="EUR", Transactions!$Q$2="EUR"), AL65,
            AND(Y65="EUR", Transactions!$Q$2="USD"), AL65*Transactions!$Z$12,
            AND(Y65="EUR", Transactions!$Q$2="GBP"), AL65*Transactions!$Z$13,
            AND(Y65="EUR", Transactions!$Q$2="HKD"), AL65*Transactions!$Z$14,
        ),
        0
    )
)</f>
        <v>31</v>
      </c>
      <c r="N65" s="120" cm="1">
        <f t="array" ref="N65">IF($A65="", "",
    IFERROR(
        _xlfn.SWITCH(
            TRUE,
            AND(Y65="USD", Transactions!$Q$2="USD"), AM65,
            AND(Y65="USD", Transactions!$Q$2="GBP"), AM65*Transactions!$Z$3,
            AND(Y65="USD", Transactions!$Q$2="HKD"), AM65*Transactions!$Z$4,
            AND(Y65="USD", Transactions!$Q$2="EUR"), AM65*Transactions!$Z$5,
            AND(Y65="GBP", Transactions!$Q$2="GBP"), AM65,
            AND(Y65="GBP", Transactions!$Q$2="USD"), AM65*Transactions!$Z$6,
            AND(Y65="GBP", Transactions!$Q$2="HKD"), AM65*Transactions!$Z$7,
            AND(Y65="HKG", Transactions!$Q$2="HKG"), AM65,
            AND(Y65="HKD", Transactions!$Q$2="USD"), AM65*Transactions!$Z$9,
            AND(Y65="HKD", Transactions!$Q$2="GBP"), AM65*Transactions!$Z$10,
            AND(Y65="HKD", Transactions!$Q$2="EUR"), AM65*Transactions!$Z$11,
            AND(Y65="EUR", Transactions!$Q$2="EUR"), AM65,
            AND(Y65="EUR", Transactions!$Q$2="USD"), AM65*Transactions!$Z$12,
            AND(Y65="EUR", Transactions!$Q$2="GBP"), AM65*Transactions!$Z$13,
            AND(Y65="EUR", Transactions!$Q$2="HKD"), AM65*Transactions!$Z$14,
        ),
        0
    )
)</f>
        <v>31</v>
      </c>
      <c r="O65" s="145"/>
      <c r="P65" s="145"/>
      <c r="Q65" s="41">
        <f t="shared" ref="Q65" si="58">AP65</f>
        <v>0</v>
      </c>
      <c r="S65" s="41">
        <f t="shared" ref="S65" si="59">AR65</f>
        <v>0</v>
      </c>
      <c r="T65" s="1" t="str">
        <f t="shared" ref="T65" si="60">AS65</f>
        <v>ETF</v>
      </c>
      <c r="U65" s="41">
        <f t="shared" ref="U65" si="61">AT65</f>
        <v>9.6920480161563141E-3</v>
      </c>
      <c r="V65" s="41">
        <f t="shared" ref="V65" si="62">AU65</f>
        <v>0</v>
      </c>
      <c r="W65" s="41">
        <f t="shared" ref="W65" si="63">AV65</f>
        <v>9.6920480161563141E-3</v>
      </c>
      <c r="Y65" s="17" t="str">
        <f>IFERROR(IF(ISBLANK(AA65), "", IF(VLOOKUP(AA65, Transactions!D:F, 3, FALSE) = "Stablecoin", AA65, INDEX(Transactions!$B$3:$B1069, MATCH(AA65, Transactions!$D$3:$D1069, 0)))), "")</f>
        <v>USD</v>
      </c>
      <c r="Z65" s="1" t="str">
        <f>_xlfn.XLOOKUP(AA65,Transactions!$D$3:$D$1007,Transactions!$E$3:$E$1007)</f>
        <v>SPDR Gold</v>
      </c>
      <c r="AA65" s="1" t="e" vm="22">
        <v>#VALUE!</v>
      </c>
      <c r="AB65" s="118" cm="1">
        <f t="array" ref="AB65">IF(ISBLANK(AA65), "",
    SUMPRODUCT(
        (Transactions!$D$3:$D$1007=AA65) *
        (Transactions!$H$3:$H$1007={"Cash Deposit","Crypto Deposit","Buy","Transfer Deposit","DRIP","Airdrop/Rewards"}) *
        Transactions!$I$3:$I$1007
    )
    - SUMPRODUCT(
        (Transactions!$D$3:$D$1007=AA65) *
        (Transactions!$H$3:$H$1007={"Sell","Transfer Send","Cash Withdrawal","Crypto Withdrawal"}) *
        Transactions!$I$3:$I$1007
    )
)</f>
        <v>0</v>
      </c>
      <c r="AC65" s="2" cm="1">
        <f t="array" ref="AC65">IF(ISBLANK(AA65), "", LOOKUP(2, 1/(Transactions!D:D=AA65), Transactions!P:P))</f>
        <v>183.845</v>
      </c>
      <c r="AD65" s="2" cm="1">
        <f t="array" ref="AD65">IF(ISBLANK(AA65),"",IFERROR(_FV(AA65,"price"),INDEX('CoinGeko API'!E:E,MATCH(Portfolio_v2!AA65,'CoinGeko API'!C:C,0))))</f>
        <v>217.82</v>
      </c>
      <c r="AF65" s="39" cm="1">
        <f t="array" ref="AF65">IF(ISBLANK(AA65),"",IFERROR(_FV(AA65,"Change (%)",TRUE),INDEX('CoinGeko API'!G:G,MATCH(Portfolio_v2!AA65,'CoinGeko API'!C:C,0))))</f>
        <v>1.1846000000000001E-2</v>
      </c>
      <c r="AG65" s="34" cm="1">
        <f t="array" ref="AG65">IF(ISBLANK(AA65),"",IFERROR(_FV(AA65,"change"),INDEX('CoinGeko API'!F:F,MATCH(Portfolio_v2!AA65,'CoinGeko API'!C:C,0))))</f>
        <v>2.5499999999999998</v>
      </c>
      <c r="AH65" s="2">
        <f t="shared" ref="AH65" si="64">IF(ISBLANK(AA65),"",IFERROR((AB65*AC65),""))</f>
        <v>0</v>
      </c>
      <c r="AI65" s="2">
        <f t="shared" ref="AI65" si="65">IF(ISBLANK(AA65),"",IFERROR((AB65*AD65),""))</f>
        <v>0</v>
      </c>
      <c r="AJ65" s="40">
        <f t="shared" ref="AJ65" si="66">IF(ISBLANK(AA65),"",IFERROR(((AI65-AH65)/AH65), 0))</f>
        <v>0</v>
      </c>
      <c r="AK65" s="2">
        <f t="shared" ref="AK65" si="67">IF(ISBLANK(AA65),"",IFERROR((AI65-AH65),""))</f>
        <v>0</v>
      </c>
      <c r="AL65" s="119">
        <f>IF(OR(ISBLANK(AA65), COUNTIFS(Transactions!$D$3:$D1069, AA65) = 0), "",
    SUMIFS(Transactions!$M$3:$M1069, Transactions!$H$3:$H1069, "Sell", Transactions!$D$3:$D1069, AA65) +
    SUMIFS(Transactions!$M$3:$M1069, Transactions!$H$3:$H1069, "Dividend", Transactions!$D$3:$D1069, AA65) -
    SUMIFS(Transactions!$M$3:$M1069, Transactions!$H$3:$H1069, "Buy", Transactions!$D$3:$D1069, AA65) -
    SUMIFS(Transactions!$M$3:$M1069, Transactions!$H$3:$H1069, "Crypto Deposit", Transactions!$D$3:$D1069, AA65) -
    SUMIFS(Transactions!$M$3:$M1069, Transactions!$H$3:$H1069, "DRIP", Transactions!$D$3:$D1069, AA65) +
    SUMIFS($AH$3:$AH1061, $AA$3:$AA1061, AA65) +
    SUMIFS(Transactions!$M$3:$M1069, Transactions!$L$3:$L1069, "Stablecoin", Transactions!$B$3:$B1069, AA65)
)</f>
        <v>31</v>
      </c>
      <c r="AM65" s="120">
        <f t="shared" ref="AM65" si="68">IF(ISBLANK(AA65),"",AK65+AL65)</f>
        <v>31</v>
      </c>
      <c r="AN65" s="145"/>
      <c r="AO65" s="145"/>
      <c r="AP65" s="41">
        <f>IF(ISBLANK(AA65),"",AI65/SUM($AI$3:$AI$64))</f>
        <v>0</v>
      </c>
      <c r="AR65" s="41">
        <f t="shared" ref="AR65" si="69">IF(ISBLANK(AD65),"",AP65-AQ65)</f>
        <v>0</v>
      </c>
      <c r="AS65" s="1" t="str">
        <f>_xlfn.XLOOKUP(AA65,Transactions!$D$3:$D$1007,Transactions!$F$3:$F$1007)</f>
        <v>ETF</v>
      </c>
      <c r="AT65" s="41">
        <f t="shared" ref="AT65" si="70">IF(ISBLANK(AD65),"",SUMIF($AS:$AS,AS65,$AP:$AP))</f>
        <v>9.6920480161563141E-3</v>
      </c>
      <c r="AU65" s="41">
        <f t="shared" ref="AU65" si="71">IF(ISBLANK(AD65),"",SUMIF($AS:$AS,AS65,$AQ:$AQ))</f>
        <v>0</v>
      </c>
      <c r="AV65" s="41">
        <f t="shared" ref="AV65" si="72">IF(ISBLANK(AD65),"",AT65-AU65)</f>
        <v>9.6920480161563141E-3</v>
      </c>
      <c r="AW65" s="18"/>
    </row>
    <row r="66" spans="1:49" ht="18" customHeight="1">
      <c r="A66" s="17"/>
      <c r="Y66" s="17"/>
      <c r="AF66" s="3"/>
      <c r="AM66" s="38"/>
      <c r="AW66" s="18"/>
    </row>
    <row r="67" spans="1:49" ht="18" customHeight="1">
      <c r="A67" s="17"/>
      <c r="Y67" s="17"/>
      <c r="AF67" s="3"/>
      <c r="AM67" s="38"/>
      <c r="AW67" s="18"/>
    </row>
    <row r="68" spans="1:49" ht="18" customHeight="1">
      <c r="A68" s="17"/>
      <c r="Y68" s="17"/>
      <c r="AF68" s="3"/>
      <c r="AM68" s="38"/>
      <c r="AW68" s="18"/>
    </row>
    <row r="69" spans="1:49" ht="18" customHeight="1" thickBot="1">
      <c r="A69" s="19"/>
      <c r="B69" s="11"/>
      <c r="C69" s="11"/>
      <c r="D69" s="11"/>
      <c r="E69" s="11"/>
      <c r="F69" s="11"/>
      <c r="G69" s="11"/>
      <c r="H69" s="11"/>
      <c r="I69" s="11"/>
      <c r="J69" s="11"/>
      <c r="K69" s="11"/>
      <c r="L69" s="11"/>
      <c r="M69" s="11"/>
      <c r="N69" s="11"/>
      <c r="O69" s="11"/>
      <c r="P69" s="11"/>
      <c r="Q69" s="11"/>
      <c r="R69" s="11"/>
      <c r="S69" s="11"/>
      <c r="T69" s="11"/>
      <c r="U69" s="11"/>
      <c r="V69" s="11"/>
      <c r="W69" s="11"/>
      <c r="X69" s="11"/>
      <c r="Y69" s="19"/>
      <c r="Z69" s="11"/>
      <c r="AA69" s="11"/>
      <c r="AB69" s="11"/>
      <c r="AC69" s="11"/>
      <c r="AD69" s="11"/>
      <c r="AE69" s="11"/>
      <c r="AF69" s="42"/>
      <c r="AG69" s="11"/>
      <c r="AH69" s="11"/>
      <c r="AI69" s="11"/>
      <c r="AJ69" s="11"/>
      <c r="AK69" s="11"/>
      <c r="AL69" s="11"/>
      <c r="AM69" s="43"/>
      <c r="AN69" s="11"/>
      <c r="AO69" s="11"/>
      <c r="AP69" s="11"/>
      <c r="AQ69" s="11"/>
      <c r="AR69" s="11"/>
      <c r="AS69" s="11"/>
      <c r="AT69" s="11"/>
      <c r="AU69" s="11"/>
      <c r="AV69" s="11"/>
      <c r="AW69" s="12"/>
    </row>
    <row r="70" spans="1:49" ht="18" customHeight="1">
      <c r="AF70" s="3"/>
      <c r="AM70" s="38"/>
    </row>
    <row r="71" spans="1:49" ht="18" customHeight="1">
      <c r="AF71" s="3"/>
      <c r="AM71" s="38"/>
      <c r="AS71" s="1" t="s">
        <v>325</v>
      </c>
      <c r="AT71" s="1" t="s">
        <v>390</v>
      </c>
    </row>
    <row r="72" spans="1:49" ht="18" customHeight="1">
      <c r="AF72" s="3"/>
      <c r="AM72" s="38"/>
      <c r="AS72" s="1" t="str" cm="1">
        <f t="array" ref="AS72:AS74">_xlfn.UNIQUE(AS3:AS62)</f>
        <v>Crypto</v>
      </c>
      <c r="AT72" s="7">
        <f>_xlfn.XLOOKUP(AS72,AS3:AS64,AT3:AT64)</f>
        <v>0.81515627319794193</v>
      </c>
    </row>
    <row r="73" spans="1:49" ht="18" customHeight="1">
      <c r="AF73" s="3"/>
      <c r="AM73" s="38"/>
      <c r="AS73" s="1" t="str">
        <v>ETF</v>
      </c>
      <c r="AT73" s="7">
        <f t="shared" ref="AT73:AT74" si="73">_xlfn.XLOOKUP(AS73,AS4:AS65,AT4:AT65)</f>
        <v>9.6920480161563141E-3</v>
      </c>
    </row>
    <row r="74" spans="1:49" ht="18" customHeight="1">
      <c r="AF74" s="3"/>
      <c r="AM74" s="38"/>
      <c r="AS74" s="1" t="str">
        <v>Stocks</v>
      </c>
      <c r="AT74" s="7">
        <f t="shared" si="73"/>
        <v>0.17515167878590182</v>
      </c>
    </row>
    <row r="75" spans="1:49" ht="18" customHeight="1">
      <c r="AF75" s="3"/>
      <c r="AM75" s="38"/>
    </row>
    <row r="76" spans="1:49" ht="18" customHeight="1">
      <c r="AF76" s="3"/>
      <c r="AM76" s="38"/>
    </row>
    <row r="77" spans="1:49" ht="18" customHeight="1">
      <c r="AF77" s="3"/>
      <c r="AM77" s="38"/>
    </row>
    <row r="78" spans="1:49" ht="18" customHeight="1">
      <c r="AF78" s="3"/>
      <c r="AM78" s="38"/>
    </row>
    <row r="79" spans="1:49" ht="18" customHeight="1">
      <c r="AF79" s="3"/>
      <c r="AM79" s="38"/>
    </row>
    <row r="80" spans="1:49" ht="18" customHeight="1">
      <c r="AF80" s="3"/>
      <c r="AM80" s="38"/>
    </row>
    <row r="81" spans="32:39" ht="18" customHeight="1">
      <c r="AF81" s="3"/>
      <c r="AM81" s="38"/>
    </row>
    <row r="82" spans="32:39" ht="18" customHeight="1">
      <c r="AF82" s="3"/>
      <c r="AM82" s="38"/>
    </row>
    <row r="83" spans="32:39" ht="18" customHeight="1">
      <c r="AF83" s="3"/>
      <c r="AM83" s="38"/>
    </row>
    <row r="84" spans="32:39" ht="18" customHeight="1">
      <c r="AF84" s="3"/>
      <c r="AM84" s="38"/>
    </row>
    <row r="85" spans="32:39" ht="18" customHeight="1">
      <c r="AF85" s="3"/>
      <c r="AM85" s="38"/>
    </row>
    <row r="86" spans="32:39" ht="18" customHeight="1">
      <c r="AF86" s="3"/>
      <c r="AM86" s="38"/>
    </row>
    <row r="87" spans="32:39" ht="18" customHeight="1">
      <c r="AF87" s="3"/>
      <c r="AM87" s="38"/>
    </row>
    <row r="88" spans="32:39" ht="18" customHeight="1">
      <c r="AF88" s="3"/>
      <c r="AM88" s="38"/>
    </row>
    <row r="89" spans="32:39" ht="18" customHeight="1">
      <c r="AF89" s="3"/>
      <c r="AM89" s="38"/>
    </row>
    <row r="90" spans="32:39" ht="18" customHeight="1">
      <c r="AF90" s="3"/>
      <c r="AM90" s="38"/>
    </row>
    <row r="91" spans="32:39" ht="18" customHeight="1">
      <c r="AF91" s="3"/>
      <c r="AM91" s="38"/>
    </row>
    <row r="92" spans="32:39" ht="18" customHeight="1">
      <c r="AF92" s="3"/>
      <c r="AM92" s="38"/>
    </row>
    <row r="93" spans="32:39" ht="18" customHeight="1">
      <c r="AF93" s="3"/>
      <c r="AM93" s="38"/>
    </row>
    <row r="94" spans="32:39" ht="18" customHeight="1">
      <c r="AF94" s="3"/>
      <c r="AM94" s="38"/>
    </row>
    <row r="95" spans="32:39" ht="18" customHeight="1">
      <c r="AF95" s="3"/>
      <c r="AM95" s="38"/>
    </row>
    <row r="96" spans="32:39" ht="18" customHeight="1">
      <c r="AF96" s="3"/>
      <c r="AM96" s="38"/>
    </row>
    <row r="97" spans="32:39" ht="18" customHeight="1">
      <c r="AF97" s="3"/>
      <c r="AM97" s="38"/>
    </row>
    <row r="98" spans="32:39" ht="18" customHeight="1">
      <c r="AF98" s="3"/>
      <c r="AM98" s="38"/>
    </row>
    <row r="99" spans="32:39" ht="18" customHeight="1">
      <c r="AF99" s="3"/>
      <c r="AM99" s="38"/>
    </row>
    <row r="100" spans="32:39" ht="18" customHeight="1"/>
  </sheetData>
  <mergeCells count="128">
    <mergeCell ref="AN65:AO65"/>
    <mergeCell ref="O65:P65"/>
    <mergeCell ref="AN47:AO47"/>
    <mergeCell ref="O47:P47"/>
    <mergeCell ref="O48:P48"/>
    <mergeCell ref="O24:P24"/>
    <mergeCell ref="O25:P25"/>
    <mergeCell ref="O26:P26"/>
    <mergeCell ref="AN63:AO63"/>
    <mergeCell ref="O37:P37"/>
    <mergeCell ref="O38:P38"/>
    <mergeCell ref="O39:P39"/>
    <mergeCell ref="O40:P40"/>
    <mergeCell ref="O41:P41"/>
    <mergeCell ref="O32:P32"/>
    <mergeCell ref="O33:P33"/>
    <mergeCell ref="O34:P34"/>
    <mergeCell ref="O35:P35"/>
    <mergeCell ref="O36:P36"/>
    <mergeCell ref="O55:P55"/>
    <mergeCell ref="O56:P56"/>
    <mergeCell ref="AN39:AO39"/>
    <mergeCell ref="AN40:AO40"/>
    <mergeCell ref="AN41:AO41"/>
    <mergeCell ref="AN16:AO16"/>
    <mergeCell ref="AN42:AO42"/>
    <mergeCell ref="AN43:AO43"/>
    <mergeCell ref="AN44:AO44"/>
    <mergeCell ref="AN45:AO45"/>
    <mergeCell ref="AN46:AO46"/>
    <mergeCell ref="O17:P17"/>
    <mergeCell ref="O18:P18"/>
    <mergeCell ref="O19:P19"/>
    <mergeCell ref="O20:P20"/>
    <mergeCell ref="O21:P21"/>
    <mergeCell ref="AN17:AO17"/>
    <mergeCell ref="AN18:AO18"/>
    <mergeCell ref="AN19:AO19"/>
    <mergeCell ref="AN20:AO20"/>
    <mergeCell ref="AN30:AO30"/>
    <mergeCell ref="AN31:AO31"/>
    <mergeCell ref="AN32:AO32"/>
    <mergeCell ref="AN33:AO33"/>
    <mergeCell ref="AN34:AO34"/>
    <mergeCell ref="AN35:AO35"/>
    <mergeCell ref="AN36:AO36"/>
    <mergeCell ref="AN37:AO37"/>
    <mergeCell ref="AN38:AO38"/>
    <mergeCell ref="AN7:AO7"/>
    <mergeCell ref="AN8:AO8"/>
    <mergeCell ref="AN9:AO9"/>
    <mergeCell ref="AN10:AO10"/>
    <mergeCell ref="AN11:AO11"/>
    <mergeCell ref="O12:P12"/>
    <mergeCell ref="O13:P13"/>
    <mergeCell ref="O14:P14"/>
    <mergeCell ref="O15:P15"/>
    <mergeCell ref="AN12:AO12"/>
    <mergeCell ref="AN13:AO13"/>
    <mergeCell ref="AN14:AO14"/>
    <mergeCell ref="AN15:AO15"/>
    <mergeCell ref="A1:X1"/>
    <mergeCell ref="AN3:AO3"/>
    <mergeCell ref="AN4:AO4"/>
    <mergeCell ref="AN5:AO5"/>
    <mergeCell ref="AN6:AO6"/>
    <mergeCell ref="Y1:AW1"/>
    <mergeCell ref="O3:P3"/>
    <mergeCell ref="O4:P4"/>
    <mergeCell ref="O5:P5"/>
    <mergeCell ref="O6:P6"/>
    <mergeCell ref="O27:P27"/>
    <mergeCell ref="O28:P28"/>
    <mergeCell ref="O29:P29"/>
    <mergeCell ref="O30:P30"/>
    <mergeCell ref="O31:P31"/>
    <mergeCell ref="O22:P22"/>
    <mergeCell ref="O23:P23"/>
    <mergeCell ref="O7:P7"/>
    <mergeCell ref="O8:P8"/>
    <mergeCell ref="O9:P9"/>
    <mergeCell ref="O10:P10"/>
    <mergeCell ref="O11:P11"/>
    <mergeCell ref="O16:P16"/>
    <mergeCell ref="AN21:AO21"/>
    <mergeCell ref="AN22:AO22"/>
    <mergeCell ref="AN23:AO23"/>
    <mergeCell ref="AN24:AO24"/>
    <mergeCell ref="AN25:AO25"/>
    <mergeCell ref="AN26:AO26"/>
    <mergeCell ref="AN27:AO27"/>
    <mergeCell ref="AN28:AO28"/>
    <mergeCell ref="AN29:AO29"/>
    <mergeCell ref="O52:P52"/>
    <mergeCell ref="O53:P53"/>
    <mergeCell ref="O54:P54"/>
    <mergeCell ref="O49:P49"/>
    <mergeCell ref="O50:P50"/>
    <mergeCell ref="O51:P51"/>
    <mergeCell ref="O42:P42"/>
    <mergeCell ref="O43:P43"/>
    <mergeCell ref="O44:P44"/>
    <mergeCell ref="O45:P45"/>
    <mergeCell ref="O46:P46"/>
    <mergeCell ref="AN64:AO64"/>
    <mergeCell ref="O63:P63"/>
    <mergeCell ref="O64:P64"/>
    <mergeCell ref="AN62:AO62"/>
    <mergeCell ref="O62:P62"/>
    <mergeCell ref="AN48:AO48"/>
    <mergeCell ref="AN49:AO49"/>
    <mergeCell ref="AN50:AO50"/>
    <mergeCell ref="AN51:AO51"/>
    <mergeCell ref="O60:P60"/>
    <mergeCell ref="O61:P61"/>
    <mergeCell ref="AN60:AO60"/>
    <mergeCell ref="AN61:AO61"/>
    <mergeCell ref="AN57:AO57"/>
    <mergeCell ref="AN58:AO58"/>
    <mergeCell ref="AN59:AO59"/>
    <mergeCell ref="AN52:AO52"/>
    <mergeCell ref="AN53:AO53"/>
    <mergeCell ref="AN54:AO54"/>
    <mergeCell ref="AN55:AO55"/>
    <mergeCell ref="AN56:AO56"/>
    <mergeCell ref="O57:P57"/>
    <mergeCell ref="O58:P58"/>
    <mergeCell ref="O59:P59"/>
  </mergeCells>
  <conditionalFormatting sqref="K3:K65">
    <cfRule type="colorScale" priority="3">
      <colorScale>
        <cfvo type="min"/>
        <cfvo type="percentile" val="50"/>
        <cfvo type="max"/>
        <color rgb="FFF8696B"/>
        <color rgb="FFFCFCFF"/>
        <color rgb="FF63BE7B"/>
      </colorScale>
    </cfRule>
  </conditionalFormatting>
  <conditionalFormatting sqref="M3:M65">
    <cfRule type="colorScale" priority="2">
      <colorScale>
        <cfvo type="num" val="-0.1"/>
        <cfvo type="num" val="0"/>
        <cfvo type="num" val="0.1"/>
        <color rgb="FFF8696B"/>
        <color rgb="FFFCFCFF"/>
        <color rgb="FF63BE7B"/>
      </colorScale>
    </cfRule>
  </conditionalFormatting>
  <conditionalFormatting sqref="N3:N65">
    <cfRule type="colorScale" priority="1">
      <colorScale>
        <cfvo type="num" val="-1000"/>
        <cfvo type="num" val="0"/>
        <cfvo type="num" val="1000"/>
        <color rgb="FFF8696B"/>
        <color rgb="FFFCFCFF"/>
        <color rgb="FF63BE7B"/>
      </colorScale>
    </cfRule>
  </conditionalFormatting>
  <conditionalFormatting sqref="AF3:AF99 AL3:AL99 G3:G65">
    <cfRule type="colorScale" priority="5">
      <colorScale>
        <cfvo type="num" val="-0.1"/>
        <cfvo type="num" val="0"/>
        <cfvo type="num" val="0.1"/>
        <color rgb="FFF8696B"/>
        <color rgb="FFFCFCFF"/>
        <color rgb="FF63BE7B"/>
      </colorScale>
    </cfRule>
  </conditionalFormatting>
  <conditionalFormatting sqref="AJ3:AJ99">
    <cfRule type="colorScale" priority="16">
      <colorScale>
        <cfvo type="min"/>
        <cfvo type="percentile" val="50"/>
        <cfvo type="max"/>
        <color rgb="FFF8696B"/>
        <color rgb="FFFCFCFF"/>
        <color rgb="FF63BE7B"/>
      </colorScale>
    </cfRule>
  </conditionalFormatting>
  <conditionalFormatting sqref="AK3:AK99 L3:L65">
    <cfRule type="colorScale" priority="4">
      <colorScale>
        <cfvo type="num" val="-1000"/>
        <cfvo type="num" val="0"/>
        <cfvo type="num" val="1000"/>
        <color rgb="FFF8696B"/>
        <color rgb="FFFCFCFF"/>
        <color rgb="FF63BE7B"/>
      </colorScale>
    </cfRule>
  </conditionalFormatting>
  <conditionalFormatting sqref="AM3:AM65">
    <cfRule type="colorScale" priority="6">
      <colorScale>
        <cfvo type="num" val="-1000"/>
        <cfvo type="num" val="0"/>
        <cfvo type="num" val="1000"/>
        <color rgb="FFF8696B"/>
        <color rgb="FFFCFCFF"/>
        <color rgb="FF63BE7B"/>
      </colorScale>
    </cfRule>
  </conditionalFormatting>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r2:uid="{84B873E6-B7BA-48C4-BE78-BA0F5CE6D6B6}">
          <x14:colorSeries rgb="FF376092"/>
          <x14:colorNegative rgb="FFD00000"/>
          <x14:colorAxis rgb="FF000000"/>
          <x14:colorMarkers rgb="FFD00000"/>
          <x14:colorFirst rgb="FFD00000"/>
          <x14:colorLast rgb="FFD00000"/>
          <x14:colorHigh rgb="FFD00000"/>
          <x14:colorLow rgb="FFD00000"/>
          <x14:sparklines>
            <x14:sparkline>
              <xm:f>'Historical Price'!C2:R2</xm:f>
              <xm:sqref>AE3</xm:sqref>
            </x14:sparkline>
            <x14:sparkline>
              <xm:f>'Historical Price'!C3:R3</xm:f>
              <xm:sqref>AE4</xm:sqref>
            </x14:sparkline>
            <x14:sparkline>
              <xm:f>'Historical Price'!C4:R4</xm:f>
              <xm:sqref>AE5</xm:sqref>
            </x14:sparkline>
            <x14:sparkline>
              <xm:f>'Historical Price'!C5:R5</xm:f>
              <xm:sqref>AE6</xm:sqref>
            </x14:sparkline>
            <x14:sparkline>
              <xm:f>'Historical Price'!C6:R6</xm:f>
              <xm:sqref>AE7</xm:sqref>
            </x14:sparkline>
            <x14:sparkline>
              <xm:f>'Historical Price'!C7:R7</xm:f>
              <xm:sqref>AE8</xm:sqref>
            </x14:sparkline>
            <x14:sparkline>
              <xm:f>'Historical Price'!C8:R8</xm:f>
              <xm:sqref>AE9</xm:sqref>
            </x14:sparkline>
            <x14:sparkline>
              <xm:f>'Historical Price'!C9:R9</xm:f>
              <xm:sqref>AE10</xm:sqref>
            </x14:sparkline>
            <x14:sparkline>
              <xm:f>'Historical Price'!C10:R10</xm:f>
              <xm:sqref>AE11</xm:sqref>
            </x14:sparkline>
            <x14:sparkline>
              <xm:f>'Historical Price'!C11:R11</xm:f>
              <xm:sqref>AE12</xm:sqref>
            </x14:sparkline>
            <x14:sparkline>
              <xm:f>'Historical Price'!C12:R12</xm:f>
              <xm:sqref>AE13</xm:sqref>
            </x14:sparkline>
            <x14:sparkline>
              <xm:f>'Historical Price'!C13:R13</xm:f>
              <xm:sqref>AE14</xm:sqref>
            </x14:sparkline>
            <x14:sparkline>
              <xm:f>'Historical Price'!C14:R14</xm:f>
              <xm:sqref>AE15</xm:sqref>
            </x14:sparkline>
            <x14:sparkline>
              <xm:f>'Historical Price'!C15:R15</xm:f>
              <xm:sqref>AE16</xm:sqref>
            </x14:sparkline>
            <x14:sparkline>
              <xm:f>'Historical Price'!C16:R16</xm:f>
              <xm:sqref>AE17</xm:sqref>
            </x14:sparkline>
            <x14:sparkline>
              <xm:f>'Historical Price'!C17:R17</xm:f>
              <xm:sqref>AE18</xm:sqref>
            </x14:sparkline>
            <x14:sparkline>
              <xm:f>'Historical Price'!C18:R18</xm:f>
              <xm:sqref>AE19</xm:sqref>
            </x14:sparkline>
            <x14:sparkline>
              <xm:f>'Historical Price'!C19:R19</xm:f>
              <xm:sqref>AE20</xm:sqref>
            </x14:sparkline>
            <x14:sparkline>
              <xm:f>'Historical Price'!C20:R20</xm:f>
              <xm:sqref>AE21</xm:sqref>
            </x14:sparkline>
            <x14:sparkline>
              <xm:f>'Historical Price'!C21:R21</xm:f>
              <xm:sqref>AE22</xm:sqref>
            </x14:sparkline>
            <x14:sparkline>
              <xm:f>'Historical Price'!C22:R22</xm:f>
              <xm:sqref>AE23</xm:sqref>
            </x14:sparkline>
            <x14:sparkline>
              <xm:f>'Historical Price'!C23:R23</xm:f>
              <xm:sqref>AE24</xm:sqref>
            </x14:sparkline>
            <x14:sparkline>
              <xm:f>'Historical Price'!C24:R24</xm:f>
              <xm:sqref>AE25</xm:sqref>
            </x14:sparkline>
            <x14:sparkline>
              <xm:f>'Historical Price'!C25:R25</xm:f>
              <xm:sqref>AE26</xm:sqref>
            </x14:sparkline>
            <x14:sparkline>
              <xm:f>'Historical Price'!C26:R26</xm:f>
              <xm:sqref>AE27</xm:sqref>
            </x14:sparkline>
            <x14:sparkline>
              <xm:f>'Historical Price'!C27:R27</xm:f>
              <xm:sqref>AE28</xm:sqref>
            </x14:sparkline>
            <x14:sparkline>
              <xm:f>'Historical Price'!C28:R28</xm:f>
              <xm:sqref>AE29</xm:sqref>
            </x14:sparkline>
            <x14:sparkline>
              <xm:f>'Historical Price'!C29:R29</xm:f>
              <xm:sqref>AE30</xm:sqref>
            </x14:sparkline>
            <x14:sparkline>
              <xm:f>'Historical Price'!C30:R30</xm:f>
              <xm:sqref>AE31</xm:sqref>
            </x14:sparkline>
            <x14:sparkline>
              <xm:f>'Historical Price'!C31:R31</xm:f>
              <xm:sqref>AE32</xm:sqref>
            </x14:sparkline>
            <x14:sparkline>
              <xm:f>'Historical Price'!C32:R32</xm:f>
              <xm:sqref>AE33</xm:sqref>
            </x14:sparkline>
            <x14:sparkline>
              <xm:f>'Historical Price'!C33:R33</xm:f>
              <xm:sqref>AE34</xm:sqref>
            </x14:sparkline>
            <x14:sparkline>
              <xm:f>'Historical Price'!C34:R34</xm:f>
              <xm:sqref>AE35</xm:sqref>
            </x14:sparkline>
            <x14:sparkline>
              <xm:f>'Historical Price'!C35:R35</xm:f>
              <xm:sqref>AE36</xm:sqref>
            </x14:sparkline>
            <x14:sparkline>
              <xm:f>'Historical Price'!C36:R36</xm:f>
              <xm:sqref>AE37</xm:sqref>
            </x14:sparkline>
            <x14:sparkline>
              <xm:f>'Historical Price'!C37:R37</xm:f>
              <xm:sqref>AE38</xm:sqref>
            </x14:sparkline>
            <x14:sparkline>
              <xm:f>'Historical Price'!C38:R38</xm:f>
              <xm:sqref>AE39</xm:sqref>
            </x14:sparkline>
            <x14:sparkline>
              <xm:f>'Historical Price'!C39:R39</xm:f>
              <xm:sqref>AE40</xm:sqref>
            </x14:sparkline>
            <x14:sparkline>
              <xm:f>'Historical Price'!C40:R40</xm:f>
              <xm:sqref>AE41</xm:sqref>
            </x14:sparkline>
            <x14:sparkline>
              <xm:f>'Historical Price'!C41:R41</xm:f>
              <xm:sqref>AE42</xm:sqref>
            </x14:sparkline>
            <x14:sparkline>
              <xm:f>'Historical Price'!C42:R42</xm:f>
              <xm:sqref>AE43</xm:sqref>
            </x14:sparkline>
            <x14:sparkline>
              <xm:f>'Historical Price'!C43:R43</xm:f>
              <xm:sqref>AE44</xm:sqref>
            </x14:sparkline>
            <x14:sparkline>
              <xm:f>'Historical Price'!C44:R44</xm:f>
              <xm:sqref>AE45</xm:sqref>
            </x14:sparkline>
            <x14:sparkline>
              <xm:f>'Historical Price'!C45:R45</xm:f>
              <xm:sqref>AE46</xm:sqref>
            </x14:sparkline>
            <x14:sparkline>
              <xm:f>'Historical Price'!C46:R46</xm:f>
              <xm:sqref>AE47</xm:sqref>
            </x14:sparkline>
            <x14:sparkline>
              <xm:f>'Historical Price'!C47:R47</xm:f>
              <xm:sqref>AE48</xm:sqref>
            </x14:sparkline>
            <x14:sparkline>
              <xm:f>'Historical Price'!C48:R48</xm:f>
              <xm:sqref>AE49</xm:sqref>
            </x14:sparkline>
            <x14:sparkline>
              <xm:f>'Historical Price'!C49:R49</xm:f>
              <xm:sqref>AE50</xm:sqref>
            </x14:sparkline>
            <x14:sparkline>
              <xm:f>'Historical Price'!C50:R50</xm:f>
              <xm:sqref>AE51</xm:sqref>
            </x14:sparkline>
            <x14:sparkline>
              <xm:f>'Historical Price'!C51:R51</xm:f>
              <xm:sqref>AE52</xm:sqref>
            </x14:sparkline>
            <x14:sparkline>
              <xm:f>'Historical Price'!C52:R52</xm:f>
              <xm:sqref>AE53</xm:sqref>
            </x14:sparkline>
            <x14:sparkline>
              <xm:f>'Historical Price'!C53:R53</xm:f>
              <xm:sqref>AE54</xm:sqref>
            </x14:sparkline>
            <x14:sparkline>
              <xm:f>'Historical Price'!C54:R54</xm:f>
              <xm:sqref>AE55</xm:sqref>
            </x14:sparkline>
            <x14:sparkline>
              <xm:f>'Historical Price'!C55:R55</xm:f>
              <xm:sqref>AE56</xm:sqref>
            </x14:sparkline>
            <x14:sparkline>
              <xm:f>'Historical Price'!C56:R56</xm:f>
              <xm:sqref>AE57</xm:sqref>
            </x14:sparkline>
            <x14:sparkline>
              <xm:f>'Historical Price'!C57:R57</xm:f>
              <xm:sqref>AE58</xm:sqref>
            </x14:sparkline>
            <x14:sparkline>
              <xm:f>'Historical Price'!C58:R58</xm:f>
              <xm:sqref>AE59</xm:sqref>
            </x14:sparkline>
            <x14:sparkline>
              <xm:f>'Historical Price'!C59:R59</xm:f>
              <xm:sqref>AE60</xm:sqref>
            </x14:sparkline>
            <x14:sparkline>
              <xm:f>'Historical Price'!C60:R60</xm:f>
              <xm:sqref>AE61</xm:sqref>
            </x14:sparkline>
            <x14:sparkline>
              <xm:f>'Historical Price'!C61:R61</xm:f>
              <xm:sqref>AE62</xm:sqref>
            </x14:sparkline>
            <x14:sparkline>
              <xm:f>'Historical Price'!C62:R62</xm:f>
              <xm:sqref>AE63</xm:sqref>
            </x14:sparkline>
            <x14:sparkline>
              <xm:f>'Historical Price'!C63:R63</xm:f>
              <xm:sqref>AE64</xm:sqref>
            </x14:sparkline>
            <x14:sparkline>
              <xm:f>'Historical Price'!C64:R64</xm:f>
              <xm:sqref>AE65</xm:sqref>
            </x14:sparkline>
          </x14:sparklines>
        </x14:sparklineGroup>
        <x14:sparklineGroup displayEmptyCellsAs="gap" xr2:uid="{5483FEA1-85E5-4157-AAF8-9FE31E7E69CD}">
          <x14:colorSeries rgb="FF376092"/>
          <x14:colorNegative rgb="FFD00000"/>
          <x14:colorAxis rgb="FF000000"/>
          <x14:colorMarkers rgb="FFD00000"/>
          <x14:colorFirst rgb="FFD00000"/>
          <x14:colorLast rgb="FFD00000"/>
          <x14:colorHigh rgb="FFD00000"/>
          <x14:colorLow rgb="FFD00000"/>
          <x14:sparklines>
            <x14:sparkline>
              <xm:f>'Historical Price'!C2:R2</xm:f>
              <xm:sqref>F3</xm:sqref>
            </x14:sparkline>
            <x14:sparkline>
              <xm:f>'Historical Price'!C3:R3</xm:f>
              <xm:sqref>F4</xm:sqref>
            </x14:sparkline>
            <x14:sparkline>
              <xm:f>'Historical Price'!C4:R4</xm:f>
              <xm:sqref>F5</xm:sqref>
            </x14:sparkline>
            <x14:sparkline>
              <xm:f>'Historical Price'!C5:R5</xm:f>
              <xm:sqref>F6</xm:sqref>
            </x14:sparkline>
            <x14:sparkline>
              <xm:f>'Historical Price'!C6:R6</xm:f>
              <xm:sqref>F7</xm:sqref>
            </x14:sparkline>
            <x14:sparkline>
              <xm:f>'Historical Price'!C7:R7</xm:f>
              <xm:sqref>F8</xm:sqref>
            </x14:sparkline>
            <x14:sparkline>
              <xm:f>'Historical Price'!C8:R8</xm:f>
              <xm:sqref>F9</xm:sqref>
            </x14:sparkline>
            <x14:sparkline>
              <xm:f>'Historical Price'!C9:R9</xm:f>
              <xm:sqref>F10</xm:sqref>
            </x14:sparkline>
            <x14:sparkline>
              <xm:f>'Historical Price'!C10:R10</xm:f>
              <xm:sqref>F11</xm:sqref>
            </x14:sparkline>
            <x14:sparkline>
              <xm:f>'Historical Price'!C11:R11</xm:f>
              <xm:sqref>F12</xm:sqref>
            </x14:sparkline>
            <x14:sparkline>
              <xm:f>'Historical Price'!C12:R12</xm:f>
              <xm:sqref>F13</xm:sqref>
            </x14:sparkline>
            <x14:sparkline>
              <xm:f>'Historical Price'!C13:R13</xm:f>
              <xm:sqref>F14</xm:sqref>
            </x14:sparkline>
            <x14:sparkline>
              <xm:f>'Historical Price'!C14:R14</xm:f>
              <xm:sqref>F15</xm:sqref>
            </x14:sparkline>
            <x14:sparkline>
              <xm:f>'Historical Price'!C15:R15</xm:f>
              <xm:sqref>F16</xm:sqref>
            </x14:sparkline>
            <x14:sparkline>
              <xm:f>'Historical Price'!C16:R16</xm:f>
              <xm:sqref>F17</xm:sqref>
            </x14:sparkline>
            <x14:sparkline>
              <xm:f>'Historical Price'!C17:R17</xm:f>
              <xm:sqref>F18</xm:sqref>
            </x14:sparkline>
            <x14:sparkline>
              <xm:f>'Historical Price'!C18:R18</xm:f>
              <xm:sqref>F19</xm:sqref>
            </x14:sparkline>
            <x14:sparkline>
              <xm:f>'Historical Price'!C19:R19</xm:f>
              <xm:sqref>F20</xm:sqref>
            </x14:sparkline>
            <x14:sparkline>
              <xm:f>'Historical Price'!C20:R20</xm:f>
              <xm:sqref>F21</xm:sqref>
            </x14:sparkline>
            <x14:sparkline>
              <xm:f>'Historical Price'!C21:R21</xm:f>
              <xm:sqref>F22</xm:sqref>
            </x14:sparkline>
            <x14:sparkline>
              <xm:f>'Historical Price'!C22:R22</xm:f>
              <xm:sqref>F23</xm:sqref>
            </x14:sparkline>
            <x14:sparkline>
              <xm:f>'Historical Price'!C23:R23</xm:f>
              <xm:sqref>F24</xm:sqref>
            </x14:sparkline>
            <x14:sparkline>
              <xm:f>'Historical Price'!C24:R24</xm:f>
              <xm:sqref>F25</xm:sqref>
            </x14:sparkline>
            <x14:sparkline>
              <xm:f>'Historical Price'!C25:R25</xm:f>
              <xm:sqref>F26</xm:sqref>
            </x14:sparkline>
            <x14:sparkline>
              <xm:f>'Historical Price'!C26:R26</xm:f>
              <xm:sqref>F27</xm:sqref>
            </x14:sparkline>
            <x14:sparkline>
              <xm:f>'Historical Price'!C27:R27</xm:f>
              <xm:sqref>F28</xm:sqref>
            </x14:sparkline>
            <x14:sparkline>
              <xm:f>'Historical Price'!C28:R28</xm:f>
              <xm:sqref>F29</xm:sqref>
            </x14:sparkline>
            <x14:sparkline>
              <xm:f>'Historical Price'!C29:R29</xm:f>
              <xm:sqref>F30</xm:sqref>
            </x14:sparkline>
            <x14:sparkline>
              <xm:f>'Historical Price'!C30:R30</xm:f>
              <xm:sqref>F31</xm:sqref>
            </x14:sparkline>
            <x14:sparkline>
              <xm:f>'Historical Price'!C31:R31</xm:f>
              <xm:sqref>F32</xm:sqref>
            </x14:sparkline>
            <x14:sparkline>
              <xm:f>'Historical Price'!C32:R32</xm:f>
              <xm:sqref>F33</xm:sqref>
            </x14:sparkline>
            <x14:sparkline>
              <xm:f>'Historical Price'!C33:R33</xm:f>
              <xm:sqref>F34</xm:sqref>
            </x14:sparkline>
            <x14:sparkline>
              <xm:f>'Historical Price'!C34:R34</xm:f>
              <xm:sqref>F35</xm:sqref>
            </x14:sparkline>
            <x14:sparkline>
              <xm:f>'Historical Price'!C35:R35</xm:f>
              <xm:sqref>F36</xm:sqref>
            </x14:sparkline>
            <x14:sparkline>
              <xm:f>'Historical Price'!C36:R36</xm:f>
              <xm:sqref>F37</xm:sqref>
            </x14:sparkline>
            <x14:sparkline>
              <xm:f>'Historical Price'!C37:R37</xm:f>
              <xm:sqref>F38</xm:sqref>
            </x14:sparkline>
            <x14:sparkline>
              <xm:f>'Historical Price'!C38:R38</xm:f>
              <xm:sqref>F39</xm:sqref>
            </x14:sparkline>
            <x14:sparkline>
              <xm:f>'Historical Price'!C39:R39</xm:f>
              <xm:sqref>F40</xm:sqref>
            </x14:sparkline>
            <x14:sparkline>
              <xm:f>'Historical Price'!C40:R40</xm:f>
              <xm:sqref>F41</xm:sqref>
            </x14:sparkline>
            <x14:sparkline>
              <xm:f>'Historical Price'!C41:R41</xm:f>
              <xm:sqref>F42</xm:sqref>
            </x14:sparkline>
            <x14:sparkline>
              <xm:f>'Historical Price'!C42:R42</xm:f>
              <xm:sqref>F43</xm:sqref>
            </x14:sparkline>
            <x14:sparkline>
              <xm:f>'Historical Price'!C43:R43</xm:f>
              <xm:sqref>F44</xm:sqref>
            </x14:sparkline>
            <x14:sparkline>
              <xm:f>'Historical Price'!C44:R44</xm:f>
              <xm:sqref>F45</xm:sqref>
            </x14:sparkline>
            <x14:sparkline>
              <xm:f>'Historical Price'!C45:R45</xm:f>
              <xm:sqref>F46</xm:sqref>
            </x14:sparkline>
            <x14:sparkline>
              <xm:f>'Historical Price'!C46:R46</xm:f>
              <xm:sqref>F47</xm:sqref>
            </x14:sparkline>
            <x14:sparkline>
              <xm:f>'Historical Price'!C47:R47</xm:f>
              <xm:sqref>F48</xm:sqref>
            </x14:sparkline>
            <x14:sparkline>
              <xm:f>'Historical Price'!C48:R48</xm:f>
              <xm:sqref>F49</xm:sqref>
            </x14:sparkline>
            <x14:sparkline>
              <xm:f>'Historical Price'!C49:R49</xm:f>
              <xm:sqref>F50</xm:sqref>
            </x14:sparkline>
            <x14:sparkline>
              <xm:f>'Historical Price'!C50:R50</xm:f>
              <xm:sqref>F51</xm:sqref>
            </x14:sparkline>
            <x14:sparkline>
              <xm:f>'Historical Price'!C51:R51</xm:f>
              <xm:sqref>F52</xm:sqref>
            </x14:sparkline>
            <x14:sparkline>
              <xm:f>'Historical Price'!C52:R52</xm:f>
              <xm:sqref>F53</xm:sqref>
            </x14:sparkline>
            <x14:sparkline>
              <xm:f>'Historical Price'!C53:R53</xm:f>
              <xm:sqref>F54</xm:sqref>
            </x14:sparkline>
            <x14:sparkline>
              <xm:f>'Historical Price'!C54:R54</xm:f>
              <xm:sqref>F55</xm:sqref>
            </x14:sparkline>
            <x14:sparkline>
              <xm:f>'Historical Price'!C55:R55</xm:f>
              <xm:sqref>F56</xm:sqref>
            </x14:sparkline>
            <x14:sparkline>
              <xm:f>'Historical Price'!C56:R56</xm:f>
              <xm:sqref>F57</xm:sqref>
            </x14:sparkline>
            <x14:sparkline>
              <xm:f>'Historical Price'!C57:R57</xm:f>
              <xm:sqref>F58</xm:sqref>
            </x14:sparkline>
            <x14:sparkline>
              <xm:f>'Historical Price'!C58:R58</xm:f>
              <xm:sqref>F59</xm:sqref>
            </x14:sparkline>
            <x14:sparkline>
              <xm:f>'Historical Price'!C59:R59</xm:f>
              <xm:sqref>F60</xm:sqref>
            </x14:sparkline>
            <x14:sparkline>
              <xm:f>'Historical Price'!C60:R60</xm:f>
              <xm:sqref>F61</xm:sqref>
            </x14:sparkline>
            <x14:sparkline>
              <xm:f>'Historical Price'!C61:R61</xm:f>
              <xm:sqref>F62</xm:sqref>
            </x14:sparkline>
            <x14:sparkline>
              <xm:f>'Historical Price'!C62:R62</xm:f>
              <xm:sqref>F63</xm:sqref>
            </x14:sparkline>
            <x14:sparkline>
              <xm:f>'Historical Price'!C63:R63</xm:f>
              <xm:sqref>F64</xm:sqref>
            </x14:sparkline>
            <x14:sparkline>
              <xm:f>'Historical Price'!C64:R64</xm:f>
              <xm:sqref>F65</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5D17-2919-47F7-8F77-65DB73BAAF41}">
  <dimension ref="A1:R303"/>
  <sheetViews>
    <sheetView topLeftCell="A269" workbookViewId="0">
      <selection activeCell="L26" sqref="L26"/>
    </sheetView>
  </sheetViews>
  <sheetFormatPr defaultRowHeight="15"/>
  <cols>
    <col min="1" max="1" width="16.7109375" style="1" customWidth="1"/>
    <col min="2" max="2" width="9.140625" style="1"/>
    <col min="3" max="17" width="10.7109375" style="1" customWidth="1"/>
    <col min="18" max="18" width="11" style="1" bestFit="1" customWidth="1"/>
    <col min="19" max="16384" width="9.140625" style="1"/>
  </cols>
  <sheetData>
    <row r="1" spans="1:18" ht="15.75" customHeight="1">
      <c r="A1" s="96" t="s">
        <v>506</v>
      </c>
      <c r="B1" s="102" t="s">
        <v>432</v>
      </c>
      <c r="C1" s="91">
        <v>44927</v>
      </c>
      <c r="D1" s="91">
        <v>44958</v>
      </c>
      <c r="E1" s="91">
        <v>44986</v>
      </c>
      <c r="F1" s="91">
        <v>45017</v>
      </c>
      <c r="G1" s="91">
        <v>45047</v>
      </c>
      <c r="H1" s="91">
        <v>45078</v>
      </c>
      <c r="I1" s="91">
        <v>45108</v>
      </c>
      <c r="J1" s="91">
        <v>45139</v>
      </c>
      <c r="K1" s="91">
        <v>45170</v>
      </c>
      <c r="L1" s="91">
        <v>45200</v>
      </c>
      <c r="M1" s="91">
        <v>45231</v>
      </c>
      <c r="N1" s="91">
        <v>45261</v>
      </c>
      <c r="O1" s="91">
        <v>45292</v>
      </c>
      <c r="P1" s="91">
        <v>45323</v>
      </c>
      <c r="Q1" s="91">
        <v>45352</v>
      </c>
      <c r="R1" s="1" t="s">
        <v>535</v>
      </c>
    </row>
    <row r="2" spans="1:18">
      <c r="A2" s="1" t="str" cm="1">
        <f t="array" ref="A2:A64">_xlfn._xlws.SORT(_xlfn.UNIQUE(_xlfn._xlws.FILTER(Transactions!D3:D1102, (Transactions!F3:F1102&lt;&gt;"Cash") * (Transactions!F3:F1102&lt;&gt;"Stable Coin") * (Transactions!D3:D1102&lt;&gt;""))))</f>
        <v>ADA</v>
      </c>
      <c r="B2" s="1" t="s">
        <v>55</v>
      </c>
      <c r="C2" s="1">
        <v>0.24579999999999999</v>
      </c>
      <c r="D2" s="1">
        <v>0.39019999999999999</v>
      </c>
      <c r="E2" s="1">
        <v>0.3518</v>
      </c>
      <c r="F2" s="1">
        <v>0.39889999999999998</v>
      </c>
      <c r="G2" s="1">
        <v>0.39789999999999998</v>
      </c>
      <c r="H2" s="1">
        <v>0.37440000000000001</v>
      </c>
      <c r="I2" s="1">
        <v>0.28699999999999998</v>
      </c>
      <c r="J2" s="1">
        <v>0.307</v>
      </c>
      <c r="K2" s="1">
        <v>0.25540000000000002</v>
      </c>
      <c r="L2" s="1">
        <v>0.254</v>
      </c>
      <c r="M2" s="1">
        <v>0.29289999999999999</v>
      </c>
      <c r="N2" s="1">
        <v>0.376</v>
      </c>
      <c r="O2" s="1">
        <v>0.59389999999999998</v>
      </c>
      <c r="P2" s="1">
        <v>0.49759999999999999</v>
      </c>
      <c r="Q2" s="1">
        <v>0.65600000000000003</v>
      </c>
      <c r="R2" s="1" cm="1">
        <f t="array" ref="R2">IF(ISBLANK(B2),"",IFERROR(_FV(B2,"price"),INDEX('CoinGeko API'!E:E,MATCH(B2,'CoinGeko API'!C:C,0))))</f>
        <v>0.66330599999999995</v>
      </c>
    </row>
    <row r="3" spans="1:18">
      <c r="A3" s="1" t="str">
        <v>AI</v>
      </c>
      <c r="B3" s="1" t="s">
        <v>369</v>
      </c>
      <c r="C3" s="1" t="s">
        <v>74</v>
      </c>
      <c r="D3" s="1" t="s">
        <v>74</v>
      </c>
      <c r="E3" s="1" t="s">
        <v>74</v>
      </c>
      <c r="F3" s="1" t="s">
        <v>74</v>
      </c>
      <c r="G3" s="1" t="s">
        <v>74</v>
      </c>
      <c r="H3" s="1" t="s">
        <v>74</v>
      </c>
      <c r="I3" s="1" t="s">
        <v>74</v>
      </c>
      <c r="J3" s="1" t="s">
        <v>74</v>
      </c>
      <c r="K3" s="1" t="s">
        <v>74</v>
      </c>
      <c r="L3" s="1" t="s">
        <v>74</v>
      </c>
      <c r="M3" s="1" t="s">
        <v>74</v>
      </c>
      <c r="N3" s="1" t="s">
        <v>74</v>
      </c>
      <c r="O3" s="1">
        <v>1.4751000000000001</v>
      </c>
      <c r="P3" s="1">
        <v>1.2098</v>
      </c>
      <c r="Q3" s="1">
        <v>1.542</v>
      </c>
      <c r="R3" s="1" cm="1">
        <f t="array" ref="R3">IF(ISBLANK(B3),"",IFERROR(_FV(B3,"price"),INDEX('CoinGeko API'!E:E,MATCH(B3,'CoinGeko API'!C:C,0))))</f>
        <v>1.79</v>
      </c>
    </row>
    <row r="4" spans="1:18">
      <c r="A4" s="1" t="str">
        <v>ALEX</v>
      </c>
      <c r="B4" s="1" t="s">
        <v>310</v>
      </c>
      <c r="C4" s="1" t="s">
        <v>74</v>
      </c>
      <c r="D4" s="1" t="s">
        <v>74</v>
      </c>
      <c r="E4" s="1" t="s">
        <v>74</v>
      </c>
      <c r="F4" s="1" t="s">
        <v>74</v>
      </c>
      <c r="G4" s="1" t="s">
        <v>74</v>
      </c>
      <c r="H4" s="1">
        <v>8.3360000000000004E-2</v>
      </c>
      <c r="I4" s="1">
        <v>8.0299999999999996E-2</v>
      </c>
      <c r="J4" s="1">
        <v>6.6879999999999995E-2</v>
      </c>
      <c r="K4" s="1">
        <v>6.0780000000000001E-2</v>
      </c>
      <c r="L4" s="1">
        <v>5.0029999999999998E-2</v>
      </c>
      <c r="M4" s="1">
        <v>5.0040000000000001E-2</v>
      </c>
      <c r="N4" s="1">
        <v>7.3779999999999998E-2</v>
      </c>
      <c r="O4" s="1">
        <v>0.33596999999999999</v>
      </c>
      <c r="P4" s="1">
        <v>0.27413999999999999</v>
      </c>
      <c r="Q4" s="1">
        <v>0.37062</v>
      </c>
      <c r="R4" s="1" cm="1">
        <f t="array" ref="R4">IF(ISBLANK(B4),"",IFERROR(_FV(B4,"price"),INDEX('CoinGeko API'!E:E,MATCH(B4,'CoinGeko API'!C:C,0))))</f>
        <v>0.417099</v>
      </c>
    </row>
    <row r="5" spans="1:18">
      <c r="A5" s="1" t="str">
        <v>ALT</v>
      </c>
      <c r="B5" s="1" t="s">
        <v>373</v>
      </c>
      <c r="C5" s="1" t="s">
        <v>74</v>
      </c>
      <c r="D5" s="1" t="s">
        <v>74</v>
      </c>
      <c r="E5" s="1" t="s">
        <v>74</v>
      </c>
      <c r="F5" s="1" t="s">
        <v>74</v>
      </c>
      <c r="G5" s="1" t="s">
        <v>74</v>
      </c>
      <c r="H5" s="1" t="s">
        <v>74</v>
      </c>
      <c r="I5" s="1" t="s">
        <v>74</v>
      </c>
      <c r="J5" s="1" t="s">
        <v>74</v>
      </c>
      <c r="K5" s="1" t="s">
        <v>74</v>
      </c>
      <c r="L5" s="1" t="s">
        <v>74</v>
      </c>
      <c r="M5" s="1" t="s">
        <v>74</v>
      </c>
      <c r="N5" s="1" t="s">
        <v>74</v>
      </c>
      <c r="O5" s="1">
        <v>0.42220000000000002</v>
      </c>
      <c r="P5" s="1">
        <v>0.35110000000000002</v>
      </c>
      <c r="Q5" s="1">
        <v>0.46396999999999999</v>
      </c>
      <c r="R5" s="1" cm="1">
        <f t="array" ref="R5">IF(ISBLANK(B5),"",IFERROR(_FV(B5,"price"),INDEX('CoinGeko API'!E:E,MATCH(B5,'CoinGeko API'!C:C,0))))</f>
        <v>0.614263</v>
      </c>
    </row>
    <row r="6" spans="1:18">
      <c r="A6" s="1" t="str">
        <v>ARB</v>
      </c>
      <c r="B6" s="1" t="s">
        <v>358</v>
      </c>
      <c r="C6" s="1" t="s">
        <v>74</v>
      </c>
      <c r="D6" s="1" t="s">
        <v>74</v>
      </c>
      <c r="E6" s="1">
        <v>0.41370000000000001</v>
      </c>
      <c r="F6" s="1">
        <v>1.3931</v>
      </c>
      <c r="G6" s="1">
        <v>1.3713</v>
      </c>
      <c r="H6" s="1">
        <v>1.1600999999999999</v>
      </c>
      <c r="I6" s="1">
        <v>1.1666000000000001</v>
      </c>
      <c r="J6" s="1">
        <v>1.1679999999999999</v>
      </c>
      <c r="K6" s="1">
        <v>0.91479999999999995</v>
      </c>
      <c r="L6" s="1">
        <v>0.90990000000000004</v>
      </c>
      <c r="M6" s="1">
        <v>0.94340000000000002</v>
      </c>
      <c r="N6" s="1">
        <v>1.0044999999999999</v>
      </c>
      <c r="O6" s="1">
        <v>1.5588</v>
      </c>
      <c r="P6" s="1">
        <v>1.7618</v>
      </c>
      <c r="Q6" s="1">
        <v>1.9447000000000001</v>
      </c>
      <c r="R6" s="1" cm="1">
        <f t="array" ref="R6">IF(ISBLANK(B6),"",IFERROR(_FV(B6,"price"),INDEX('CoinGeko API'!E:E,MATCH(B6,'CoinGeko API'!C:C,0))))</f>
        <v>1.73</v>
      </c>
    </row>
    <row r="7" spans="1:18">
      <c r="A7" s="1" t="str">
        <v>ATOM</v>
      </c>
      <c r="B7" s="1" t="s">
        <v>52</v>
      </c>
      <c r="C7" s="1">
        <v>9.3550000000000004</v>
      </c>
      <c r="D7" s="1">
        <v>13.363</v>
      </c>
      <c r="E7" s="1">
        <v>12.279</v>
      </c>
      <c r="F7" s="1">
        <v>11.188000000000001</v>
      </c>
      <c r="G7" s="1">
        <v>11.513</v>
      </c>
      <c r="H7" s="1">
        <v>10.458</v>
      </c>
      <c r="I7" s="1">
        <v>9.2889999999999997</v>
      </c>
      <c r="J7" s="1">
        <v>8.8640000000000008</v>
      </c>
      <c r="K7" s="1">
        <v>6.9240000000000004</v>
      </c>
      <c r="L7" s="1">
        <v>7.2370000000000001</v>
      </c>
      <c r="M7" s="1">
        <v>7.9269999999999996</v>
      </c>
      <c r="N7" s="1">
        <v>9.2490000000000006</v>
      </c>
      <c r="O7" s="1">
        <v>10.6</v>
      </c>
      <c r="P7" s="1">
        <v>9.1080000000000005</v>
      </c>
      <c r="Q7" s="1">
        <v>11.278</v>
      </c>
      <c r="R7" s="1" cm="1">
        <f t="array" ref="R7">IF(ISBLANK(B7),"",IFERROR(_FV(B7,"price"),INDEX('CoinGeko API'!E:E,MATCH(B7,'CoinGeko API'!C:C,0))))</f>
        <v>12.33</v>
      </c>
    </row>
    <row r="8" spans="1:18">
      <c r="A8" s="1" t="str">
        <v>AVAX</v>
      </c>
      <c r="B8" s="1" t="s">
        <v>27</v>
      </c>
      <c r="C8" s="1">
        <v>10.9</v>
      </c>
      <c r="D8" s="1">
        <v>19.8</v>
      </c>
      <c r="E8" s="1">
        <v>17.100000000000001</v>
      </c>
      <c r="F8" s="1">
        <v>17.7</v>
      </c>
      <c r="G8" s="1">
        <v>17.100000000000001</v>
      </c>
      <c r="H8" s="1">
        <v>14.1</v>
      </c>
      <c r="I8" s="1">
        <v>13.03</v>
      </c>
      <c r="J8" s="1">
        <v>12.81</v>
      </c>
      <c r="K8" s="1">
        <v>9.98</v>
      </c>
      <c r="L8" s="1">
        <v>9.23</v>
      </c>
      <c r="M8" s="1">
        <v>11.32</v>
      </c>
      <c r="N8" s="1">
        <v>21.4</v>
      </c>
      <c r="O8" s="1">
        <v>38.57</v>
      </c>
      <c r="P8" s="1">
        <v>33.18</v>
      </c>
      <c r="Q8" s="1">
        <v>41.02</v>
      </c>
      <c r="R8" s="1" cm="1">
        <f t="array" ref="R8">IF(ISBLANK(B8),"",IFERROR(_FV(B8,"price"),INDEX('CoinGeko API'!E:E,MATCH(B8,'CoinGeko API'!C:C,0))))</f>
        <v>58.29</v>
      </c>
    </row>
    <row r="9" spans="1:18">
      <c r="A9" s="1" t="str">
        <v>BNB</v>
      </c>
      <c r="B9" s="1" t="s">
        <v>10</v>
      </c>
      <c r="C9" s="1">
        <v>246.3</v>
      </c>
      <c r="D9" s="1">
        <v>312.10000000000002</v>
      </c>
      <c r="E9" s="1">
        <v>301.5</v>
      </c>
      <c r="F9" s="1">
        <v>317</v>
      </c>
      <c r="G9" s="1">
        <v>337.5</v>
      </c>
      <c r="H9" s="1">
        <v>306.8</v>
      </c>
      <c r="I9" s="1">
        <v>240.4</v>
      </c>
      <c r="J9" s="1">
        <v>241</v>
      </c>
      <c r="K9" s="1">
        <v>216.7</v>
      </c>
      <c r="L9" s="1">
        <v>214.6</v>
      </c>
      <c r="M9" s="1">
        <v>226.3</v>
      </c>
      <c r="N9" s="1">
        <v>227.6</v>
      </c>
      <c r="O9" s="1">
        <v>311.89999999999998</v>
      </c>
      <c r="P9" s="1">
        <v>300.5</v>
      </c>
      <c r="Q9" s="1">
        <v>399.3</v>
      </c>
      <c r="R9" s="1" cm="1">
        <f t="array" ref="R9">IF(ISBLANK(B9),"",IFERROR(_FV(B9,"price"),INDEX('CoinGeko API'!E:E,MATCH(B9,'CoinGeko API'!C:C,0))))</f>
        <v>591.33000000000004</v>
      </c>
    </row>
    <row r="10" spans="1:18">
      <c r="A10" s="1" t="str">
        <v>BTC</v>
      </c>
      <c r="B10" s="1" t="s">
        <v>47</v>
      </c>
      <c r="C10" s="1">
        <v>16540.689999999999</v>
      </c>
      <c r="D10" s="1">
        <v>23137</v>
      </c>
      <c r="E10" s="1">
        <v>22367</v>
      </c>
      <c r="F10" s="1">
        <v>28517</v>
      </c>
      <c r="G10" s="1">
        <v>29362</v>
      </c>
      <c r="H10" s="1">
        <v>27245</v>
      </c>
      <c r="I10" s="1">
        <v>30481</v>
      </c>
      <c r="J10" s="1">
        <v>29233</v>
      </c>
      <c r="K10" s="1">
        <v>25927</v>
      </c>
      <c r="L10" s="1">
        <v>26970</v>
      </c>
      <c r="M10" s="1">
        <v>34672</v>
      </c>
      <c r="N10" s="1">
        <v>37712</v>
      </c>
      <c r="O10" s="1">
        <v>42208</v>
      </c>
      <c r="P10" s="1">
        <v>42583</v>
      </c>
      <c r="Q10" s="1">
        <v>61206</v>
      </c>
      <c r="R10" s="1" cm="1">
        <f t="array" ref="R10">IF(ISBLANK(B10),"",IFERROR(_FV(B10,"price"),INDEX('CoinGeko API'!E:E,MATCH(B10,'CoinGeko API'!C:C,0))))</f>
        <v>70232</v>
      </c>
    </row>
    <row r="11" spans="1:18">
      <c r="A11" s="1" t="str">
        <v>BTC.B</v>
      </c>
      <c r="B11" s="1" t="s">
        <v>353</v>
      </c>
      <c r="C11" s="1">
        <v>16598</v>
      </c>
      <c r="D11" s="1">
        <v>23118</v>
      </c>
      <c r="E11" s="1">
        <v>22411</v>
      </c>
      <c r="F11" s="1">
        <v>27420</v>
      </c>
      <c r="G11" s="1">
        <v>29293</v>
      </c>
      <c r="H11" s="1">
        <v>27155</v>
      </c>
      <c r="I11" s="1">
        <v>30465</v>
      </c>
      <c r="J11" s="1">
        <v>29247</v>
      </c>
      <c r="K11" s="1">
        <v>26010</v>
      </c>
      <c r="L11" s="1">
        <v>26962</v>
      </c>
      <c r="M11" s="1">
        <v>37592</v>
      </c>
      <c r="N11" s="1">
        <v>37728</v>
      </c>
      <c r="O11" s="1">
        <v>42170</v>
      </c>
      <c r="P11" s="1">
        <v>42958</v>
      </c>
      <c r="Q11" s="1">
        <v>61420</v>
      </c>
      <c r="R11" s="1" cm="1">
        <f t="array" ref="R11">IF(ISBLANK(B11),"",IFERROR(_FV(B11,"price"),INDEX('CoinGeko API'!E:E,MATCH(B11,'CoinGeko API'!C:C,0))))</f>
        <v>70159</v>
      </c>
    </row>
    <row r="12" spans="1:18">
      <c r="A12" s="1" t="str">
        <v>BTCB</v>
      </c>
      <c r="B12" s="1" t="s">
        <v>60</v>
      </c>
      <c r="C12" s="1">
        <v>16538.490000000002</v>
      </c>
      <c r="D12" s="1">
        <v>23140</v>
      </c>
      <c r="E12" s="1">
        <v>22345</v>
      </c>
      <c r="F12" s="1">
        <v>28465</v>
      </c>
      <c r="G12" s="1">
        <v>29403</v>
      </c>
      <c r="H12" s="1">
        <v>27318</v>
      </c>
      <c r="I12" s="1">
        <v>30506</v>
      </c>
      <c r="J12" s="1">
        <v>29210</v>
      </c>
      <c r="K12" s="1">
        <v>25928</v>
      </c>
      <c r="L12" s="1">
        <v>26917</v>
      </c>
      <c r="M12" s="1">
        <v>34745</v>
      </c>
      <c r="N12" s="1">
        <v>37659</v>
      </c>
      <c r="O12" s="1">
        <v>42097</v>
      </c>
      <c r="P12" s="1">
        <v>42616</v>
      </c>
      <c r="Q12" s="1">
        <v>61043</v>
      </c>
      <c r="R12" s="1" cm="1">
        <f t="array" ref="R12">IF(ISBLANK(B12),"",IFERROR(_FV(B12,"price"),INDEX('CoinGeko API'!E:E,MATCH(B12,'CoinGeko API'!C:C,0))))</f>
        <v>70224</v>
      </c>
    </row>
    <row r="13" spans="1:18">
      <c r="A13" s="1" t="str">
        <v>COQ</v>
      </c>
      <c r="B13" s="1" t="s">
        <v>510</v>
      </c>
      <c r="C13" s="1" t="s">
        <v>74</v>
      </c>
      <c r="D13" s="1" t="s">
        <v>74</v>
      </c>
      <c r="E13" s="1" t="s">
        <v>74</v>
      </c>
      <c r="F13" s="1" t="s">
        <v>74</v>
      </c>
      <c r="G13" s="1" t="s">
        <v>74</v>
      </c>
      <c r="H13" s="1" t="s">
        <v>74</v>
      </c>
      <c r="I13" s="1" t="s">
        <v>74</v>
      </c>
      <c r="J13" s="1" t="s">
        <v>74</v>
      </c>
      <c r="K13" s="1" t="s">
        <v>74</v>
      </c>
      <c r="L13" s="1" t="s">
        <v>74</v>
      </c>
      <c r="M13" s="1" t="s">
        <v>74</v>
      </c>
      <c r="N13" s="1">
        <v>8.3299999999999998E-8</v>
      </c>
      <c r="O13" s="1">
        <v>2.1900000000000002E-6</v>
      </c>
      <c r="P13" s="1">
        <v>1.0499999999999999E-6</v>
      </c>
      <c r="Q13" s="1">
        <v>2.1500000000000002E-6</v>
      </c>
      <c r="R13" s="1" cm="1">
        <f t="array" ref="R13">IF(ISBLANK(B13),"",IFERROR(_FV(B13,"price"),INDEX('CoinGeko API'!E:E,MATCH(B13,'CoinGeko API'!C:C,0))))</f>
        <v>4.7099999999999998E-6</v>
      </c>
    </row>
    <row r="14" spans="1:18">
      <c r="A14" s="1" t="str">
        <v>CRO</v>
      </c>
      <c r="B14" s="1" t="s">
        <v>295</v>
      </c>
      <c r="C14" s="1">
        <v>5.6154999999999997E-2</v>
      </c>
      <c r="D14" s="1">
        <v>7.3002999999999998E-2</v>
      </c>
      <c r="E14" s="1">
        <v>7.9144000000000006E-2</v>
      </c>
      <c r="F14" s="1">
        <v>6.9461999999999996E-2</v>
      </c>
      <c r="G14" s="1">
        <v>7.3000999999999996E-2</v>
      </c>
      <c r="H14" s="1">
        <v>5.8201000000000003E-2</v>
      </c>
      <c r="I14" s="1">
        <v>5.5100000000000003E-2</v>
      </c>
      <c r="J14" s="1">
        <v>6.3419000000000003E-2</v>
      </c>
      <c r="K14" s="1">
        <v>4.8652000000000001E-2</v>
      </c>
      <c r="L14" s="1">
        <v>5.2999999999999999E-2</v>
      </c>
      <c r="M14" s="1">
        <v>5.2750999999999999E-2</v>
      </c>
      <c r="N14" s="1">
        <v>9.4801999999999997E-2</v>
      </c>
      <c r="O14" s="1">
        <v>0.1</v>
      </c>
      <c r="P14" s="1">
        <v>7.7200000000000005E-2</v>
      </c>
      <c r="Q14" s="1">
        <v>0.81368499999999999</v>
      </c>
      <c r="R14" s="1" cm="1">
        <f t="array" ref="R14">IF(ISBLANK(B14),"",IFERROR(_FV(B14,"price"),INDEX('CoinGeko API'!E:E,MATCH(B14,'CoinGeko API'!C:C,0))))</f>
        <v>0.14974999999999999</v>
      </c>
    </row>
    <row r="15" spans="1:18">
      <c r="A15" s="1" t="str">
        <v>CTSI</v>
      </c>
      <c r="B15" s="1" t="s">
        <v>8</v>
      </c>
      <c r="C15" s="1">
        <v>0.10340000000000001</v>
      </c>
      <c r="D15" s="1">
        <v>0.15129999999999999</v>
      </c>
      <c r="E15" s="1">
        <v>0.15989999999999999</v>
      </c>
      <c r="F15" s="1">
        <v>0.14380000000000001</v>
      </c>
      <c r="G15" s="1">
        <v>0.2344</v>
      </c>
      <c r="H15" s="1">
        <v>0.17979999999999999</v>
      </c>
      <c r="I15" s="1">
        <v>0.15409999999999999</v>
      </c>
      <c r="J15" s="1">
        <v>0.14080000000000001</v>
      </c>
      <c r="K15" s="1">
        <v>0.1187</v>
      </c>
      <c r="L15" s="1">
        <v>0.13109999999999999</v>
      </c>
      <c r="M15" s="1">
        <v>0.14380000000000001</v>
      </c>
      <c r="N15" s="1">
        <v>0.15340000000000001</v>
      </c>
      <c r="O15" s="1">
        <v>0.20910000000000001</v>
      </c>
      <c r="P15" s="1">
        <v>0.23300000000000001</v>
      </c>
      <c r="Q15" s="1">
        <v>0.39489400000000002</v>
      </c>
      <c r="R15" s="1" cm="1">
        <f t="array" ref="R15">IF(ISBLANK(B15),"",IFERROR(_FV(B15,"price"),INDEX('CoinGeko API'!E:E,MATCH(B15,'CoinGeko API'!C:C,0))))</f>
        <v>0.32267000000000001</v>
      </c>
    </row>
    <row r="16" spans="1:18">
      <c r="A16" s="1" t="str">
        <v>DESO</v>
      </c>
      <c r="B16" s="1" t="s">
        <v>393</v>
      </c>
      <c r="C16" s="1">
        <v>6.42</v>
      </c>
      <c r="D16" s="1">
        <v>10.050000000000001</v>
      </c>
      <c r="E16" s="1">
        <v>8.93</v>
      </c>
      <c r="F16" s="1">
        <v>11.1</v>
      </c>
      <c r="G16" s="1">
        <v>13.19</v>
      </c>
      <c r="H16" s="1">
        <v>10.119999999999999</v>
      </c>
      <c r="I16" s="1">
        <v>8.25</v>
      </c>
      <c r="J16" s="1">
        <v>8.94</v>
      </c>
      <c r="K16" s="1">
        <v>8.9</v>
      </c>
      <c r="L16" s="1">
        <v>8.89</v>
      </c>
      <c r="M16" s="1">
        <v>8.5500000000000007</v>
      </c>
      <c r="N16" s="1">
        <v>11.07</v>
      </c>
      <c r="O16" s="1">
        <v>38.18</v>
      </c>
      <c r="P16" s="1">
        <v>37.65</v>
      </c>
      <c r="Q16" s="1">
        <v>39.79</v>
      </c>
      <c r="R16" s="1" cm="1">
        <f t="array" ref="R16">IF(ISBLANK(B16),"",IFERROR(_FV(B16,"price"),INDEX('CoinGeko API'!E:E,MATCH(B16,'CoinGeko API'!C:C,0))))</f>
        <v>34</v>
      </c>
    </row>
    <row r="17" spans="1:18">
      <c r="A17" s="1" t="str">
        <v>DOGE</v>
      </c>
      <c r="B17" s="1" t="s">
        <v>51</v>
      </c>
      <c r="C17" s="1">
        <v>7.0239999999999997E-2</v>
      </c>
      <c r="D17" s="1">
        <v>9.6129999999999993E-2</v>
      </c>
      <c r="E17" s="1">
        <v>8.0850000000000005E-2</v>
      </c>
      <c r="F17" s="1">
        <v>7.6950000000000005E-2</v>
      </c>
      <c r="G17" s="1">
        <v>7.9500000000000001E-2</v>
      </c>
      <c r="H17" s="1">
        <v>7.1650000000000005E-2</v>
      </c>
      <c r="I17" s="1">
        <v>6.6460000000000005E-2</v>
      </c>
      <c r="J17" s="1">
        <v>7.7859999999999999E-2</v>
      </c>
      <c r="K17" s="1">
        <v>6.3789999999999999E-2</v>
      </c>
      <c r="L17" s="1">
        <v>6.207E-2</v>
      </c>
      <c r="M17" s="1">
        <v>6.8269999999999997E-2</v>
      </c>
      <c r="N17" s="1">
        <v>8.344E-2</v>
      </c>
      <c r="O17" s="1">
        <v>8.9560000000000001E-2</v>
      </c>
      <c r="P17" s="1">
        <v>7.8740000000000004E-2</v>
      </c>
      <c r="Q17" s="1">
        <v>0.117381</v>
      </c>
      <c r="R17" s="1" cm="1">
        <f t="array" ref="R17">IF(ISBLANK(B17),"",IFERROR(_FV(B17,"price"),INDEX('CoinGeko API'!E:E,MATCH(B17,'CoinGeko API'!C:C,0))))</f>
        <v>0.17783299999999999</v>
      </c>
    </row>
    <row r="18" spans="1:18">
      <c r="A18" s="1" t="str">
        <v>DOT</v>
      </c>
      <c r="B18" s="1" t="s">
        <v>15</v>
      </c>
      <c r="C18" s="1">
        <v>4.3079999999999998</v>
      </c>
      <c r="D18" s="1">
        <v>6.26</v>
      </c>
      <c r="E18" s="1">
        <v>6.3490000000000002</v>
      </c>
      <c r="F18" s="1">
        <v>6.343</v>
      </c>
      <c r="G18" s="1">
        <v>5.8769999999999998</v>
      </c>
      <c r="H18" s="1">
        <v>5.3150000000000004</v>
      </c>
      <c r="I18" s="1">
        <v>5.18</v>
      </c>
      <c r="J18" s="1">
        <v>5.109</v>
      </c>
      <c r="K18" s="1">
        <v>4.2709999999999999</v>
      </c>
      <c r="L18" s="1">
        <v>4.1040000000000001</v>
      </c>
      <c r="M18" s="1">
        <v>4.4480000000000004</v>
      </c>
      <c r="N18" s="1">
        <v>5.4729999999999999</v>
      </c>
      <c r="O18" s="1">
        <v>8.2029999999999994</v>
      </c>
      <c r="P18" s="1">
        <v>6.6529999999999996</v>
      </c>
      <c r="Q18" s="1">
        <v>8.24</v>
      </c>
      <c r="R18" s="1" cm="1">
        <f t="array" ref="R18">IF(ISBLANK(B18),"",IFERROR(_FV(B18,"price"),INDEX('CoinGeko API'!E:E,MATCH(B18,'CoinGeko API'!C:C,0))))</f>
        <v>9.8800000000000008</v>
      </c>
    </row>
    <row r="19" spans="1:18">
      <c r="A19" s="1" t="str">
        <v>DYM</v>
      </c>
      <c r="B19" s="1" t="s">
        <v>518</v>
      </c>
      <c r="C19" s="1" t="s">
        <v>74</v>
      </c>
      <c r="D19" s="1" t="s">
        <v>74</v>
      </c>
      <c r="E19" s="1" t="s">
        <v>74</v>
      </c>
      <c r="F19" s="1" t="s">
        <v>74</v>
      </c>
      <c r="G19" s="1" t="s">
        <v>74</v>
      </c>
      <c r="H19" s="1" t="s">
        <v>74</v>
      </c>
      <c r="I19" s="1" t="s">
        <v>74</v>
      </c>
      <c r="J19" s="1" t="s">
        <v>74</v>
      </c>
      <c r="K19" s="1" t="s">
        <v>74</v>
      </c>
      <c r="L19" s="1" t="s">
        <v>74</v>
      </c>
      <c r="M19" s="1" t="s">
        <v>74</v>
      </c>
      <c r="N19" s="1" t="s">
        <v>74</v>
      </c>
      <c r="O19" s="1" t="s">
        <v>74</v>
      </c>
      <c r="P19" s="1">
        <v>3.95</v>
      </c>
      <c r="Q19" s="1">
        <v>5.66</v>
      </c>
      <c r="R19" s="1" cm="1">
        <f t="array" ref="R19">IF(ISBLANK(B19),"",IFERROR(_FV(B19,"price"),INDEX('CoinGeko API'!E:E,MATCH(B19,'CoinGeko API'!C:C,0))))</f>
        <v>6.06</v>
      </c>
    </row>
    <row r="20" spans="1:18">
      <c r="A20" s="1" t="str">
        <v>ETH</v>
      </c>
      <c r="B20" s="1" t="s">
        <v>23</v>
      </c>
      <c r="C20" s="1">
        <v>1196.1300000000001</v>
      </c>
      <c r="D20" s="1">
        <v>1585.32</v>
      </c>
      <c r="E20" s="1">
        <v>1605.24</v>
      </c>
      <c r="F20" s="1">
        <v>1821.52</v>
      </c>
      <c r="G20" s="1">
        <v>1870.08</v>
      </c>
      <c r="H20" s="1">
        <v>1873.63</v>
      </c>
      <c r="I20" s="1">
        <v>1933.8</v>
      </c>
      <c r="J20" s="1">
        <v>1856.13</v>
      </c>
      <c r="K20" s="1">
        <v>1645.77</v>
      </c>
      <c r="L20" s="1">
        <v>1670.89</v>
      </c>
      <c r="M20" s="1">
        <v>1814.67</v>
      </c>
      <c r="N20" s="1">
        <v>2051.9499999999998</v>
      </c>
      <c r="O20" s="1">
        <v>2281.87</v>
      </c>
      <c r="P20" s="1">
        <v>2283.15</v>
      </c>
      <c r="Q20" s="1">
        <v>3341.83</v>
      </c>
      <c r="R20" s="1" cm="1">
        <f t="array" ref="R20">IF(ISBLANK(B20),"",IFERROR(_FV(B20,"price"),INDEX('CoinGeko API'!E:E,MATCH(B20,'CoinGeko API'!C:C,0))))</f>
        <v>3610.03</v>
      </c>
    </row>
    <row r="21" spans="1:18">
      <c r="A21" s="1" t="str">
        <v>FIL</v>
      </c>
      <c r="B21" s="1" t="s">
        <v>12</v>
      </c>
      <c r="C21" s="1">
        <v>3.0089999999999999</v>
      </c>
      <c r="D21" s="1">
        <v>5.2290000000000001</v>
      </c>
      <c r="E21" s="1">
        <v>6.484</v>
      </c>
      <c r="F21" s="1">
        <v>5.6859999999999999</v>
      </c>
      <c r="G21" s="1">
        <v>5.4169999999999998</v>
      </c>
      <c r="H21" s="1">
        <v>4.6929999999999996</v>
      </c>
      <c r="I21" s="1">
        <v>3.948</v>
      </c>
      <c r="J21" s="1">
        <v>4.258</v>
      </c>
      <c r="K21" s="1">
        <v>3.2160000000000002</v>
      </c>
      <c r="L21" s="1">
        <v>3.3540000000000001</v>
      </c>
      <c r="M21" s="1">
        <v>3.8279999999999998</v>
      </c>
      <c r="N21" s="1">
        <v>4.3840000000000003</v>
      </c>
      <c r="O21" s="1">
        <v>6.9210000000000003</v>
      </c>
      <c r="P21" s="1">
        <v>4.9589999999999996</v>
      </c>
      <c r="Q21" s="1">
        <v>8.1300000000000008</v>
      </c>
      <c r="R21" s="1" cm="1">
        <f t="array" ref="R21">IF(ISBLANK(B21),"",IFERROR(_FV(B21,"price"),INDEX('CoinGeko API'!E:E,MATCH(B21,'CoinGeko API'!C:C,0))))</f>
        <v>9.4</v>
      </c>
    </row>
    <row r="22" spans="1:18">
      <c r="A22" s="1" t="str">
        <v>FTM</v>
      </c>
      <c r="B22" s="1" t="s">
        <v>72</v>
      </c>
      <c r="C22" s="1">
        <v>0.19989999999999999</v>
      </c>
      <c r="D22" s="1">
        <v>0.53680000000000005</v>
      </c>
      <c r="E22" s="1">
        <v>0.4284</v>
      </c>
      <c r="F22" s="1">
        <v>0.47570000000000001</v>
      </c>
      <c r="G22" s="1">
        <v>0.42280000000000001</v>
      </c>
      <c r="H22" s="1">
        <v>0.31240000000000001</v>
      </c>
      <c r="I22" s="1">
        <v>0.3044</v>
      </c>
      <c r="J22" s="1">
        <v>0.2349</v>
      </c>
      <c r="K22" s="1">
        <v>0.20019999999999999</v>
      </c>
      <c r="L22" s="1">
        <v>0.19919999999999999</v>
      </c>
      <c r="M22" s="1">
        <v>0.24079999999999999</v>
      </c>
      <c r="N22" s="1">
        <v>0.30370000000000003</v>
      </c>
      <c r="O22" s="1">
        <v>0.47410000000000002</v>
      </c>
      <c r="P22" s="1">
        <v>0.35239999999999999</v>
      </c>
      <c r="Q22" s="1">
        <v>0.46238200000000002</v>
      </c>
      <c r="R22" s="1" cm="1">
        <f t="array" ref="R22">IF(ISBLANK(B22),"",IFERROR(_FV(B22,"price"),INDEX('CoinGeko API'!E:E,MATCH(B22,'CoinGeko API'!C:C,0))))</f>
        <v>1.1299999999999999</v>
      </c>
    </row>
    <row r="23" spans="1:18">
      <c r="A23" s="1" t="str">
        <v>GALA</v>
      </c>
      <c r="B23" s="1" t="s">
        <v>14</v>
      </c>
      <c r="C23" s="1">
        <v>1.6688000000000001E-2</v>
      </c>
      <c r="D23" s="1">
        <v>5.6179E-2</v>
      </c>
      <c r="E23" s="1">
        <v>3.7457999999999998E-2</v>
      </c>
      <c r="F23" s="1">
        <v>4.1473999999999997E-2</v>
      </c>
      <c r="G23" s="1">
        <v>3.8556E-2</v>
      </c>
      <c r="H23" s="1">
        <v>3.0116500000000001E-2</v>
      </c>
      <c r="I23" s="1">
        <v>2.4591209999999999E-2</v>
      </c>
      <c r="J23" s="1">
        <v>2.2813799999999999E-2</v>
      </c>
      <c r="K23" s="1">
        <v>1.6726890000000001E-2</v>
      </c>
      <c r="L23" s="1">
        <v>1.4208999999999999E-2</v>
      </c>
      <c r="M23" s="1">
        <v>1.8616770000000001E-2</v>
      </c>
      <c r="N23" s="1">
        <v>2.671457E-2</v>
      </c>
      <c r="O23" s="1">
        <v>3.0310090000000001E-2</v>
      </c>
      <c r="P23" s="1">
        <v>2.2343459999999999E-2</v>
      </c>
      <c r="Q23" s="1">
        <v>3.9633189999999999E-2</v>
      </c>
      <c r="R23" s="1" cm="1">
        <f t="array" ref="R23">IF(ISBLANK(B23),"",IFERROR(_FV(B23,"price"),INDEX('CoinGeko API'!E:E,MATCH(B23,'CoinGeko API'!C:C,0))))</f>
        <v>7.0740999999999998E-2</v>
      </c>
    </row>
    <row r="24" spans="1:18">
      <c r="A24" s="1" t="str">
        <v>gDAI</v>
      </c>
      <c r="B24" s="1" t="s">
        <v>88</v>
      </c>
      <c r="C24" s="1" t="s">
        <v>74</v>
      </c>
      <c r="D24" s="1" t="s">
        <v>74</v>
      </c>
      <c r="E24" s="1" t="s">
        <v>74</v>
      </c>
      <c r="F24" s="1" t="s">
        <v>74</v>
      </c>
      <c r="G24" s="1" t="s">
        <v>74</v>
      </c>
      <c r="H24" s="1" t="s">
        <v>74</v>
      </c>
      <c r="I24" s="1" t="s">
        <v>74</v>
      </c>
      <c r="J24" s="1" t="s">
        <v>74</v>
      </c>
      <c r="K24" s="1" t="s">
        <v>74</v>
      </c>
      <c r="L24" s="1" t="s">
        <v>74</v>
      </c>
      <c r="M24" s="1" t="s">
        <v>74</v>
      </c>
      <c r="N24" s="1" t="s">
        <v>74</v>
      </c>
      <c r="O24" s="1">
        <v>2.16</v>
      </c>
      <c r="P24" s="1">
        <v>2.16</v>
      </c>
      <c r="Q24" s="1">
        <v>2.16</v>
      </c>
      <c r="R24" s="1">
        <v>2.16</v>
      </c>
    </row>
    <row r="25" spans="1:18">
      <c r="A25" s="1" t="str">
        <v>GLP</v>
      </c>
      <c r="B25" s="1" t="s">
        <v>93</v>
      </c>
      <c r="C25" s="1" t="s">
        <v>74</v>
      </c>
      <c r="D25" s="1" t="s">
        <v>74</v>
      </c>
      <c r="E25" s="1" t="s">
        <v>74</v>
      </c>
      <c r="F25" s="1" t="s">
        <v>74</v>
      </c>
      <c r="G25" s="1" t="s">
        <v>74</v>
      </c>
      <c r="H25" s="1" t="s">
        <v>74</v>
      </c>
      <c r="I25" s="1" t="s">
        <v>74</v>
      </c>
      <c r="J25" s="1" t="s">
        <v>74</v>
      </c>
      <c r="K25" s="1" t="s">
        <v>74</v>
      </c>
      <c r="L25" s="1">
        <v>0.8</v>
      </c>
      <c r="M25" s="1">
        <v>0.8</v>
      </c>
      <c r="N25" s="1">
        <v>0.82</v>
      </c>
      <c r="O25" s="1">
        <v>0.9</v>
      </c>
      <c r="P25" s="1">
        <v>0.88</v>
      </c>
      <c r="Q25" s="1">
        <v>0.92</v>
      </c>
      <c r="R25" s="1">
        <v>0.95799999999999996</v>
      </c>
    </row>
    <row r="26" spans="1:18">
      <c r="A26" s="1" t="str">
        <v>HIGH</v>
      </c>
      <c r="B26" s="1" t="s">
        <v>9</v>
      </c>
      <c r="C26" s="1">
        <v>0.8841</v>
      </c>
      <c r="D26" s="1">
        <v>3.556</v>
      </c>
      <c r="E26" s="1">
        <v>2.7965</v>
      </c>
      <c r="F26" s="1">
        <v>2.1608999999999998</v>
      </c>
      <c r="G26" s="1">
        <v>2.0310000000000001</v>
      </c>
      <c r="H26" s="1">
        <v>1.9786999999999999</v>
      </c>
      <c r="I26" s="1">
        <v>1.2219</v>
      </c>
      <c r="J26" s="1">
        <v>1.1820999999999999</v>
      </c>
      <c r="K26" s="1">
        <v>1.1466000000000001</v>
      </c>
      <c r="L26" s="1">
        <v>1.2525999999999999</v>
      </c>
      <c r="M26" s="1">
        <v>1.2948999999999999</v>
      </c>
      <c r="N26" s="1">
        <v>1.3763000000000001</v>
      </c>
      <c r="O26" s="1">
        <v>1.6001000000000001</v>
      </c>
      <c r="P26" s="1">
        <v>1.4348000000000001</v>
      </c>
      <c r="Q26" s="1">
        <v>1.94</v>
      </c>
      <c r="R26" s="1" cm="1">
        <f t="array" ref="R26">IF(ISBLANK(B26),"",IFERROR(_FV(B26,"price"),INDEX('CoinGeko API'!E:E,MATCH(B26,'CoinGeko API'!C:C,0))))</f>
        <v>2.08</v>
      </c>
    </row>
    <row r="27" spans="1:18">
      <c r="A27" s="1" t="str">
        <v>ICP</v>
      </c>
      <c r="B27" s="1" t="s">
        <v>372</v>
      </c>
      <c r="C27" s="1">
        <v>3.9319999999999999</v>
      </c>
      <c r="D27" s="1">
        <v>5.8680000000000003</v>
      </c>
      <c r="E27" s="1">
        <v>5.7990000000000004</v>
      </c>
      <c r="F27" s="1">
        <v>5.19</v>
      </c>
      <c r="G27" s="1">
        <v>6.4050000000000002</v>
      </c>
      <c r="H27" s="1">
        <v>4.68</v>
      </c>
      <c r="I27" s="1">
        <v>4.0970000000000004</v>
      </c>
      <c r="J27" s="1">
        <v>4.2119999999999997</v>
      </c>
      <c r="K27" s="1">
        <v>3.3410000000000002</v>
      </c>
      <c r="L27" s="1">
        <v>3.161</v>
      </c>
      <c r="M27" s="1">
        <v>3.9409999999999998</v>
      </c>
      <c r="N27" s="1">
        <v>4.5620000000000003</v>
      </c>
      <c r="O27" s="1">
        <v>13.295999999999999</v>
      </c>
      <c r="P27" s="1">
        <v>11.47</v>
      </c>
      <c r="Q27" s="1">
        <v>12.6</v>
      </c>
      <c r="R27" s="1" cm="1">
        <f t="array" ref="R27">IF(ISBLANK(B27),"",IFERROR(_FV(B27,"price"),INDEX('CoinGeko API'!E:E,MATCH(B27,'CoinGeko API'!C:C,0))))</f>
        <v>18.350000000000001</v>
      </c>
    </row>
    <row r="28" spans="1:18">
      <c r="A28" s="1" t="str">
        <v>LINK</v>
      </c>
      <c r="B28" s="1" t="s">
        <v>49</v>
      </c>
      <c r="C28" s="1">
        <v>5.57</v>
      </c>
      <c r="D28" s="1">
        <v>6.97</v>
      </c>
      <c r="E28" s="1">
        <v>7.19</v>
      </c>
      <c r="F28" s="1">
        <v>7.59</v>
      </c>
      <c r="G28" s="1">
        <v>7.05</v>
      </c>
      <c r="H28" s="1">
        <v>6.51</v>
      </c>
      <c r="I28" s="1">
        <v>6.3</v>
      </c>
      <c r="J28" s="1">
        <v>7.5</v>
      </c>
      <c r="K28" s="1">
        <v>5.87</v>
      </c>
      <c r="L28" s="1">
        <v>8.16</v>
      </c>
      <c r="M28" s="1">
        <v>11.36</v>
      </c>
      <c r="N28" s="1">
        <v>14.31</v>
      </c>
      <c r="O28" s="1">
        <v>14.89</v>
      </c>
      <c r="P28" s="1">
        <v>15.44</v>
      </c>
      <c r="Q28" s="1">
        <v>19.25</v>
      </c>
      <c r="R28" s="1" cm="1">
        <f t="array" ref="R28">IF(ISBLANK(B28),"",IFERROR(_FV(B28,"price"),INDEX('CoinGeko API'!E:E,MATCH(B28,'CoinGeko API'!C:C,0))))</f>
        <v>19.57</v>
      </c>
    </row>
    <row r="29" spans="1:18">
      <c r="A29" s="1" t="str">
        <v>liveTHE</v>
      </c>
      <c r="B29" s="1" t="s">
        <v>365</v>
      </c>
      <c r="C29" s="1" t="s">
        <v>74</v>
      </c>
      <c r="D29" s="1" t="s">
        <v>74</v>
      </c>
      <c r="E29" s="1" t="s">
        <v>74</v>
      </c>
      <c r="F29" s="1" t="s">
        <v>74</v>
      </c>
      <c r="G29" s="1" t="s">
        <v>74</v>
      </c>
      <c r="H29" s="1" t="s">
        <v>74</v>
      </c>
      <c r="I29" s="1" t="s">
        <v>74</v>
      </c>
      <c r="J29" s="1" t="s">
        <v>74</v>
      </c>
      <c r="K29" s="1" t="s">
        <v>74</v>
      </c>
      <c r="L29" s="1" t="s">
        <v>74</v>
      </c>
      <c r="M29" s="1" t="s">
        <v>74</v>
      </c>
      <c r="N29" s="1">
        <v>0.13367000000000001</v>
      </c>
      <c r="O29" s="1">
        <v>0.21976499999999999</v>
      </c>
      <c r="P29" s="1">
        <v>0.161582</v>
      </c>
      <c r="Q29" s="1">
        <v>0.215421</v>
      </c>
      <c r="R29" s="1" cm="1">
        <f t="array" ref="R29">IF(ISBLANK(B29),"",IFERROR(_FV(B29,"price"),INDEX('CoinGeko API'!E:E,MATCH(B29,'CoinGeko API'!C:C,0))))</f>
        <v>0.45867000000000002</v>
      </c>
    </row>
    <row r="30" spans="1:18">
      <c r="A30" s="1" t="str">
        <v>MAGIC</v>
      </c>
      <c r="B30" s="1" t="s">
        <v>54</v>
      </c>
      <c r="C30" s="1">
        <v>0.49130000000000001</v>
      </c>
      <c r="D30" s="1">
        <v>1.3301000000000001</v>
      </c>
      <c r="E30" s="1">
        <v>1.5041</v>
      </c>
      <c r="F30" s="1">
        <v>1.41</v>
      </c>
      <c r="G30" s="1">
        <v>1.1609</v>
      </c>
      <c r="H30" s="1">
        <v>0.94879999999999998</v>
      </c>
      <c r="I30" s="1">
        <v>0.87749999999999995</v>
      </c>
      <c r="J30" s="1">
        <v>0.74180000000000001</v>
      </c>
      <c r="K30" s="1">
        <v>0.49509999999999998</v>
      </c>
      <c r="L30" s="1">
        <v>0.54090000000000005</v>
      </c>
      <c r="M30" s="1">
        <v>0.57530000000000003</v>
      </c>
      <c r="N30" s="1">
        <v>0.78180000000000005</v>
      </c>
      <c r="O30" s="1">
        <v>1.0773999999999999</v>
      </c>
      <c r="P30" s="1">
        <v>1.1967000000000001</v>
      </c>
      <c r="Q30" s="1">
        <v>1.2</v>
      </c>
      <c r="R30" s="1" cm="1">
        <f t="array" ref="R30">IF(ISBLANK(B30),"",IFERROR(_FV(B30,"price"),INDEX('CoinGeko API'!E:E,MATCH(B30,'CoinGeko API'!C:C,0))))</f>
        <v>1.21</v>
      </c>
    </row>
    <row r="31" spans="1:18">
      <c r="A31" s="1" t="str">
        <v>MANTA</v>
      </c>
      <c r="B31" s="1" t="s">
        <v>368</v>
      </c>
      <c r="C31" s="1" t="s">
        <v>74</v>
      </c>
      <c r="D31" s="1" t="s">
        <v>74</v>
      </c>
      <c r="E31" s="1" t="s">
        <v>74</v>
      </c>
      <c r="F31" s="1" t="s">
        <v>74</v>
      </c>
      <c r="G31" s="1" t="s">
        <v>74</v>
      </c>
      <c r="H31" s="1" t="s">
        <v>74</v>
      </c>
      <c r="I31" s="1" t="s">
        <v>74</v>
      </c>
      <c r="J31" s="1" t="s">
        <v>74</v>
      </c>
      <c r="K31" s="1" t="s">
        <v>74</v>
      </c>
      <c r="L31" s="1" t="s">
        <v>74</v>
      </c>
      <c r="M31" s="1" t="s">
        <v>74</v>
      </c>
      <c r="N31" s="1" t="s">
        <v>74</v>
      </c>
      <c r="O31" s="1">
        <v>2.1328999999999998</v>
      </c>
      <c r="P31" s="1">
        <v>3.0192999999999999</v>
      </c>
      <c r="Q31" s="1">
        <v>2.66</v>
      </c>
      <c r="R31" s="1" cm="1">
        <f t="array" ref="R31">IF(ISBLANK(B31),"",IFERROR(_FV(B31,"price"),INDEX('CoinGeko API'!E:E,MATCH(B31,'CoinGeko API'!C:C,0))))</f>
        <v>3.23</v>
      </c>
    </row>
    <row r="32" spans="1:18">
      <c r="A32" s="1" t="str">
        <v>MATIC</v>
      </c>
      <c r="B32" s="1" t="s">
        <v>50</v>
      </c>
      <c r="C32" s="1">
        <v>0.76049999999999995</v>
      </c>
      <c r="D32" s="1">
        <v>1.1125</v>
      </c>
      <c r="E32" s="1">
        <v>1.2012</v>
      </c>
      <c r="F32" s="1">
        <v>1.1234999999999999</v>
      </c>
      <c r="G32" s="1">
        <v>0.98340000000000005</v>
      </c>
      <c r="H32" s="1">
        <v>0.88790000000000002</v>
      </c>
      <c r="I32" s="1">
        <v>0.66120000000000001</v>
      </c>
      <c r="J32" s="1">
        <v>0.69089999999999996</v>
      </c>
      <c r="K32" s="1">
        <v>0.54879999999999995</v>
      </c>
      <c r="L32" s="1">
        <v>0.53139999999999998</v>
      </c>
      <c r="M32" s="1">
        <v>0.63100000000000001</v>
      </c>
      <c r="N32" s="1">
        <v>0.76429999999999998</v>
      </c>
      <c r="O32" s="1">
        <v>0.97140000000000004</v>
      </c>
      <c r="P32" s="1">
        <v>0.78410000000000002</v>
      </c>
      <c r="Q32" s="1">
        <v>0.99967700000000004</v>
      </c>
      <c r="R32" s="1" cm="1">
        <f t="array" ref="R32">IF(ISBLANK(B32),"",IFERROR(_FV(B32,"price"),INDEX('CoinGeko API'!E:E,MATCH(B32,'CoinGeko API'!C:C,0))))</f>
        <v>1.054</v>
      </c>
    </row>
    <row r="33" spans="1:18">
      <c r="A33" s="1" t="str">
        <v>MNT</v>
      </c>
      <c r="B33" s="1" t="s">
        <v>25</v>
      </c>
      <c r="C33" s="1" t="s">
        <v>74</v>
      </c>
      <c r="D33" s="1" t="s">
        <v>74</v>
      </c>
      <c r="E33" s="1" t="s">
        <v>74</v>
      </c>
      <c r="F33" s="1" t="s">
        <v>74</v>
      </c>
      <c r="G33" s="1" t="s">
        <v>74</v>
      </c>
      <c r="H33" s="1" t="s">
        <v>74</v>
      </c>
      <c r="I33" s="1">
        <v>0.4728</v>
      </c>
      <c r="J33" s="1">
        <v>0.51890000000000003</v>
      </c>
      <c r="K33" s="1">
        <v>0.44750000000000001</v>
      </c>
      <c r="L33" s="1">
        <v>0.3992</v>
      </c>
      <c r="M33" s="1">
        <v>0.38100000000000001</v>
      </c>
      <c r="N33" s="1">
        <v>0.53820000000000001</v>
      </c>
      <c r="O33" s="1">
        <v>0.64370000000000005</v>
      </c>
      <c r="P33" s="1">
        <v>0.58050000000000002</v>
      </c>
      <c r="Q33" s="1">
        <v>0.89782799999999996</v>
      </c>
      <c r="R33" s="1" cm="1">
        <f t="array" ref="R33">IF(ISBLANK(B33),"",IFERROR(_FV(B33,"price"),INDEX('CoinGeko API'!E:E,MATCH(B33,'CoinGeko API'!C:C,0))))</f>
        <v>0.86731100000000005</v>
      </c>
    </row>
    <row r="34" spans="1:18">
      <c r="A34" s="1" t="str">
        <v>NEAR</v>
      </c>
      <c r="B34" s="1" t="s">
        <v>48</v>
      </c>
      <c r="C34" s="1">
        <v>1.256</v>
      </c>
      <c r="D34" s="1">
        <v>2.327</v>
      </c>
      <c r="E34" s="1">
        <v>2.23</v>
      </c>
      <c r="F34" s="1">
        <v>1.99</v>
      </c>
      <c r="G34" s="1">
        <v>1.929</v>
      </c>
      <c r="H34" s="1">
        <v>1.5660000000000001</v>
      </c>
      <c r="I34" s="1">
        <v>1.385</v>
      </c>
      <c r="J34" s="1">
        <v>1.371</v>
      </c>
      <c r="K34" s="1">
        <v>1.155</v>
      </c>
      <c r="L34" s="1">
        <v>1.1339999999999999</v>
      </c>
      <c r="M34" s="1">
        <v>1.3320000000000001</v>
      </c>
      <c r="N34" s="1">
        <v>1.879</v>
      </c>
      <c r="O34" s="1">
        <v>3.6509999999999998</v>
      </c>
      <c r="P34" s="1">
        <v>2.823</v>
      </c>
      <c r="Q34" s="1">
        <v>3.87</v>
      </c>
      <c r="R34" s="1" cm="1">
        <f t="array" ref="R34">IF(ISBLANK(B34),"",IFERROR(_FV(B34,"price"),INDEX('CoinGeko API'!E:E,MATCH(B34,'CoinGeko API'!C:C,0))))</f>
        <v>7.74</v>
      </c>
    </row>
    <row r="35" spans="1:18">
      <c r="A35" s="1" t="str">
        <v>NFP</v>
      </c>
      <c r="B35" s="1" t="s">
        <v>370</v>
      </c>
      <c r="C35" s="1" t="s">
        <v>74</v>
      </c>
      <c r="D35" s="1" t="s">
        <v>74</v>
      </c>
      <c r="E35" s="1" t="s">
        <v>74</v>
      </c>
      <c r="F35" s="1" t="s">
        <v>74</v>
      </c>
      <c r="G35" s="1" t="s">
        <v>74</v>
      </c>
      <c r="H35" s="1" t="s">
        <v>74</v>
      </c>
      <c r="I35" s="1" t="s">
        <v>74</v>
      </c>
      <c r="J35" s="1" t="s">
        <v>74</v>
      </c>
      <c r="K35" s="1" t="s">
        <v>74</v>
      </c>
      <c r="L35" s="1" t="s">
        <v>74</v>
      </c>
      <c r="M35" s="1" t="s">
        <v>74</v>
      </c>
      <c r="N35" s="1">
        <v>1.1331</v>
      </c>
      <c r="O35" s="1">
        <v>0.90639999999999998</v>
      </c>
      <c r="P35" s="1">
        <v>0.53029999999999999</v>
      </c>
      <c r="Q35" s="1">
        <v>0.75836199999999998</v>
      </c>
      <c r="R35" s="1" cm="1">
        <f t="array" ref="R35">IF(ISBLANK(B35),"",IFERROR(_FV(B35,"price"),INDEX('CoinGeko API'!E:E,MATCH(B35,'CoinGeko API'!C:C,0))))</f>
        <v>0.839862</v>
      </c>
    </row>
    <row r="36" spans="1:18">
      <c r="A36" s="1" t="str">
        <v>NTRN</v>
      </c>
      <c r="B36" s="1" t="s">
        <v>351</v>
      </c>
      <c r="C36" s="1" t="s">
        <v>74</v>
      </c>
      <c r="D36" s="1" t="s">
        <v>74</v>
      </c>
      <c r="E36" s="1" t="s">
        <v>74</v>
      </c>
      <c r="F36" s="1" t="s">
        <v>74</v>
      </c>
      <c r="G36" s="1" t="s">
        <v>74</v>
      </c>
      <c r="H36" s="1" t="s">
        <v>74</v>
      </c>
      <c r="I36" s="1" t="s">
        <v>74</v>
      </c>
      <c r="J36" s="1" t="s">
        <v>74</v>
      </c>
      <c r="K36" s="1" t="s">
        <v>74</v>
      </c>
      <c r="L36" s="1">
        <v>0.28620000000000001</v>
      </c>
      <c r="M36" s="1">
        <v>0.31859999999999999</v>
      </c>
      <c r="N36" s="1">
        <v>0.46139999999999998</v>
      </c>
      <c r="O36" s="1">
        <v>1.1012999999999999</v>
      </c>
      <c r="P36" s="1">
        <v>1.0774999999999999</v>
      </c>
      <c r="Q36" s="1">
        <v>1.44</v>
      </c>
      <c r="R36" s="1" cm="1">
        <f t="array" ref="R36">IF(ISBLANK(B36),"",IFERROR(_FV(B36,"price"),INDEX('CoinGeko API'!E:E,MATCH(B36,'CoinGeko API'!C:C,0))))</f>
        <v>1.31</v>
      </c>
    </row>
    <row r="37" spans="1:18">
      <c r="A37" s="1" t="str">
        <v>OP</v>
      </c>
      <c r="B37" s="1" t="s">
        <v>53</v>
      </c>
      <c r="C37" s="1">
        <v>0.91559999999999997</v>
      </c>
      <c r="D37" s="1">
        <v>2.1741999999999999</v>
      </c>
      <c r="E37" s="1">
        <v>2.6981000000000002</v>
      </c>
      <c r="F37" s="1">
        <v>2.2928000000000002</v>
      </c>
      <c r="G37" s="1">
        <v>2.1916000000000002</v>
      </c>
      <c r="H37" s="1">
        <v>1.3841000000000001</v>
      </c>
      <c r="I37" s="1">
        <v>1.3339000000000001</v>
      </c>
      <c r="J37" s="1">
        <v>1.6152</v>
      </c>
      <c r="K37" s="1">
        <v>1.3920999999999999</v>
      </c>
      <c r="L37" s="1">
        <v>1.3483000000000001</v>
      </c>
      <c r="M37" s="1">
        <v>1.3869</v>
      </c>
      <c r="N37" s="1">
        <v>1.6694</v>
      </c>
      <c r="O37" s="1">
        <v>3.7202000000000002</v>
      </c>
      <c r="P37" s="1">
        <v>2.8938000000000001</v>
      </c>
      <c r="Q37" s="1">
        <v>3.69</v>
      </c>
      <c r="R37" s="1" cm="1">
        <f t="array" ref="R37">IF(ISBLANK(B37),"",IFERROR(_FV(B37,"price"),INDEX('CoinGeko API'!E:E,MATCH(B37,'CoinGeko API'!C:C,0))))</f>
        <v>3.86</v>
      </c>
    </row>
    <row r="38" spans="1:18">
      <c r="A38" s="1" t="str">
        <v>OSMO</v>
      </c>
      <c r="B38" s="1" t="s">
        <v>56</v>
      </c>
      <c r="C38" s="1">
        <v>0.68300000000000005</v>
      </c>
      <c r="D38" s="1">
        <v>0.97699999999999998</v>
      </c>
      <c r="E38" s="1">
        <v>0.94099999999999995</v>
      </c>
      <c r="F38" s="1">
        <v>0.80100000000000005</v>
      </c>
      <c r="G38" s="1">
        <v>0.76600000000000001</v>
      </c>
      <c r="H38" s="1">
        <v>0.55500000000000005</v>
      </c>
      <c r="I38" s="1">
        <v>0.49399999999999999</v>
      </c>
      <c r="J38" s="1">
        <v>0.47899999999999998</v>
      </c>
      <c r="K38" s="1">
        <v>0.36199999999999999</v>
      </c>
      <c r="L38" s="1">
        <v>0.313</v>
      </c>
      <c r="M38" s="1">
        <v>0.36030000000000001</v>
      </c>
      <c r="N38" s="1">
        <v>0.69169999999999998</v>
      </c>
      <c r="O38" s="1">
        <v>1.514</v>
      </c>
      <c r="P38" s="1">
        <v>1.599</v>
      </c>
      <c r="Q38" s="1">
        <v>1.57</v>
      </c>
      <c r="R38" s="1" cm="1">
        <f t="array" ref="R38">IF(ISBLANK(B38),"",IFERROR(_FV(B38,"price"),INDEX('CoinGeko API'!E:E,MATCH(B38,'CoinGeko API'!C:C,0))))</f>
        <v>1.37</v>
      </c>
    </row>
    <row r="39" spans="1:18">
      <c r="A39" s="1" t="str">
        <v>Pendle</v>
      </c>
      <c r="B39" s="1" t="s">
        <v>525</v>
      </c>
      <c r="C39" s="1">
        <v>4.4999999999999998E-2</v>
      </c>
      <c r="D39" s="1">
        <v>8.1000000000000003E-2</v>
      </c>
      <c r="E39" s="1">
        <v>0.22700000000000001</v>
      </c>
      <c r="F39" s="1">
        <v>0.36499999999999999</v>
      </c>
      <c r="G39" s="1">
        <v>0.47899999999999998</v>
      </c>
      <c r="H39" s="1">
        <v>0.379</v>
      </c>
      <c r="I39" s="1">
        <v>0.88600000000000001</v>
      </c>
      <c r="J39" s="1">
        <v>0.74299999999999999</v>
      </c>
      <c r="K39" s="1">
        <v>0.66500000000000004</v>
      </c>
      <c r="L39" s="1">
        <v>0.72499999999999998</v>
      </c>
      <c r="M39" s="1">
        <v>0.92</v>
      </c>
      <c r="N39" s="1">
        <v>1.05</v>
      </c>
      <c r="O39" s="1">
        <v>1.21</v>
      </c>
      <c r="P39" s="1">
        <v>2.56</v>
      </c>
      <c r="Q39" s="1">
        <v>3.16</v>
      </c>
      <c r="R39" s="1" cm="1">
        <f t="array" ref="R39">IF(ISBLANK(B39),"",IFERROR(_FV(B39,"price"),INDEX('CoinGeko API'!E:E,MATCH(B39,'CoinGeko API'!C:C,0))))</f>
        <v>3.97</v>
      </c>
    </row>
    <row r="40" spans="1:18">
      <c r="A40" s="1" t="str">
        <v>PIXEL</v>
      </c>
      <c r="B40" s="1" t="s">
        <v>537</v>
      </c>
      <c r="C40" s="1" t="s">
        <v>74</v>
      </c>
      <c r="D40" s="1" t="s">
        <v>74</v>
      </c>
      <c r="E40" s="1" t="s">
        <v>74</v>
      </c>
      <c r="F40" s="1" t="s">
        <v>74</v>
      </c>
      <c r="G40" s="1" t="s">
        <v>74</v>
      </c>
      <c r="H40" s="1" t="s">
        <v>74</v>
      </c>
      <c r="I40" s="1" t="s">
        <v>74</v>
      </c>
      <c r="J40" s="1" t="s">
        <v>74</v>
      </c>
      <c r="K40" s="1" t="s">
        <v>74</v>
      </c>
      <c r="L40" s="1" t="s">
        <v>74</v>
      </c>
      <c r="M40" s="1" t="s">
        <v>74</v>
      </c>
      <c r="N40" s="1" t="s">
        <v>74</v>
      </c>
      <c r="O40" s="1" t="s">
        <v>74</v>
      </c>
      <c r="P40" s="1" t="s">
        <v>74</v>
      </c>
      <c r="Q40" s="1">
        <v>0.489591</v>
      </c>
      <c r="R40" s="1" cm="1">
        <f t="array" ref="R40">IF(ISBLANK(B40),"",IFERROR(_FV(B40,"price"),INDEX('CoinGeko API'!E:E,MATCH(B40,'CoinGeko API'!C:C,0))))</f>
        <v>0.844669</v>
      </c>
    </row>
    <row r="41" spans="1:18">
      <c r="A41" s="1" t="str">
        <v>SAND</v>
      </c>
      <c r="B41" s="1" t="s">
        <v>11</v>
      </c>
      <c r="C41" s="1">
        <v>0.38150000000000001</v>
      </c>
      <c r="D41" s="1">
        <v>0.73209999999999997</v>
      </c>
      <c r="E41" s="1">
        <v>0.68469999999999998</v>
      </c>
      <c r="F41" s="1">
        <v>0.62749999999999995</v>
      </c>
      <c r="G41" s="1">
        <v>0.58050000000000002</v>
      </c>
      <c r="H41" s="1">
        <v>0.53059999999999996</v>
      </c>
      <c r="I41" s="1">
        <v>0.41589999999999999</v>
      </c>
      <c r="J41" s="1">
        <v>0.42370000000000002</v>
      </c>
      <c r="K41" s="1">
        <v>0.308</v>
      </c>
      <c r="L41" s="1">
        <v>0.30969999999999998</v>
      </c>
      <c r="M41" s="1">
        <v>0.34379999999999999</v>
      </c>
      <c r="N41" s="1">
        <v>0.40689999999999998</v>
      </c>
      <c r="O41" s="1">
        <v>0.59230000000000005</v>
      </c>
      <c r="P41" s="1">
        <v>0.43759999999999999</v>
      </c>
      <c r="Q41" s="1">
        <v>0.607958</v>
      </c>
      <c r="R41" s="1" cm="1">
        <f t="array" ref="R41">IF(ISBLANK(B41),"",IFERROR(_FV(B41,"price"),INDEX('CoinGeko API'!E:E,MATCH(B41,'CoinGeko API'!C:C,0))))</f>
        <v>0.70988399999999996</v>
      </c>
    </row>
    <row r="42" spans="1:18">
      <c r="A42" s="1" t="str">
        <v>SOL</v>
      </c>
      <c r="B42" s="1" t="s">
        <v>7</v>
      </c>
      <c r="C42" s="1">
        <v>9.9700000000000006</v>
      </c>
      <c r="D42" s="1">
        <v>23.93</v>
      </c>
      <c r="E42" s="1">
        <v>21.88</v>
      </c>
      <c r="F42" s="1">
        <v>21.15</v>
      </c>
      <c r="G42" s="1">
        <v>22.73</v>
      </c>
      <c r="H42" s="1">
        <v>20.82</v>
      </c>
      <c r="I42" s="1">
        <v>18.850000000000001</v>
      </c>
      <c r="J42" s="1">
        <v>23.72</v>
      </c>
      <c r="K42" s="1">
        <v>19.739999999999998</v>
      </c>
      <c r="L42" s="1">
        <v>21.37</v>
      </c>
      <c r="M42" s="1">
        <v>38.409999999999997</v>
      </c>
      <c r="N42" s="1">
        <v>59.3</v>
      </c>
      <c r="O42" s="1">
        <v>101.72</v>
      </c>
      <c r="P42" s="1">
        <v>96.96</v>
      </c>
      <c r="Q42" s="1">
        <v>125.5</v>
      </c>
      <c r="R42" s="1" cm="1">
        <f t="array" ref="R42">IF(ISBLANK(B42),"",IFERROR(_FV(B42,"price"),INDEX('CoinGeko API'!E:E,MATCH(B42,'CoinGeko API'!C:C,0))))</f>
        <v>189.83</v>
      </c>
    </row>
    <row r="43" spans="1:18">
      <c r="A43" s="1" t="str">
        <v>STX</v>
      </c>
      <c r="B43" s="1" t="s">
        <v>57</v>
      </c>
      <c r="C43" s="1">
        <v>0.20899999999999999</v>
      </c>
      <c r="D43" s="1">
        <v>0.27600000000000002</v>
      </c>
      <c r="E43" s="1">
        <v>0.88700000000000001</v>
      </c>
      <c r="F43" s="1">
        <v>0.93049999999999999</v>
      </c>
      <c r="G43" s="1">
        <v>0.71750000000000003</v>
      </c>
      <c r="H43" s="1">
        <v>0.60009999999999997</v>
      </c>
      <c r="I43" s="1">
        <v>0.69130000000000003</v>
      </c>
      <c r="J43" s="1">
        <v>0.58789999999999998</v>
      </c>
      <c r="K43" s="1">
        <v>0.49059999999999998</v>
      </c>
      <c r="L43" s="1">
        <v>0.48020000000000002</v>
      </c>
      <c r="M43" s="1">
        <v>0.62549999999999994</v>
      </c>
      <c r="N43" s="1">
        <v>0.69179999999999997</v>
      </c>
      <c r="O43" s="1">
        <v>1.4976</v>
      </c>
      <c r="P43" s="1">
        <v>1.5007999999999999</v>
      </c>
      <c r="Q43" s="1">
        <v>2.9</v>
      </c>
      <c r="R43" s="1" cm="1">
        <f t="array" ref="R43">IF(ISBLANK(B43),"",IFERROR(_FV(B43,"price"),INDEX('CoinGeko API'!E:E,MATCH(B43,'CoinGeko API'!C:C,0))))</f>
        <v>3.59</v>
      </c>
    </row>
    <row r="44" spans="1:18">
      <c r="A44" s="1" t="str">
        <v>SUPER</v>
      </c>
      <c r="B44" s="1" t="s">
        <v>475</v>
      </c>
      <c r="C44" s="1">
        <v>7.9899999999999999E-2</v>
      </c>
      <c r="D44" s="1">
        <v>0.1232</v>
      </c>
      <c r="E44" s="1">
        <v>0.1444</v>
      </c>
      <c r="F44" s="1">
        <v>0.1331</v>
      </c>
      <c r="G44" s="1">
        <v>0.1472</v>
      </c>
      <c r="H44" s="1">
        <v>0.14760000000000001</v>
      </c>
      <c r="I44" s="1">
        <v>0.1116</v>
      </c>
      <c r="J44" s="1">
        <v>9.3799999999999994E-2</v>
      </c>
      <c r="K44" s="1">
        <v>7.8E-2</v>
      </c>
      <c r="L44" s="1">
        <v>8.2299999999999998E-2</v>
      </c>
      <c r="M44" s="1">
        <v>8.2500000000000004E-2</v>
      </c>
      <c r="N44" s="1">
        <v>0.35780000000000001</v>
      </c>
      <c r="O44" s="1">
        <v>0.60570000000000002</v>
      </c>
      <c r="P44" s="1">
        <v>0.57150000000000001</v>
      </c>
      <c r="Q44" s="1">
        <v>1.24</v>
      </c>
      <c r="R44" s="1" cm="1">
        <f t="array" ref="R44">IF(ISBLANK(B44),"",IFERROR(_FV(B44,"price"),INDEX('CoinGeko API'!E:E,MATCH(B44,'CoinGeko API'!C:C,0))))</f>
        <v>1.34</v>
      </c>
    </row>
    <row r="45" spans="1:18">
      <c r="A45" s="1" t="str">
        <v>THE</v>
      </c>
      <c r="B45" s="1" t="s">
        <v>69</v>
      </c>
      <c r="C45" s="1" t="s">
        <v>74</v>
      </c>
      <c r="D45" s="1" t="s">
        <v>74</v>
      </c>
      <c r="E45" s="1" t="s">
        <v>74</v>
      </c>
      <c r="F45" s="1">
        <v>0.40350000000000003</v>
      </c>
      <c r="G45" s="1">
        <v>0.39219999999999999</v>
      </c>
      <c r="H45" s="1">
        <v>0.1852</v>
      </c>
      <c r="I45" s="1">
        <v>0.25359999999999999</v>
      </c>
      <c r="J45" s="1">
        <v>0.2198</v>
      </c>
      <c r="K45" s="1">
        <v>0.10730000000000001</v>
      </c>
      <c r="L45" s="1">
        <v>0.10390000000000001</v>
      </c>
      <c r="M45" s="1">
        <v>9.35E-2</v>
      </c>
      <c r="N45" s="1">
        <v>0.13489999999999999</v>
      </c>
      <c r="O45" s="1">
        <v>0.2291</v>
      </c>
      <c r="P45" s="1">
        <v>0.16189999999999999</v>
      </c>
      <c r="Q45" s="1">
        <v>0.21357200000000001</v>
      </c>
      <c r="R45" s="1" cm="1">
        <f t="array" ref="R45">IF(ISBLANK(B45),"",IFERROR(_FV(B45,"price"),INDEX('CoinGeko API'!E:E,MATCH(B45,'CoinGeko API'!C:C,0))))</f>
        <v>0.52973300000000001</v>
      </c>
    </row>
    <row r="46" spans="1:18">
      <c r="A46" s="1" t="str">
        <v>TIA</v>
      </c>
      <c r="B46" s="1" t="s">
        <v>493</v>
      </c>
      <c r="C46" s="1" t="s">
        <v>74</v>
      </c>
      <c r="D46" s="1" t="s">
        <v>74</v>
      </c>
      <c r="E46" s="1" t="s">
        <v>74</v>
      </c>
      <c r="F46" s="1" t="s">
        <v>74</v>
      </c>
      <c r="G46" s="1" t="s">
        <v>74</v>
      </c>
      <c r="H46" s="1" t="s">
        <v>74</v>
      </c>
      <c r="I46" s="1" t="s">
        <v>74</v>
      </c>
      <c r="J46" s="1" t="s">
        <v>74</v>
      </c>
      <c r="K46" s="1" t="s">
        <v>74</v>
      </c>
      <c r="L46" s="1">
        <v>2.88</v>
      </c>
      <c r="M46" s="1">
        <v>2.2799999999999998</v>
      </c>
      <c r="N46" s="1">
        <v>6.39</v>
      </c>
      <c r="O46" s="1">
        <v>11.88</v>
      </c>
      <c r="P46" s="1">
        <v>16.21</v>
      </c>
      <c r="Q46" s="1">
        <v>16.52</v>
      </c>
      <c r="R46" s="1" cm="1">
        <f t="array" ref="R46">IF(ISBLANK(B46),"",IFERROR(_FV(B46,"price"),INDEX('CoinGeko API'!E:E,MATCH(B46,'CoinGeko API'!C:C,0))))</f>
        <v>14.2</v>
      </c>
    </row>
    <row r="47" spans="1:18">
      <c r="A47" s="1" t="str">
        <v>VET</v>
      </c>
      <c r="B47" s="1" t="s">
        <v>13</v>
      </c>
      <c r="C47" s="1">
        <v>1.5800000000000002E-2</v>
      </c>
      <c r="D47" s="1">
        <v>2.3120000000000002E-2</v>
      </c>
      <c r="E47" s="1">
        <v>2.6960000000000001E-2</v>
      </c>
      <c r="F47" s="1">
        <v>2.3460000000000002E-2</v>
      </c>
      <c r="G47" s="1">
        <v>2.2190000000000001E-2</v>
      </c>
      <c r="H47" s="1">
        <v>2.034E-2</v>
      </c>
      <c r="I47" s="1">
        <v>1.9709999999999998E-2</v>
      </c>
      <c r="J47" s="1">
        <v>1.8620000000000001E-2</v>
      </c>
      <c r="K47" s="1">
        <v>1.576E-2</v>
      </c>
      <c r="L47" s="1">
        <v>1.7420000000000001E-2</v>
      </c>
      <c r="M47" s="1">
        <v>1.8870000000000001E-2</v>
      </c>
      <c r="N47" s="1">
        <v>2.1360000000000001E-2</v>
      </c>
      <c r="O47" s="1">
        <v>3.4329999999999999E-2</v>
      </c>
      <c r="P47" s="1">
        <v>2.8230000000000002E-2</v>
      </c>
      <c r="Q47" s="1">
        <v>4.7636390000000001E-2</v>
      </c>
      <c r="R47" s="1" cm="1">
        <f t="array" ref="R47">IF(ISBLANK(B47),"",IFERROR(_FV(B47,"price"),INDEX('CoinGeko API'!E:E,MATCH(B47,'CoinGeko API'!C:C,0))))</f>
        <v>4.5320600000000003E-2</v>
      </c>
    </row>
    <row r="48" spans="1:18">
      <c r="A48" s="1" t="str">
        <v>WAVAX</v>
      </c>
      <c r="B48" s="1" t="s">
        <v>64</v>
      </c>
      <c r="C48" s="1">
        <v>10.9</v>
      </c>
      <c r="D48" s="1">
        <v>19.850000000000001</v>
      </c>
      <c r="E48" s="1">
        <v>17.72</v>
      </c>
      <c r="F48" s="1">
        <v>16.64</v>
      </c>
      <c r="G48" s="1">
        <v>17.14</v>
      </c>
      <c r="H48" s="1">
        <v>14.09</v>
      </c>
      <c r="I48" s="1">
        <v>13.03</v>
      </c>
      <c r="J48" s="1">
        <v>12.83</v>
      </c>
      <c r="K48" s="1">
        <v>10</v>
      </c>
      <c r="L48" s="1">
        <v>9.24</v>
      </c>
      <c r="M48" s="1">
        <v>11.29</v>
      </c>
      <c r="N48" s="1">
        <v>21.38</v>
      </c>
      <c r="O48" s="1">
        <v>38.53</v>
      </c>
      <c r="P48" s="1">
        <v>33.26</v>
      </c>
      <c r="Q48" s="1">
        <v>40.799999999999997</v>
      </c>
      <c r="R48" s="1" cm="1">
        <f t="array" ref="R48">IF(ISBLANK(B48),"",IFERROR(_FV(B48,"price"),INDEX('CoinGeko API'!E:E,MATCH(B48,'CoinGeko API'!C:C,0))))</f>
        <v>58.27</v>
      </c>
    </row>
    <row r="49" spans="1:18">
      <c r="A49" s="1" t="str">
        <v>WETH</v>
      </c>
      <c r="B49" s="1" t="s">
        <v>361</v>
      </c>
      <c r="C49" s="1">
        <v>1196.29</v>
      </c>
      <c r="D49" s="1">
        <v>1586.68</v>
      </c>
      <c r="E49" s="1">
        <v>1607.28</v>
      </c>
      <c r="F49" s="1">
        <v>1824.34</v>
      </c>
      <c r="G49" s="1">
        <v>1876.65</v>
      </c>
      <c r="H49" s="1">
        <v>1871.45</v>
      </c>
      <c r="I49" s="1">
        <v>1936.99</v>
      </c>
      <c r="J49" s="1">
        <v>1856.74</v>
      </c>
      <c r="K49" s="1">
        <v>1644.58</v>
      </c>
      <c r="L49" s="1">
        <v>1673.13</v>
      </c>
      <c r="M49" s="1">
        <v>1811.79</v>
      </c>
      <c r="N49" s="1">
        <v>2047.95</v>
      </c>
      <c r="O49" s="1">
        <v>2277.2199999999998</v>
      </c>
      <c r="P49" s="1">
        <v>2280.71</v>
      </c>
      <c r="Q49" s="1">
        <v>3335.57</v>
      </c>
      <c r="R49" s="1" cm="1">
        <f t="array" ref="R49">IF(ISBLANK(B49),"",IFERROR(_FV(B49,"price"),INDEX('CoinGeko API'!E:E,MATCH(B49,'CoinGeko API'!C:C,0))))</f>
        <v>3606.32</v>
      </c>
    </row>
    <row r="50" spans="1:18">
      <c r="A50" s="1" t="str">
        <v>XAI</v>
      </c>
      <c r="B50" s="1" t="s">
        <v>376</v>
      </c>
      <c r="C50" s="1" t="s">
        <v>74</v>
      </c>
      <c r="D50" s="1" t="s">
        <v>74</v>
      </c>
      <c r="E50" s="1" t="s">
        <v>74</v>
      </c>
      <c r="F50" s="1" t="s">
        <v>74</v>
      </c>
      <c r="G50" s="1" t="s">
        <v>74</v>
      </c>
      <c r="H50" s="1" t="s">
        <v>74</v>
      </c>
      <c r="I50" s="1" t="s">
        <v>74</v>
      </c>
      <c r="J50" s="1" t="s">
        <v>74</v>
      </c>
      <c r="K50" s="1" t="s">
        <v>74</v>
      </c>
      <c r="L50" s="1" t="s">
        <v>74</v>
      </c>
      <c r="M50" s="1" t="s">
        <v>74</v>
      </c>
      <c r="N50" s="1" t="s">
        <v>74</v>
      </c>
      <c r="O50" s="1">
        <v>1.0585</v>
      </c>
      <c r="P50" s="1">
        <v>0.7571</v>
      </c>
      <c r="Q50" s="1">
        <v>1.29</v>
      </c>
      <c r="R50" s="1" cm="1">
        <f t="array" ref="R50">IF(ISBLANK(B50),"",IFERROR(_FV(B50,"price"),INDEX('CoinGeko API'!E:E,MATCH(B50,'CoinGeko API'!C:C,0))))</f>
        <v>1.29</v>
      </c>
    </row>
    <row r="51" spans="1:18">
      <c r="A51" s="1" t="e" vm="19">
        <v>#VALUE!</v>
      </c>
      <c r="B51" s="1" t="e" vm="19">
        <v>#VALUE!</v>
      </c>
      <c r="C51" s="1">
        <v>31.84</v>
      </c>
      <c r="D51" s="1">
        <v>40.1</v>
      </c>
      <c r="E51" s="1">
        <v>39.46</v>
      </c>
      <c r="F51" s="1">
        <v>39.78</v>
      </c>
      <c r="G51" s="1">
        <v>35.76</v>
      </c>
      <c r="H51" s="1">
        <v>40.15</v>
      </c>
      <c r="I51" s="1">
        <v>44.52</v>
      </c>
      <c r="J51" s="1">
        <v>49.81</v>
      </c>
      <c r="K51" s="1">
        <v>44.11</v>
      </c>
      <c r="L51" s="1">
        <v>39.69</v>
      </c>
      <c r="M51" s="1">
        <v>35.25</v>
      </c>
      <c r="N51" s="1">
        <v>46.55</v>
      </c>
      <c r="O51" s="1">
        <v>51.8</v>
      </c>
      <c r="P51" s="1">
        <v>45.8</v>
      </c>
      <c r="Q51" s="1">
        <v>51.07</v>
      </c>
      <c r="R51" s="1" cm="1">
        <f t="array" ref="R51">IF(ISBLANK(B51),"",IFERROR(_FV(B51,"price"),INDEX('CoinGeko API'!E:E,MATCH(B51,'CoinGeko API'!C:C,0))))</f>
        <v>44.15</v>
      </c>
    </row>
    <row r="52" spans="1:18">
      <c r="A52" s="1" t="e" vm="18">
        <v>#VALUE!</v>
      </c>
      <c r="B52" s="1" t="e" vm="18">
        <v>#VALUE!</v>
      </c>
      <c r="C52" s="1">
        <v>66.3</v>
      </c>
      <c r="D52" s="1">
        <v>82.07</v>
      </c>
      <c r="E52" s="1">
        <v>76.31</v>
      </c>
      <c r="F52" s="1">
        <v>67.599999999999994</v>
      </c>
      <c r="G52" s="1">
        <v>60.69</v>
      </c>
      <c r="H52" s="1">
        <v>59.68</v>
      </c>
      <c r="I52" s="1">
        <v>66.67</v>
      </c>
      <c r="J52" s="1">
        <v>79.88</v>
      </c>
      <c r="K52" s="1">
        <v>58.39</v>
      </c>
      <c r="L52" s="1">
        <v>44.32</v>
      </c>
      <c r="M52" s="1">
        <v>39.950000000000003</v>
      </c>
      <c r="N52" s="1">
        <v>63.5</v>
      </c>
      <c r="O52" s="1">
        <v>75.5</v>
      </c>
      <c r="P52" s="1">
        <v>66.05</v>
      </c>
      <c r="Q52" s="1">
        <v>79.790000000000006</v>
      </c>
      <c r="R52" s="1" cm="1">
        <f t="array" ref="R52">IF(ISBLANK(B52),"",IFERROR(_FV(B52,"price"),INDEX('CoinGeko API'!E:E,MATCH(B52,'CoinGeko API'!C:C,0))))</f>
        <v>64.8</v>
      </c>
    </row>
    <row r="53" spans="1:18">
      <c r="A53" s="1" t="e" vm="24">
        <v>#VALUE!</v>
      </c>
      <c r="B53" s="1" t="e" vm="24">
        <v>#VALUE!</v>
      </c>
      <c r="C53" s="1">
        <v>19.64</v>
      </c>
      <c r="D53" s="1">
        <v>24.89</v>
      </c>
      <c r="E53" s="1">
        <v>21.79</v>
      </c>
      <c r="F53" s="1">
        <v>20.239999999999998</v>
      </c>
      <c r="G53" s="1">
        <v>16.71</v>
      </c>
      <c r="H53" s="1">
        <v>13.75</v>
      </c>
      <c r="I53" s="1">
        <v>16.52</v>
      </c>
      <c r="J53" s="1">
        <v>17.600000000000001</v>
      </c>
      <c r="K53" s="1">
        <v>15.24</v>
      </c>
      <c r="L53" s="1">
        <v>13.17</v>
      </c>
      <c r="M53" s="1">
        <v>10.31</v>
      </c>
      <c r="N53" s="1">
        <v>14.32</v>
      </c>
      <c r="O53" s="1">
        <v>14.5</v>
      </c>
      <c r="P53" s="1">
        <v>12.04</v>
      </c>
      <c r="Q53" s="1">
        <v>8.76</v>
      </c>
      <c r="R53" s="1" cm="1">
        <f t="array" ref="R53">IF(ISBLANK(B53),"",IFERROR(_FV(B53,"price"),INDEX('CoinGeko API'!E:E,MATCH(B53,'CoinGeko API'!C:C,0))))</f>
        <v>15.68</v>
      </c>
    </row>
    <row r="54" spans="1:18">
      <c r="A54" s="1" t="e" vm="25">
        <v>#VALUE!</v>
      </c>
      <c r="B54" s="1" t="e" vm="25">
        <v>#VALUE!</v>
      </c>
      <c r="C54" s="1">
        <v>2.1</v>
      </c>
      <c r="D54" s="1">
        <v>3.11</v>
      </c>
      <c r="E54" s="1">
        <v>2.85</v>
      </c>
      <c r="F54" s="1">
        <v>2.7</v>
      </c>
      <c r="G54" s="1">
        <v>3.82</v>
      </c>
      <c r="H54" s="1">
        <v>4.34</v>
      </c>
      <c r="I54" s="1">
        <v>4.33</v>
      </c>
      <c r="J54" s="1">
        <v>5.9</v>
      </c>
      <c r="K54" s="1">
        <v>4.8899999999999997</v>
      </c>
      <c r="L54" s="1">
        <v>4.17</v>
      </c>
      <c r="M54" s="1">
        <v>4.2</v>
      </c>
      <c r="N54" s="1">
        <v>5.91</v>
      </c>
      <c r="O54" s="1">
        <v>12.6</v>
      </c>
      <c r="P54" s="1">
        <v>8.1</v>
      </c>
      <c r="Q54" s="1">
        <v>16.72</v>
      </c>
      <c r="R54" s="1" cm="1">
        <f t="array" ref="R54">IF(ISBLANK(B54),"",IFERROR(_FV(B54,"price"),INDEX('CoinGeko API'!E:E,MATCH(B54,'CoinGeko API'!C:C,0))))</f>
        <v>16.36</v>
      </c>
    </row>
    <row r="55" spans="1:18">
      <c r="A55" s="1" t="e" vm="17">
        <v>#VALUE!</v>
      </c>
      <c r="B55" s="1" t="e" vm="17">
        <v>#VALUE!</v>
      </c>
      <c r="C55" s="1">
        <v>36.49</v>
      </c>
      <c r="D55" s="1">
        <v>59.08</v>
      </c>
      <c r="E55" s="1">
        <v>65.3</v>
      </c>
      <c r="F55" s="1">
        <v>66.010000000000005</v>
      </c>
      <c r="G55" s="1">
        <v>53.17</v>
      </c>
      <c r="H55" s="1">
        <v>61.8</v>
      </c>
      <c r="I55" s="1">
        <v>73.2</v>
      </c>
      <c r="J55" s="1">
        <v>95.88</v>
      </c>
      <c r="K55" s="1">
        <v>80</v>
      </c>
      <c r="L55" s="1">
        <v>78.55</v>
      </c>
      <c r="M55" s="1">
        <v>77.42</v>
      </c>
      <c r="N55" s="1">
        <v>126.39</v>
      </c>
      <c r="O55" s="1">
        <v>173.02</v>
      </c>
      <c r="P55" s="1">
        <v>128.75</v>
      </c>
      <c r="Q55" s="1">
        <v>202.7</v>
      </c>
      <c r="R55" s="1" cm="1">
        <f t="array" ref="R55">IF(ISBLANK(B55),"",IFERROR(_FV(B55,"price"),INDEX('CoinGeko API'!E:E,MATCH(B55,'CoinGeko API'!C:C,0))))</f>
        <v>251.4</v>
      </c>
    </row>
    <row r="56" spans="1:18">
      <c r="A56" s="1" t="e" vm="14">
        <v>#VALUE!</v>
      </c>
      <c r="B56" s="1" t="e" vm="14">
        <v>#VALUE!</v>
      </c>
      <c r="C56" s="1">
        <v>107.5</v>
      </c>
      <c r="D56" s="1">
        <v>105.9</v>
      </c>
      <c r="E56" s="1">
        <v>120.23</v>
      </c>
      <c r="F56" s="1">
        <v>135.5</v>
      </c>
      <c r="G56" s="1">
        <v>118.56</v>
      </c>
      <c r="H56" s="1">
        <v>146.72</v>
      </c>
      <c r="I56" s="1">
        <v>147.18</v>
      </c>
      <c r="J56" s="1">
        <v>161</v>
      </c>
      <c r="K56" s="1">
        <v>163.12</v>
      </c>
      <c r="L56" s="1">
        <v>168</v>
      </c>
      <c r="M56" s="1">
        <v>178.12</v>
      </c>
      <c r="N56" s="1">
        <v>235.72</v>
      </c>
      <c r="O56" s="1">
        <v>251.47</v>
      </c>
      <c r="P56" s="1">
        <v>296.14</v>
      </c>
      <c r="Q56" s="1">
        <v>319.25</v>
      </c>
      <c r="R56" s="1" cm="1">
        <f t="array" ref="R56">IF(ISBLANK(B56),"",IFERROR(_FV(B56,"price"),INDEX('CoinGeko API'!E:E,MATCH(B56,'CoinGeko API'!C:C,0))))</f>
        <v>342.18</v>
      </c>
    </row>
    <row r="57" spans="1:18">
      <c r="A57" s="1" t="e" vm="15">
        <v>#VALUE!</v>
      </c>
      <c r="B57" s="1" t="e" vm="15">
        <v>#VALUE!</v>
      </c>
      <c r="C57" s="1">
        <v>15.99</v>
      </c>
      <c r="D57" s="1">
        <v>16.88</v>
      </c>
      <c r="E57" s="1">
        <v>16.399999999999999</v>
      </c>
      <c r="F57" s="1">
        <v>17.11</v>
      </c>
      <c r="G57" s="1">
        <v>17.29</v>
      </c>
      <c r="H57" s="1">
        <v>17.670000000000002</v>
      </c>
      <c r="I57" s="1">
        <v>17.75</v>
      </c>
      <c r="J57" s="1">
        <v>18.02</v>
      </c>
      <c r="K57" s="1">
        <v>17.5</v>
      </c>
      <c r="L57" s="1">
        <v>16.78</v>
      </c>
      <c r="M57" s="1">
        <v>16.64</v>
      </c>
      <c r="N57" s="1">
        <v>17.03</v>
      </c>
      <c r="O57" s="1">
        <v>17.29</v>
      </c>
      <c r="P57" s="1">
        <v>17.68</v>
      </c>
      <c r="Q57" s="1">
        <v>17.86</v>
      </c>
      <c r="R57" s="1" cm="1">
        <f t="array" ref="R57">IF(ISBLANK(B57),"",IFERROR(_FV(B57,"price"),INDEX('CoinGeko API'!E:E,MATCH(B57,'CoinGeko API'!C:C,0))))</f>
        <v>17.68</v>
      </c>
    </row>
    <row r="58" spans="1:18">
      <c r="A58" s="1" t="e" vm="13">
        <v>#VALUE!</v>
      </c>
      <c r="B58" s="1" t="e" vm="13">
        <v>#VALUE!</v>
      </c>
      <c r="C58" s="1">
        <v>8.2200000000000006</v>
      </c>
      <c r="D58" s="1">
        <v>12.17</v>
      </c>
      <c r="E58" s="1">
        <v>11.67</v>
      </c>
      <c r="F58" s="1">
        <v>16.34</v>
      </c>
      <c r="G58" s="1">
        <v>16.13</v>
      </c>
      <c r="H58" s="1">
        <v>13.74</v>
      </c>
      <c r="I58" s="1">
        <v>19.3</v>
      </c>
      <c r="J58" s="1">
        <v>18.79</v>
      </c>
      <c r="K58" s="1">
        <v>18.55</v>
      </c>
      <c r="L58" s="1">
        <v>20</v>
      </c>
      <c r="M58" s="1">
        <v>27</v>
      </c>
      <c r="N58" s="1">
        <v>30.75</v>
      </c>
      <c r="O58" s="1">
        <v>37.26</v>
      </c>
      <c r="P58" s="1">
        <v>37.840000000000003</v>
      </c>
      <c r="Q58" s="1">
        <v>55.73</v>
      </c>
      <c r="R58" s="1" cm="1">
        <f t="array" ref="R58">IF(ISBLANK(B58),"",IFERROR(_FV(B58,"price"),INDEX('CoinGeko API'!E:E,MATCH(B58,'CoinGeko API'!C:C,0))))</f>
        <v>63.35</v>
      </c>
    </row>
    <row r="59" spans="1:18">
      <c r="A59" s="1" t="e" vm="20">
        <v>#VALUE!</v>
      </c>
      <c r="B59" s="1" t="e" vm="20">
        <v>#VALUE!</v>
      </c>
      <c r="C59" s="1">
        <v>3.58</v>
      </c>
      <c r="D59" s="1">
        <v>7.17</v>
      </c>
      <c r="E59" s="1">
        <v>7.18</v>
      </c>
      <c r="F59" s="1">
        <v>8.5399999999999991</v>
      </c>
      <c r="G59" s="1">
        <v>9.76</v>
      </c>
      <c r="H59" s="1">
        <v>9.66</v>
      </c>
      <c r="I59" s="1">
        <v>14.05</v>
      </c>
      <c r="J59" s="1">
        <v>16.86</v>
      </c>
      <c r="K59" s="1">
        <v>12.53</v>
      </c>
      <c r="L59" s="1">
        <v>9.1999999999999993</v>
      </c>
      <c r="M59" s="1">
        <v>9</v>
      </c>
      <c r="N59" s="1">
        <v>12.2</v>
      </c>
      <c r="O59" s="1">
        <v>26.64</v>
      </c>
      <c r="P59" s="1">
        <v>17.760000000000002</v>
      </c>
      <c r="Q59" s="1">
        <v>26.53</v>
      </c>
      <c r="R59" s="1" cm="1">
        <f t="array" ref="R59">IF(ISBLANK(B59),"",IFERROR(_FV(B59,"price"),INDEX('CoinGeko API'!E:E,MATCH(B59,'CoinGeko API'!C:C,0))))</f>
        <v>21.07</v>
      </c>
    </row>
    <row r="60" spans="1:18">
      <c r="A60" s="1" t="e" vm="21">
        <v>#VALUE!</v>
      </c>
      <c r="B60" s="1" t="e" vm="21">
        <v>#VALUE!</v>
      </c>
      <c r="C60" s="1">
        <v>145.66999999999999</v>
      </c>
      <c r="D60" s="1">
        <v>251</v>
      </c>
      <c r="E60" s="1">
        <v>263.88</v>
      </c>
      <c r="F60" s="1">
        <v>290.99</v>
      </c>
      <c r="G60" s="1">
        <v>320</v>
      </c>
      <c r="H60" s="1">
        <v>298.5</v>
      </c>
      <c r="I60" s="1">
        <v>347</v>
      </c>
      <c r="J60" s="1">
        <v>430</v>
      </c>
      <c r="K60" s="1">
        <v>357.54</v>
      </c>
      <c r="L60" s="1">
        <v>346.57</v>
      </c>
      <c r="M60" s="1">
        <v>429.62</v>
      </c>
      <c r="N60" s="1">
        <v>503.53</v>
      </c>
      <c r="O60" s="1">
        <v>692.49</v>
      </c>
      <c r="P60" s="1">
        <v>501.8</v>
      </c>
      <c r="Q60" s="1">
        <v>996</v>
      </c>
      <c r="R60" s="1" cm="1">
        <f t="array" ref="R60">IF(ISBLANK(B60),"",IFERROR(_FV(B60,"price"),INDEX('CoinGeko API'!E:E,MATCH(B60,'CoinGeko API'!C:C,0))))</f>
        <v>1694.69</v>
      </c>
    </row>
    <row r="61" spans="1:18">
      <c r="A61" s="1" t="e" vm="26">
        <v>#VALUE!</v>
      </c>
      <c r="B61" s="1" t="e" vm="26">
        <v>#VALUE!</v>
      </c>
      <c r="C61" s="1">
        <v>3.49</v>
      </c>
      <c r="D61" s="1">
        <v>6.24</v>
      </c>
      <c r="E61" s="1">
        <v>6.38</v>
      </c>
      <c r="F61" s="1">
        <v>9.81</v>
      </c>
      <c r="G61" s="1">
        <v>11.6</v>
      </c>
      <c r="H61" s="1">
        <v>11.79</v>
      </c>
      <c r="I61" s="1">
        <v>11.92</v>
      </c>
      <c r="J61" s="1">
        <v>18.13</v>
      </c>
      <c r="K61" s="1">
        <v>11.39</v>
      </c>
      <c r="L61" s="1">
        <v>10.1</v>
      </c>
      <c r="M61" s="1">
        <v>10</v>
      </c>
      <c r="N61" s="1">
        <v>12.75</v>
      </c>
      <c r="O61" s="1">
        <v>17.07</v>
      </c>
      <c r="P61" s="1">
        <v>10.9</v>
      </c>
      <c r="Q61" s="1">
        <v>14.29</v>
      </c>
      <c r="R61" s="1" cm="1">
        <f t="array" ref="R61">IF(ISBLANK(B61),"",IFERROR(_FV(B61,"price"),INDEX('CoinGeko API'!E:E,MATCH(B61,'CoinGeko API'!C:C,0))))</f>
        <v>9.65</v>
      </c>
    </row>
    <row r="62" spans="1:18">
      <c r="A62" s="1" t="e" vm="23">
        <v>#VALUE!</v>
      </c>
      <c r="B62" s="1" t="e" vm="23">
        <v>#VALUE!</v>
      </c>
      <c r="C62" s="1">
        <v>8.26</v>
      </c>
      <c r="D62" s="1">
        <v>10.26</v>
      </c>
      <c r="E62" s="1">
        <v>10.01</v>
      </c>
      <c r="F62" s="1">
        <v>9.65</v>
      </c>
      <c r="G62" s="1">
        <v>8.8000000000000007</v>
      </c>
      <c r="H62" s="1">
        <v>8.92</v>
      </c>
      <c r="I62" s="1">
        <v>10</v>
      </c>
      <c r="J62" s="1">
        <v>12.68</v>
      </c>
      <c r="K62" s="1">
        <v>11.18</v>
      </c>
      <c r="L62" s="1">
        <v>9.77</v>
      </c>
      <c r="M62" s="1">
        <v>9.17</v>
      </c>
      <c r="N62" s="1">
        <v>8.82</v>
      </c>
      <c r="O62" s="1">
        <v>12.74</v>
      </c>
      <c r="P62" s="1">
        <v>10.79</v>
      </c>
      <c r="Q62" s="1">
        <v>16.3</v>
      </c>
      <c r="R62" s="1" cm="1">
        <f t="array" ref="R62">IF(ISBLANK(B62),"",IFERROR(_FV(B62,"price"),INDEX('CoinGeko API'!E:E,MATCH(B62,'CoinGeko API'!C:C,0))))</f>
        <v>21.57</v>
      </c>
    </row>
    <row r="63" spans="1:18">
      <c r="A63" s="1" t="e" vm="16">
        <v>#VALUE!</v>
      </c>
      <c r="B63" s="1" t="e" vm="16">
        <v>#VALUE!</v>
      </c>
      <c r="C63" s="1">
        <v>17.55</v>
      </c>
      <c r="D63" s="1">
        <v>14.32</v>
      </c>
      <c r="E63" s="1">
        <v>14.27</v>
      </c>
      <c r="F63" s="1">
        <v>1.59</v>
      </c>
      <c r="G63" s="1">
        <v>1.34</v>
      </c>
      <c r="H63" s="1">
        <v>0.71</v>
      </c>
      <c r="I63" s="1">
        <v>0.45</v>
      </c>
      <c r="J63" s="1">
        <v>0.35</v>
      </c>
      <c r="K63" s="1">
        <v>0.1201</v>
      </c>
      <c r="L63" s="1">
        <v>0.24</v>
      </c>
      <c r="M63" s="1">
        <v>0.11</v>
      </c>
      <c r="N63" s="1">
        <v>0.18</v>
      </c>
      <c r="O63" s="1">
        <v>0.11</v>
      </c>
      <c r="P63" s="1">
        <v>0.32500000000000001</v>
      </c>
      <c r="Q63" s="1">
        <v>0.36</v>
      </c>
      <c r="R63" s="1" cm="1">
        <f t="array" ref="R63">IF(ISBLANK(B63),"",IFERROR(_FV(B63,"price"),INDEX('CoinGeko API'!E:E,MATCH(B63,'CoinGeko API'!C:C,0))))</f>
        <v>0.52</v>
      </c>
    </row>
    <row r="64" spans="1:18">
      <c r="A64" s="1" t="e" vm="22">
        <v>#VALUE!</v>
      </c>
      <c r="B64" s="1" t="e" vm="22">
        <v>#VALUE!</v>
      </c>
      <c r="C64" s="1">
        <v>171.32</v>
      </c>
      <c r="D64" s="1">
        <v>179.75</v>
      </c>
      <c r="E64" s="1">
        <v>170.95</v>
      </c>
      <c r="F64" s="1">
        <v>183.85</v>
      </c>
      <c r="G64" s="1">
        <v>186.05</v>
      </c>
      <c r="H64" s="1">
        <v>182.81</v>
      </c>
      <c r="I64" s="1">
        <v>178.61</v>
      </c>
      <c r="J64" s="1">
        <v>180.85</v>
      </c>
      <c r="K64" s="1">
        <v>180.8</v>
      </c>
      <c r="L64" s="1">
        <v>170.23</v>
      </c>
      <c r="M64" s="1">
        <v>183.91</v>
      </c>
      <c r="N64" s="1">
        <v>188.81</v>
      </c>
      <c r="O64" s="1">
        <v>191.44</v>
      </c>
      <c r="P64" s="1">
        <v>189.71</v>
      </c>
      <c r="Q64" s="1">
        <v>190.27</v>
      </c>
      <c r="R64" s="1" cm="1">
        <f t="array" ref="R64">IF(ISBLANK(B64),"",IFERROR(_FV(B64,"price"),INDEX('CoinGeko API'!E:E,MATCH(B64,'CoinGeko API'!C:C,0))))</f>
        <v>217.82</v>
      </c>
    </row>
    <row r="100" spans="1:18">
      <c r="A100" s="96" t="s">
        <v>506</v>
      </c>
      <c r="B100" s="102" t="s">
        <v>328</v>
      </c>
      <c r="C100" s="100">
        <v>44927</v>
      </c>
      <c r="D100" s="100">
        <v>44958</v>
      </c>
      <c r="E100" s="100">
        <v>44986</v>
      </c>
      <c r="F100" s="100">
        <v>45017</v>
      </c>
      <c r="G100" s="100">
        <v>45047</v>
      </c>
      <c r="H100" s="100">
        <v>45078</v>
      </c>
      <c r="I100" s="100">
        <v>45108</v>
      </c>
      <c r="J100" s="100">
        <v>45139</v>
      </c>
      <c r="K100" s="100">
        <v>45170</v>
      </c>
      <c r="L100" s="100">
        <v>45200</v>
      </c>
      <c r="M100" s="100">
        <v>45231</v>
      </c>
      <c r="N100" s="100">
        <v>45261</v>
      </c>
      <c r="O100" s="100">
        <v>45292</v>
      </c>
      <c r="P100" s="100">
        <v>45323</v>
      </c>
      <c r="Q100" s="100">
        <v>45352</v>
      </c>
      <c r="R100" s="1" t="s">
        <v>535</v>
      </c>
    </row>
    <row r="101" spans="1:18">
      <c r="A101" s="1" t="str" cm="1">
        <f t="array" ref="A101:A163">_xlfn._xlws.SORT(_xlfn.UNIQUE(_xlfn._xlws.FILTER(Transactions!D3:D1102, (Transactions!F3:F1102&lt;&gt;"Cash") * (Transactions!F3:F1102&lt;&gt;"Stable Coin") * (Transactions!D3:D1102&lt;&gt;""))))</f>
        <v>ADA</v>
      </c>
      <c r="B101" s="1" t="s">
        <v>55</v>
      </c>
      <c r="C101" s="1" cm="1">
        <f t="array" ref="C101">IF(ISBLANK(B101), "",
    SUMPRODUCT(
        (Transactions!$D$3:$D$74=B101) *
        (Transactions!$H$3:$H$74={"Cash Deposit","Crypto Deposit","Buy","Transfer Deposit","DRIP","Airdrop/Rewards"}) *
        Transactions!$I$3:$I$74
    )
    - SUMPRODUCT(
        (Transactions!$D$3:$D$74=B101) *
        (Transactions!$H$3:$H$74={"Sell","Transfer Send","Cash Withdrawal","Crypto Withdrawal"}) *
        Transactions!$I$3:$I$74
    )
)</f>
        <v>2999</v>
      </c>
      <c r="D101" s="1" cm="1">
        <f t="array" ref="D101">IF(ISBLANK(B101), "",
    SUMPRODUCT(
        (Transactions!$D$3:$D$76=B101) *
        (Transactions!$H$3:$H$76={"Cash Deposit","Crypto Deposit","Buy","Transfer Deposit","DRIP","Airdrop/Rewards"}) *
        Transactions!$I$3:$I$76
    )
    - SUMPRODUCT(
        (Transactions!$D$3:$D$76=B101) *
        (Transactions!$H$3:$H$76={"Sell","Transfer Send","Cash Withdrawal","Crypto Withdrawal"}) *
        Transactions!$I$3:$I$76
    )
)</f>
        <v>2999</v>
      </c>
      <c r="E101" s="1" cm="1">
        <f t="array" ref="E101">IF(ISBLANK(B101), "",
    SUMPRODUCT(
        (Transactions!$D$3:$D$83=B101) *
        (Transactions!$H$3:$H$83={"Cash Deposit","Crypto Deposit","Buy","Transfer Deposit","DRIP","Airdrop/Rewards"}) *
        Transactions!$I$3:$I$83
    )
    - SUMPRODUCT(
        (Transactions!$D$3:$D$83=B101) *
        (Transactions!$H$3:$H$83={"Sell","Transfer Send","Cash Withdrawal","Crypto Withdrawal"}) *
        Transactions!$I$3:$I$83
    )
)</f>
        <v>2999</v>
      </c>
      <c r="F101" s="1" cm="1">
        <f t="array" ref="F101">IF(ISBLANK(B101), "",
    SUMPRODUCT(
        (Transactions!$D$3:$D$98=B101) *
        (Transactions!$H$3:$H$98={"Cash Deposit","Crypto Deposit","Buy","Transfer Deposit","DRIP","Airdrop/Rewards"}) *
        Transactions!$I$3:$I$98
    )
    - SUMPRODUCT(
        (Transactions!$D$3:$D$98=B101) *
        (Transactions!$H$3:$H$98={"Sell","Transfer Send","Cash Withdrawal","Crypto Withdrawal"}) *
        Transactions!$I$3:$I$98
    )
)</f>
        <v>2999</v>
      </c>
      <c r="G101" s="1" cm="1">
        <f t="array" ref="G101">IF(ISBLANK(B101), "",
    SUMPRODUCT(
        (Transactions!$D$3:$D$114=B101) *
        (Transactions!$H$3:$H$114={"Cash Deposit","Crypto Deposit","Buy","Transfer Deposit","DRIP","Airdrop/Rewards"}) *
        Transactions!$I$3:$I$114
    )
    - SUMPRODUCT(
        (Transactions!$D$3:$D$114=B101) *
        (Transactions!$H$3:$H$114={"Sell","Transfer Send","Cash Withdrawal","Crypto Withdrawal"}) *
        Transactions!$I$3:$I$114
    )
)</f>
        <v>3295.5</v>
      </c>
      <c r="H101" s="1" cm="1">
        <f t="array" ref="H101">IF(ISBLANK(B101), "",
    SUMPRODUCT(
        (Transactions!$D$3:$D$139=B101) *
        (Transactions!$H$3:$H$139={"Cash Deposit","Crypto Deposit","Buy","Transfer Deposit","DRIP","Airdrop/Rewards"}) *
        Transactions!$I$3:$I$139
    )
    - SUMPRODUCT(
        (Transactions!$D$3:$D$139=B101) *
        (Transactions!$H$3:$H$139={"Sell","Transfer Send","Cash Withdrawal","Crypto Withdrawal"}) *
        Transactions!$I$3:$I$139
    )
)</f>
        <v>3511.78</v>
      </c>
      <c r="I101" s="1" cm="1">
        <f t="array" ref="I101">IF(ISBLANK(B101), "",
    SUMPRODUCT(
        (Transactions!$D$3:$D$165=B101) *
        (Transactions!$H$3:$H$165={"Cash Deposit","Crypto Deposit","Buy","Transfer Deposit","DRIP","Airdrop/Rewards"}) *
        Transactions!$I$3:$I$165
    )
    - SUMPRODUCT(
        (Transactions!$D$3:$D$165=B101) *
        (Transactions!$H$3:$H$165={"Sell","Transfer Send","Cash Withdrawal","Crypto Withdrawal"}) *
        Transactions!$I$3:$I$165
    )
)</f>
        <v>3836.55</v>
      </c>
      <c r="J101" s="1" cm="1">
        <f t="array" ref="J101">IF(ISBLANK(B101), "",
    SUMPRODUCT(
        (Transactions!$D$3:$D$174=B101) *
        (Transactions!$H$3:$H$174={"Cash Deposit","Crypto Deposit","Buy","Transfer Deposit","DRIP","Airdrop/Rewards"}) *
        Transactions!$I$3:$I$174
    )
    - SUMPRODUCT(
        (Transactions!$D$3:$D$174=B101) *
        (Transactions!$H$3:$H$174={"Sell","Transfer Send","Cash Withdrawal","Crypto Withdrawal"}) *
        Transactions!$I$3:$I$174
    )
)</f>
        <v>3836.55</v>
      </c>
      <c r="K101" s="1" cm="1">
        <f t="array" ref="K101">IF(ISBLANK(B101), "",
    SUMPRODUCT(
        (Transactions!$D$3:$D$181=B101) *
        (Transactions!$H$3:$H$181={"Cash Deposit","Crypto Deposit","Buy","Transfer Deposit","DRIP","Airdrop/Rewards"}) *
        Transactions!$I$3:$I$181
    )
    - SUMPRODUCT(
        (Transactions!$D$3:$D$181=B101) *
        (Transactions!$H$3:$H$181={"Sell","Transfer Send","Cash Withdrawal","Crypto Withdrawal"}) *
        Transactions!$I$3:$I$181
    )
)</f>
        <v>3836.55</v>
      </c>
      <c r="L101" s="1" cm="1">
        <f t="array" ref="L101">IF(ISBLANK(B101), "",
    SUMPRODUCT(
        (Transactions!$D$3:$D$185=B101) *
        (Transactions!$H$3:$H$185={"Cash Deposit","Crypto Deposit","Buy","Transfer Deposit","DRIP","Airdrop/Rewards"}) *
        Transactions!$I$3:$I$185
    )
    - SUMPRODUCT(
        (Transactions!$D$3:$D$185=B101) *
        (Transactions!$H$3:$H$185={"Sell","Transfer Send","Cash Withdrawal","Crypto Withdrawal"}) *
        Transactions!$I$3:$I$185
    )
)</f>
        <v>3836.55</v>
      </c>
      <c r="M101" s="1" cm="1">
        <f t="array" ref="M101">IF(ISBLANK(B101), "",
    SUMPRODUCT(
        (Transactions!$D$3:$D$194=B101) *
        (Transactions!$H$3:$H$194={"Cash Deposit","Crypto Deposit","Buy","Transfer Deposit","DRIP","Airdrop/Rewards"}) *
        Transactions!$I$3:$I$194
    )
    - SUMPRODUCT(
        (Transactions!$D$3:$D$194=B101) *
        (Transactions!$H$3:$H$194={"Sell","Transfer Send","Cash Withdrawal","Crypto Withdrawal"}) *
        Transactions!$I$3:$I$194
    )
)</f>
        <v>3836.55</v>
      </c>
      <c r="N101" s="1" cm="1">
        <f t="array" ref="N101">IF(ISBLANK(B101), "",
    SUMPRODUCT(
        (Transactions!$D$3:$D$201=B101) *
        (Transactions!$H$3:$H$201={"Cash Deposit","Crypto Deposit","Buy","Transfer Deposit","DRIP","Airdrop/Rewards"}) *
        Transactions!$I$3:$I$201
    )
    - SUMPRODUCT(
        (Transactions!$D$3:$D$201=B101) *
        (Transactions!$H$3:$H$201={"Sell","Transfer Send","Cash Withdrawal","Crypto Withdrawal"}) *
        Transactions!$I$3:$I$201
    )
)</f>
        <v>3836.55</v>
      </c>
      <c r="O101" s="1" cm="1">
        <f t="array" ref="O101">IF(ISBLANK(B101), "",
    SUMPRODUCT(
        (Transactions!$D$3:$D$229=B101) *
        (Transactions!$H$3:$H$229={"Cash Deposit","Crypto Deposit","Buy","Transfer Deposit","DRIP","Airdrop/Rewards"}) *
        Transactions!$I$3:$I$229
    )
    - SUMPRODUCT(
        (Transactions!$D$3:$D$229=B101) *
        (Transactions!$H$3:$H$229={"Sell","Transfer Send","Cash Withdrawal","Crypto Withdrawal"}) *
        Transactions!$I$3:$I$229
    )
)</f>
        <v>3836.55</v>
      </c>
      <c r="P101" s="1" cm="1">
        <f t="array" ref="P101">IF(ISBLANK(B101), "",
    SUMPRODUCT(
        (Transactions!$D$3:$D$305=B101) *
        (Transactions!$H$3:$H$305={"Cash Deposit","Crypto Deposit","Buy","Transfer Deposit","DRIP","Airdrop/Rewards"}) *
        Transactions!$I$3:$I$305
    )
    - SUMPRODUCT(
        (Transactions!$D$3:$D$305=B101) *
        (Transactions!$H$3:$H$305={"Sell","Transfer Send","Cash Withdrawal","Crypto Withdrawal"}) *
        Transactions!$I$3:$I$305
    )
)</f>
        <v>3921.21</v>
      </c>
      <c r="Q101" s="1" cm="1">
        <f t="array" ref="Q101">IF(ISBLANK(B101), "",
    SUMPRODUCT(
        (Transactions!$D$3:$D$376=B101) *
        (Transactions!$H$3:$H$376={"Cash Deposit","Crypto Deposit","Buy","Transfer Deposit","DRIP","Airdrop/Rewards"}) *
        Transactions!$I$3:$I$376
    )
    - SUMPRODUCT(
        (Transactions!$D$3:$D$376=B101) *
        (Transactions!$H$3:$H$376={"Sell","Transfer Send","Cash Withdrawal","Crypto Withdrawal"}) *
        Transactions!$I$3:$I$376
    )
)</f>
        <v>4121.21</v>
      </c>
      <c r="R101" s="1" cm="1">
        <f t="array" ref="R101">IF(ISBLANK(B101), "",
    SUMPRODUCT(
        (Transactions!$D$3:$D$1007=B101) *
        (Transactions!$H$3:$H$1007={"Cash Deposit","Crypto Deposit","Buy","Transfer Deposit","DRIP","Airdrop/Rewards"}) *
        Transactions!$I$3:$I$1007
    )
    - SUMPRODUCT(
        (Transactions!$D$3:$D$1007=B101) *
        (Transactions!$H$3:$H$1007={"Sell","Transfer Send","Cash Withdrawal","Crypto Withdrawal"}) *
        Transactions!$I$3:$I$1007
    )
)</f>
        <v>4121.2099699999999</v>
      </c>
    </row>
    <row r="102" spans="1:18">
      <c r="A102" s="1" t="str">
        <v>AI</v>
      </c>
      <c r="B102" s="1" t="s">
        <v>369</v>
      </c>
      <c r="C102" s="1" cm="1">
        <f t="array" ref="C102">IF(ISBLANK(B102), "",
    SUMPRODUCT(
        (Transactions!$D$3:$D$74=B102) *
        (Transactions!$H$3:$H$74={"Cash Deposit","Crypto Deposit","Buy","Transfer Deposit","DRIP","Airdrop/Rewards"}) *
        Transactions!$I$3:$I$74
    )
    - SUMPRODUCT(
        (Transactions!$D$3:$D$74=B102) *
        (Transactions!$H$3:$H$74={"Sell","Transfer Send","Cash Withdrawal","Crypto Withdrawal"}) *
        Transactions!$I$3:$I$74
    )
)</f>
        <v>0</v>
      </c>
      <c r="D102" s="1" cm="1">
        <f t="array" ref="D102">IF(ISBLANK(B102), "",
    SUMPRODUCT(
        (Transactions!$D$3:$D$76=B102) *
        (Transactions!$H$3:$H$76={"Cash Deposit","Crypto Deposit","Buy","Transfer Deposit","DRIP","Airdrop/Rewards"}) *
        Transactions!$I$3:$I$76
    )
    - SUMPRODUCT(
        (Transactions!$D$3:$D$76=B102) *
        (Transactions!$H$3:$H$76={"Sell","Transfer Send","Cash Withdrawal","Crypto Withdrawal"}) *
        Transactions!$I$3:$I$76
    )
)</f>
        <v>0</v>
      </c>
      <c r="E102" s="1" cm="1">
        <f t="array" ref="E102">IF(ISBLANK(B102), "",
    SUMPRODUCT(
        (Transactions!$D$3:$D$83=B102) *
        (Transactions!$H$3:$H$83={"Cash Deposit","Crypto Deposit","Buy","Transfer Deposit","DRIP","Airdrop/Rewards"}) *
        Transactions!$I$3:$I$83
    )
    - SUMPRODUCT(
        (Transactions!$D$3:$D$83=B102) *
        (Transactions!$H$3:$H$83={"Sell","Transfer Send","Cash Withdrawal","Crypto Withdrawal"}) *
        Transactions!$I$3:$I$83
    )
)</f>
        <v>0</v>
      </c>
      <c r="F102" s="1" cm="1">
        <f t="array" ref="F102">IF(ISBLANK(B102), "",
    SUMPRODUCT(
        (Transactions!$D$3:$D$98=B102) *
        (Transactions!$H$3:$H$98={"Cash Deposit","Crypto Deposit","Buy","Transfer Deposit","DRIP","Airdrop/Rewards"}) *
        Transactions!$I$3:$I$98
    )
    - SUMPRODUCT(
        (Transactions!$D$3:$D$98=B102) *
        (Transactions!$H$3:$H$98={"Sell","Transfer Send","Cash Withdrawal","Crypto Withdrawal"}) *
        Transactions!$I$3:$I$98
    )
)</f>
        <v>0</v>
      </c>
      <c r="G102" s="1" cm="1">
        <f t="array" ref="G102">IF(ISBLANK(B102), "",
    SUMPRODUCT(
        (Transactions!$D$3:$D$114=B102) *
        (Transactions!$H$3:$H$114={"Cash Deposit","Crypto Deposit","Buy","Transfer Deposit","DRIP","Airdrop/Rewards"}) *
        Transactions!$I$3:$I$114
    )
    - SUMPRODUCT(
        (Transactions!$D$3:$D$114=B102) *
        (Transactions!$H$3:$H$114={"Sell","Transfer Send","Cash Withdrawal","Crypto Withdrawal"}) *
        Transactions!$I$3:$I$114
    )
)</f>
        <v>0</v>
      </c>
      <c r="H102" s="1" cm="1">
        <f t="array" ref="H102">IF(ISBLANK(B102), "",
    SUMPRODUCT(
        (Transactions!$D$3:$D$139=B102) *
        (Transactions!$H$3:$H$139={"Cash Deposit","Crypto Deposit","Buy","Transfer Deposit","DRIP","Airdrop/Rewards"}) *
        Transactions!$I$3:$I$139
    )
    - SUMPRODUCT(
        (Transactions!$D$3:$D$139=B102) *
        (Transactions!$H$3:$H$139={"Sell","Transfer Send","Cash Withdrawal","Crypto Withdrawal"}) *
        Transactions!$I$3:$I$139
    )
)</f>
        <v>0</v>
      </c>
      <c r="I102" s="1" cm="1">
        <f t="array" ref="I102">IF(ISBLANK(B102), "",
    SUMPRODUCT(
        (Transactions!$D$3:$D$165=B102) *
        (Transactions!$H$3:$H$165={"Cash Deposit","Crypto Deposit","Buy","Transfer Deposit","DRIP","Airdrop/Rewards"}) *
        Transactions!$I$3:$I$165
    )
    - SUMPRODUCT(
        (Transactions!$D$3:$D$165=B102) *
        (Transactions!$H$3:$H$165={"Sell","Transfer Send","Cash Withdrawal","Crypto Withdrawal"}) *
        Transactions!$I$3:$I$165
    )
)</f>
        <v>0</v>
      </c>
      <c r="J102" s="1" cm="1">
        <f t="array" ref="J102">IF(ISBLANK(B102), "",
    SUMPRODUCT(
        (Transactions!$D$3:$D$174=B102) *
        (Transactions!$H$3:$H$174={"Cash Deposit","Crypto Deposit","Buy","Transfer Deposit","DRIP","Airdrop/Rewards"}) *
        Transactions!$I$3:$I$174
    )
    - SUMPRODUCT(
        (Transactions!$D$3:$D$174=B102) *
        (Transactions!$H$3:$H$174={"Sell","Transfer Send","Cash Withdrawal","Crypto Withdrawal"}) *
        Transactions!$I$3:$I$174
    )
)</f>
        <v>0</v>
      </c>
      <c r="K102" s="1" cm="1">
        <f t="array" ref="K102">IF(ISBLANK(B102), "",
    SUMPRODUCT(
        (Transactions!$D$3:$D$181=B102) *
        (Transactions!$H$3:$H$181={"Cash Deposit","Crypto Deposit","Buy","Transfer Deposit","DRIP","Airdrop/Rewards"}) *
        Transactions!$I$3:$I$181
    )
    - SUMPRODUCT(
        (Transactions!$D$3:$D$181=B102) *
        (Transactions!$H$3:$H$181={"Sell","Transfer Send","Cash Withdrawal","Crypto Withdrawal"}) *
        Transactions!$I$3:$I$181
    )
)</f>
        <v>0</v>
      </c>
      <c r="L102" s="1" cm="1">
        <f t="array" ref="L102">IF(ISBLANK(B102), "",
    SUMPRODUCT(
        (Transactions!$D$3:$D$185=B102) *
        (Transactions!$H$3:$H$185={"Cash Deposit","Crypto Deposit","Buy","Transfer Deposit","DRIP","Airdrop/Rewards"}) *
        Transactions!$I$3:$I$185
    )
    - SUMPRODUCT(
        (Transactions!$D$3:$D$185=B102) *
        (Transactions!$H$3:$H$185={"Sell","Transfer Send","Cash Withdrawal","Crypto Withdrawal"}) *
        Transactions!$I$3:$I$185
    )
)</f>
        <v>0</v>
      </c>
      <c r="M102" s="1" cm="1">
        <f t="array" ref="M102">IF(ISBLANK(B102), "",
    SUMPRODUCT(
        (Transactions!$D$3:$D$194=B102) *
        (Transactions!$H$3:$H$194={"Cash Deposit","Crypto Deposit","Buy","Transfer Deposit","DRIP","Airdrop/Rewards"}) *
        Transactions!$I$3:$I$194
    )
    - SUMPRODUCT(
        (Transactions!$D$3:$D$194=B102) *
        (Transactions!$H$3:$H$194={"Sell","Transfer Send","Cash Withdrawal","Crypto Withdrawal"}) *
        Transactions!$I$3:$I$194
    )
)</f>
        <v>0</v>
      </c>
      <c r="N102" s="1" cm="1">
        <f t="array" ref="N102">IF(ISBLANK(B102), "",
    SUMPRODUCT(
        (Transactions!$D$3:$D$201=B102) *
        (Transactions!$H$3:$H$201={"Cash Deposit","Crypto Deposit","Buy","Transfer Deposit","DRIP","Airdrop/Rewards"}) *
        Transactions!$I$3:$I$201
    )
    - SUMPRODUCT(
        (Transactions!$D$3:$D$201=B102) *
        (Transactions!$H$3:$H$201={"Sell","Transfer Send","Cash Withdrawal","Crypto Withdrawal"}) *
        Transactions!$I$3:$I$201
    )
)</f>
        <v>0</v>
      </c>
      <c r="O102" s="1" cm="1">
        <f t="array" ref="O102">IF(ISBLANK(B102), "",
    SUMPRODUCT(
        (Transactions!$D$3:$D$229=B102) *
        (Transactions!$H$3:$H$229={"Cash Deposit","Crypto Deposit","Buy","Transfer Deposit","DRIP","Airdrop/Rewards"}) *
        Transactions!$I$3:$I$229
    )
    - SUMPRODUCT(
        (Transactions!$D$3:$D$229=B102) *
        (Transactions!$H$3:$H$229={"Sell","Transfer Send","Cash Withdrawal","Crypto Withdrawal"}) *
        Transactions!$I$3:$I$229
    )
)</f>
        <v>0</v>
      </c>
      <c r="P102" s="1" cm="1">
        <f t="array" ref="P102">IF(ISBLANK(B102), "",
    SUMPRODUCT(
        (Transactions!$D$3:$D$305=B102) *
        (Transactions!$H$3:$H$305={"Cash Deposit","Crypto Deposit","Buy","Transfer Deposit","DRIP","Airdrop/Rewards"}) *
        Transactions!$I$3:$I$305
    )
    - SUMPRODUCT(
        (Transactions!$D$3:$D$305=B102) *
        (Transactions!$H$3:$H$305={"Sell","Transfer Send","Cash Withdrawal","Crypto Withdrawal"}) *
        Transactions!$I$3:$I$305
    )
)</f>
        <v>0</v>
      </c>
      <c r="Q102" s="1" cm="1">
        <f t="array" ref="Q102">IF(ISBLANK(B102), "",
    SUMPRODUCT(
        (Transactions!$D$3:$D$376=B102) *
        (Transactions!$H$3:$H$376={"Cash Deposit","Crypto Deposit","Buy","Transfer Deposit","DRIP","Airdrop/Rewards"}) *
        Transactions!$I$3:$I$376
    )
    - SUMPRODUCT(
        (Transactions!$D$3:$D$376=B102) *
        (Transactions!$H$3:$H$376={"Sell","Transfer Send","Cash Withdrawal","Crypto Withdrawal"}) *
        Transactions!$I$3:$I$376
    )
)</f>
        <v>0</v>
      </c>
      <c r="R102" s="1" cm="1">
        <f t="array" ref="R102">IF(ISBLANK(B102), "",
    SUMPRODUCT(
        (Transactions!$D$3:$D$1007=B102) *
        (Transactions!$H$3:$H$1007={"Cash Deposit","Crypto Deposit","Buy","Transfer Deposit","DRIP","Airdrop/Rewards"}) *
        Transactions!$I$3:$I$1007
    )
    - SUMPRODUCT(
        (Transactions!$D$3:$D$1007=B102) *
        (Transactions!$H$3:$H$1007={"Sell","Transfer Send","Cash Withdrawal","Crypto Withdrawal"}) *
        Transactions!$I$3:$I$1007
    )
)</f>
        <v>0</v>
      </c>
    </row>
    <row r="103" spans="1:18">
      <c r="A103" s="1" t="str">
        <v>ALEX</v>
      </c>
      <c r="B103" s="1" t="s">
        <v>310</v>
      </c>
      <c r="C103" s="1" cm="1">
        <f t="array" ref="C103">IF(ISBLANK(B103), "",
    SUMPRODUCT(
        (Transactions!$D$3:$D$74=B103) *
        (Transactions!$H$3:$H$74={"Cash Deposit","Crypto Deposit","Buy","Transfer Deposit","DRIP","Airdrop/Rewards"}) *
        Transactions!$I$3:$I$74
    )
    - SUMPRODUCT(
        (Transactions!$D$3:$D$74=B103) *
        (Transactions!$H$3:$H$74={"Sell","Transfer Send","Cash Withdrawal","Crypto Withdrawal"}) *
        Transactions!$I$3:$I$74
    )
)</f>
        <v>0</v>
      </c>
      <c r="D103" s="1" cm="1">
        <f t="array" ref="D103">IF(ISBLANK(B103), "",
    SUMPRODUCT(
        (Transactions!$D$3:$D$76=B103) *
        (Transactions!$H$3:$H$76={"Cash Deposit","Crypto Deposit","Buy","Transfer Deposit","DRIP","Airdrop/Rewards"}) *
        Transactions!$I$3:$I$76
    )
    - SUMPRODUCT(
        (Transactions!$D$3:$D$76=B103) *
        (Transactions!$H$3:$H$76={"Sell","Transfer Send","Cash Withdrawal","Crypto Withdrawal"}) *
        Transactions!$I$3:$I$76
    )
)</f>
        <v>0</v>
      </c>
      <c r="E103" s="1" cm="1">
        <f t="array" ref="E103">IF(ISBLANK(B103), "",
    SUMPRODUCT(
        (Transactions!$D$3:$D$83=B103) *
        (Transactions!$H$3:$H$83={"Cash Deposit","Crypto Deposit","Buy","Transfer Deposit","DRIP","Airdrop/Rewards"}) *
        Transactions!$I$3:$I$83
    )
    - SUMPRODUCT(
        (Transactions!$D$3:$D$83=B103) *
        (Transactions!$H$3:$H$83={"Sell","Transfer Send","Cash Withdrawal","Crypto Withdrawal"}) *
        Transactions!$I$3:$I$83
    )
)</f>
        <v>0</v>
      </c>
      <c r="F103" s="1" cm="1">
        <f t="array" ref="F103">IF(ISBLANK(B103), "",
    SUMPRODUCT(
        (Transactions!$D$3:$D$98=B103) *
        (Transactions!$H$3:$H$98={"Cash Deposit","Crypto Deposit","Buy","Transfer Deposit","DRIP","Airdrop/Rewards"}) *
        Transactions!$I$3:$I$98
    )
    - SUMPRODUCT(
        (Transactions!$D$3:$D$98=B103) *
        (Transactions!$H$3:$H$98={"Sell","Transfer Send","Cash Withdrawal","Crypto Withdrawal"}) *
        Transactions!$I$3:$I$98
    )
)</f>
        <v>0</v>
      </c>
      <c r="G103" s="1" cm="1">
        <f t="array" ref="G103">IF(ISBLANK(B103), "",
    SUMPRODUCT(
        (Transactions!$D$3:$D$114=B103) *
        (Transactions!$H$3:$H$114={"Cash Deposit","Crypto Deposit","Buy","Transfer Deposit","DRIP","Airdrop/Rewards"}) *
        Transactions!$I$3:$I$114
    )
    - SUMPRODUCT(
        (Transactions!$D$3:$D$114=B103) *
        (Transactions!$H$3:$H$114={"Sell","Transfer Send","Cash Withdrawal","Crypto Withdrawal"}) *
        Transactions!$I$3:$I$114
    )
)</f>
        <v>0</v>
      </c>
      <c r="H103" s="1" cm="1">
        <f t="array" ref="H103">IF(ISBLANK(B103), "",
    SUMPRODUCT(
        (Transactions!$D$3:$D$139=B103) *
        (Transactions!$H$3:$H$139={"Cash Deposit","Crypto Deposit","Buy","Transfer Deposit","DRIP","Airdrop/Rewards"}) *
        Transactions!$I$3:$I$139
    )
    - SUMPRODUCT(
        (Transactions!$D$3:$D$139=B103) *
        (Transactions!$H$3:$H$139={"Sell","Transfer Send","Cash Withdrawal","Crypto Withdrawal"}) *
        Transactions!$I$3:$I$139
    )
)</f>
        <v>0</v>
      </c>
      <c r="I103" s="1" cm="1">
        <f t="array" ref="I103">IF(ISBLANK(B103), "",
    SUMPRODUCT(
        (Transactions!$D$3:$D$165=B103) *
        (Transactions!$H$3:$H$165={"Cash Deposit","Crypto Deposit","Buy","Transfer Deposit","DRIP","Airdrop/Rewards"}) *
        Transactions!$I$3:$I$165
    )
    - SUMPRODUCT(
        (Transactions!$D$3:$D$165=B103) *
        (Transactions!$H$3:$H$165={"Sell","Transfer Send","Cash Withdrawal","Crypto Withdrawal"}) *
        Transactions!$I$3:$I$165
    )
)</f>
        <v>0</v>
      </c>
      <c r="J103" s="1" cm="1">
        <f t="array" ref="J103">IF(ISBLANK(B103), "",
    SUMPRODUCT(
        (Transactions!$D$3:$D$174=B103) *
        (Transactions!$H$3:$H$174={"Cash Deposit","Crypto Deposit","Buy","Transfer Deposit","DRIP","Airdrop/Rewards"}) *
        Transactions!$I$3:$I$174
    )
    - SUMPRODUCT(
        (Transactions!$D$3:$D$174=B103) *
        (Transactions!$H$3:$H$174={"Sell","Transfer Send","Cash Withdrawal","Crypto Withdrawal"}) *
        Transactions!$I$3:$I$174
    )
)</f>
        <v>0</v>
      </c>
      <c r="K103" s="1" cm="1">
        <f t="array" ref="K103">IF(ISBLANK(B103), "",
    SUMPRODUCT(
        (Transactions!$D$3:$D$181=B103) *
        (Transactions!$H$3:$H$181={"Cash Deposit","Crypto Deposit","Buy","Transfer Deposit","DRIP","Airdrop/Rewards"}) *
        Transactions!$I$3:$I$181
    )
    - SUMPRODUCT(
        (Transactions!$D$3:$D$181=B103) *
        (Transactions!$H$3:$H$181={"Sell","Transfer Send","Cash Withdrawal","Crypto Withdrawal"}) *
        Transactions!$I$3:$I$181
    )
)</f>
        <v>0</v>
      </c>
      <c r="L103" s="1" cm="1">
        <f t="array" ref="L103">IF(ISBLANK(B103), "",
    SUMPRODUCT(
        (Transactions!$D$3:$D$185=B103) *
        (Transactions!$H$3:$H$185={"Cash Deposit","Crypto Deposit","Buy","Transfer Deposit","DRIP","Airdrop/Rewards"}) *
        Transactions!$I$3:$I$185
    )
    - SUMPRODUCT(
        (Transactions!$D$3:$D$185=B103) *
        (Transactions!$H$3:$H$185={"Sell","Transfer Send","Cash Withdrawal","Crypto Withdrawal"}) *
        Transactions!$I$3:$I$185
    )
)</f>
        <v>0</v>
      </c>
      <c r="M103" s="1" cm="1">
        <f t="array" ref="M103">IF(ISBLANK(B103), "",
    SUMPRODUCT(
        (Transactions!$D$3:$D$194=B103) *
        (Transactions!$H$3:$H$194={"Cash Deposit","Crypto Deposit","Buy","Transfer Deposit","DRIP","Airdrop/Rewards"}) *
        Transactions!$I$3:$I$194
    )
    - SUMPRODUCT(
        (Transactions!$D$3:$D$194=B103) *
        (Transactions!$H$3:$H$194={"Sell","Transfer Send","Cash Withdrawal","Crypto Withdrawal"}) *
        Transactions!$I$3:$I$194
    )
)</f>
        <v>0</v>
      </c>
      <c r="N103" s="1" cm="1">
        <f t="array" ref="N103">IF(ISBLANK(B103), "",
    SUMPRODUCT(
        (Transactions!$D$3:$D$201=B103) *
        (Transactions!$H$3:$H$201={"Cash Deposit","Crypto Deposit","Buy","Transfer Deposit","DRIP","Airdrop/Rewards"}) *
        Transactions!$I$3:$I$201
    )
    - SUMPRODUCT(
        (Transactions!$D$3:$D$201=B103) *
        (Transactions!$H$3:$H$201={"Sell","Transfer Send","Cash Withdrawal","Crypto Withdrawal"}) *
        Transactions!$I$3:$I$201
    )
)</f>
        <v>0</v>
      </c>
      <c r="O103" s="1" cm="1">
        <f t="array" ref="O103">IF(ISBLANK(B103), "",
    SUMPRODUCT(
        (Transactions!$D$3:$D$229=B103) *
        (Transactions!$H$3:$H$229={"Cash Deposit","Crypto Deposit","Buy","Transfer Deposit","DRIP","Airdrop/Rewards"}) *
        Transactions!$I$3:$I$229
    )
    - SUMPRODUCT(
        (Transactions!$D$3:$D$229=B103) *
        (Transactions!$H$3:$H$229={"Sell","Transfer Send","Cash Withdrawal","Crypto Withdrawal"}) *
        Transactions!$I$3:$I$229
    )
)</f>
        <v>0</v>
      </c>
      <c r="P103" s="1" cm="1">
        <f t="array" ref="P103">IF(ISBLANK(B103), "",
    SUMPRODUCT(
        (Transactions!$D$3:$D$305=B103) *
        (Transactions!$H$3:$H$305={"Cash Deposit","Crypto Deposit","Buy","Transfer Deposit","DRIP","Airdrop/Rewards"}) *
        Transactions!$I$3:$I$305
    )
    - SUMPRODUCT(
        (Transactions!$D$3:$D$305=B103) *
        (Transactions!$H$3:$H$305={"Sell","Transfer Send","Cash Withdrawal","Crypto Withdrawal"}) *
        Transactions!$I$3:$I$305
    )
)</f>
        <v>846</v>
      </c>
      <c r="Q103" s="1" cm="1">
        <f t="array" ref="Q103">IF(ISBLANK(B103), "",
    SUMPRODUCT(
        (Transactions!$D$3:$D$376=B103) *
        (Transactions!$H$3:$H$376={"Cash Deposit","Crypto Deposit","Buy","Transfer Deposit","DRIP","Airdrop/Rewards"}) *
        Transactions!$I$3:$I$376
    )
    - SUMPRODUCT(
        (Transactions!$D$3:$D$376=B103) *
        (Transactions!$H$3:$H$376={"Sell","Transfer Send","Cash Withdrawal","Crypto Withdrawal"}) *
        Transactions!$I$3:$I$376
    )
)</f>
        <v>846</v>
      </c>
      <c r="R103" s="1" cm="1">
        <f t="array" ref="R103">IF(ISBLANK(B103), "",
    SUMPRODUCT(
        (Transactions!$D$3:$D$1007=B103) *
        (Transactions!$H$3:$H$1007={"Cash Deposit","Crypto Deposit","Buy","Transfer Deposit","DRIP","Airdrop/Rewards"}) *
        Transactions!$I$3:$I$1007
    )
    - SUMPRODUCT(
        (Transactions!$D$3:$D$1007=B103) *
        (Transactions!$H$3:$H$1007={"Sell","Transfer Send","Cash Withdrawal","Crypto Withdrawal"}) *
        Transactions!$I$3:$I$1007
    )
)</f>
        <v>846</v>
      </c>
    </row>
    <row r="104" spans="1:18">
      <c r="A104" s="1" t="str">
        <v>ALT</v>
      </c>
      <c r="B104" s="1" t="s">
        <v>373</v>
      </c>
      <c r="C104" s="1" cm="1">
        <f t="array" ref="C104">IF(ISBLANK(B104), "",
    SUMPRODUCT(
        (Transactions!$D$3:$D$74=B104) *
        (Transactions!$H$3:$H$74={"Cash Deposit","Crypto Deposit","Buy","Transfer Deposit","DRIP","Airdrop/Rewards"}) *
        Transactions!$I$3:$I$74
    )
    - SUMPRODUCT(
        (Transactions!$D$3:$D$74=B104) *
        (Transactions!$H$3:$H$74={"Sell","Transfer Send","Cash Withdrawal","Crypto Withdrawal"}) *
        Transactions!$I$3:$I$74
    )
)</f>
        <v>0</v>
      </c>
      <c r="D104" s="1" cm="1">
        <f t="array" ref="D104">IF(ISBLANK(B104), "",
    SUMPRODUCT(
        (Transactions!$D$3:$D$76=B104) *
        (Transactions!$H$3:$H$76={"Cash Deposit","Crypto Deposit","Buy","Transfer Deposit","DRIP","Airdrop/Rewards"}) *
        Transactions!$I$3:$I$76
    )
    - SUMPRODUCT(
        (Transactions!$D$3:$D$76=B104) *
        (Transactions!$H$3:$H$76={"Sell","Transfer Send","Cash Withdrawal","Crypto Withdrawal"}) *
        Transactions!$I$3:$I$76
    )
)</f>
        <v>0</v>
      </c>
      <c r="E104" s="1" cm="1">
        <f t="array" ref="E104">IF(ISBLANK(B104), "",
    SUMPRODUCT(
        (Transactions!$D$3:$D$83=B104) *
        (Transactions!$H$3:$H$83={"Cash Deposit","Crypto Deposit","Buy","Transfer Deposit","DRIP","Airdrop/Rewards"}) *
        Transactions!$I$3:$I$83
    )
    - SUMPRODUCT(
        (Transactions!$D$3:$D$83=B104) *
        (Transactions!$H$3:$H$83={"Sell","Transfer Send","Cash Withdrawal","Crypto Withdrawal"}) *
        Transactions!$I$3:$I$83
    )
)</f>
        <v>0</v>
      </c>
      <c r="F104" s="1" cm="1">
        <f t="array" ref="F104">IF(ISBLANK(B104), "",
    SUMPRODUCT(
        (Transactions!$D$3:$D$98=B104) *
        (Transactions!$H$3:$H$98={"Cash Deposit","Crypto Deposit","Buy","Transfer Deposit","DRIP","Airdrop/Rewards"}) *
        Transactions!$I$3:$I$98
    )
    - SUMPRODUCT(
        (Transactions!$D$3:$D$98=B104) *
        (Transactions!$H$3:$H$98={"Sell","Transfer Send","Cash Withdrawal","Crypto Withdrawal"}) *
        Transactions!$I$3:$I$98
    )
)</f>
        <v>0</v>
      </c>
      <c r="G104" s="1" cm="1">
        <f t="array" ref="G104">IF(ISBLANK(B104), "",
    SUMPRODUCT(
        (Transactions!$D$3:$D$114=B104) *
        (Transactions!$H$3:$H$114={"Cash Deposit","Crypto Deposit","Buy","Transfer Deposit","DRIP","Airdrop/Rewards"}) *
        Transactions!$I$3:$I$114
    )
    - SUMPRODUCT(
        (Transactions!$D$3:$D$114=B104) *
        (Transactions!$H$3:$H$114={"Sell","Transfer Send","Cash Withdrawal","Crypto Withdrawal"}) *
        Transactions!$I$3:$I$114
    )
)</f>
        <v>0</v>
      </c>
      <c r="H104" s="1" cm="1">
        <f t="array" ref="H104">IF(ISBLANK(B104), "",
    SUMPRODUCT(
        (Transactions!$D$3:$D$139=B104) *
        (Transactions!$H$3:$H$139={"Cash Deposit","Crypto Deposit","Buy","Transfer Deposit","DRIP","Airdrop/Rewards"}) *
        Transactions!$I$3:$I$139
    )
    - SUMPRODUCT(
        (Transactions!$D$3:$D$139=B104) *
        (Transactions!$H$3:$H$139={"Sell","Transfer Send","Cash Withdrawal","Crypto Withdrawal"}) *
        Transactions!$I$3:$I$139
    )
)</f>
        <v>0</v>
      </c>
      <c r="I104" s="1" cm="1">
        <f t="array" ref="I104">IF(ISBLANK(B104), "",
    SUMPRODUCT(
        (Transactions!$D$3:$D$165=B104) *
        (Transactions!$H$3:$H$165={"Cash Deposit","Crypto Deposit","Buy","Transfer Deposit","DRIP","Airdrop/Rewards"}) *
        Transactions!$I$3:$I$165
    )
    - SUMPRODUCT(
        (Transactions!$D$3:$D$165=B104) *
        (Transactions!$H$3:$H$165={"Sell","Transfer Send","Cash Withdrawal","Crypto Withdrawal"}) *
        Transactions!$I$3:$I$165
    )
)</f>
        <v>0</v>
      </c>
      <c r="J104" s="1" cm="1">
        <f t="array" ref="J104">IF(ISBLANK(B104), "",
    SUMPRODUCT(
        (Transactions!$D$3:$D$174=B104) *
        (Transactions!$H$3:$H$174={"Cash Deposit","Crypto Deposit","Buy","Transfer Deposit","DRIP","Airdrop/Rewards"}) *
        Transactions!$I$3:$I$174
    )
    - SUMPRODUCT(
        (Transactions!$D$3:$D$174=B104) *
        (Transactions!$H$3:$H$174={"Sell","Transfer Send","Cash Withdrawal","Crypto Withdrawal"}) *
        Transactions!$I$3:$I$174
    )
)</f>
        <v>0</v>
      </c>
      <c r="K104" s="1" cm="1">
        <f t="array" ref="K104">IF(ISBLANK(B104), "",
    SUMPRODUCT(
        (Transactions!$D$3:$D$181=B104) *
        (Transactions!$H$3:$H$181={"Cash Deposit","Crypto Deposit","Buy","Transfer Deposit","DRIP","Airdrop/Rewards"}) *
        Transactions!$I$3:$I$181
    )
    - SUMPRODUCT(
        (Transactions!$D$3:$D$181=B104) *
        (Transactions!$H$3:$H$181={"Sell","Transfer Send","Cash Withdrawal","Crypto Withdrawal"}) *
        Transactions!$I$3:$I$181
    )
)</f>
        <v>0</v>
      </c>
      <c r="L104" s="1" cm="1">
        <f t="array" ref="L104">IF(ISBLANK(B104), "",
    SUMPRODUCT(
        (Transactions!$D$3:$D$185=B104) *
        (Transactions!$H$3:$H$185={"Cash Deposit","Crypto Deposit","Buy","Transfer Deposit","DRIP","Airdrop/Rewards"}) *
        Transactions!$I$3:$I$185
    )
    - SUMPRODUCT(
        (Transactions!$D$3:$D$185=B104) *
        (Transactions!$H$3:$H$185={"Sell","Transfer Send","Cash Withdrawal","Crypto Withdrawal"}) *
        Transactions!$I$3:$I$185
    )
)</f>
        <v>0</v>
      </c>
      <c r="M104" s="1" cm="1">
        <f t="array" ref="M104">IF(ISBLANK(B104), "",
    SUMPRODUCT(
        (Transactions!$D$3:$D$194=B104) *
        (Transactions!$H$3:$H$194={"Cash Deposit","Crypto Deposit","Buy","Transfer Deposit","DRIP","Airdrop/Rewards"}) *
        Transactions!$I$3:$I$194
    )
    - SUMPRODUCT(
        (Transactions!$D$3:$D$194=B104) *
        (Transactions!$H$3:$H$194={"Sell","Transfer Send","Cash Withdrawal","Crypto Withdrawal"}) *
        Transactions!$I$3:$I$194
    )
)</f>
        <v>0</v>
      </c>
      <c r="N104" s="1" cm="1">
        <f t="array" ref="N104">IF(ISBLANK(B104), "",
    SUMPRODUCT(
        (Transactions!$D$3:$D$201=B104) *
        (Transactions!$H$3:$H$201={"Cash Deposit","Crypto Deposit","Buy","Transfer Deposit","DRIP","Airdrop/Rewards"}) *
        Transactions!$I$3:$I$201
    )
    - SUMPRODUCT(
        (Transactions!$D$3:$D$201=B104) *
        (Transactions!$H$3:$H$201={"Sell","Transfer Send","Cash Withdrawal","Crypto Withdrawal"}) *
        Transactions!$I$3:$I$201
    )
)</f>
        <v>0</v>
      </c>
      <c r="O104" s="1" cm="1">
        <f t="array" ref="O104">IF(ISBLANK(B104), "",
    SUMPRODUCT(
        (Transactions!$D$3:$D$229=B104) *
        (Transactions!$H$3:$H$229={"Cash Deposit","Crypto Deposit","Buy","Transfer Deposit","DRIP","Airdrop/Rewards"}) *
        Transactions!$I$3:$I$229
    )
    - SUMPRODUCT(
        (Transactions!$D$3:$D$229=B104) *
        (Transactions!$H$3:$H$229={"Sell","Transfer Send","Cash Withdrawal","Crypto Withdrawal"}) *
        Transactions!$I$3:$I$229
    )
)</f>
        <v>0</v>
      </c>
      <c r="P104" s="1" cm="1">
        <f t="array" ref="P104">IF(ISBLANK(B104), "",
    SUMPRODUCT(
        (Transactions!$D$3:$D$305=B104) *
        (Transactions!$H$3:$H$305={"Cash Deposit","Crypto Deposit","Buy","Transfer Deposit","DRIP","Airdrop/Rewards"}) *
        Transactions!$I$3:$I$305
    )
    - SUMPRODUCT(
        (Transactions!$D$3:$D$305=B104) *
        (Transactions!$H$3:$H$305={"Sell","Transfer Send","Cash Withdrawal","Crypto Withdrawal"}) *
        Transactions!$I$3:$I$305
    )
)</f>
        <v>0</v>
      </c>
      <c r="Q104" s="1" cm="1">
        <f t="array" ref="Q104">IF(ISBLANK(B104), "",
    SUMPRODUCT(
        (Transactions!$D$3:$D$376=B104) *
        (Transactions!$H$3:$H$376={"Cash Deposit","Crypto Deposit","Buy","Transfer Deposit","DRIP","Airdrop/Rewards"}) *
        Transactions!$I$3:$I$376
    )
    - SUMPRODUCT(
        (Transactions!$D$3:$D$376=B104) *
        (Transactions!$H$3:$H$376={"Sell","Transfer Send","Cash Withdrawal","Crypto Withdrawal"}) *
        Transactions!$I$3:$I$376
    )
)</f>
        <v>0</v>
      </c>
      <c r="R104" s="1" cm="1">
        <f t="array" ref="R104">IF(ISBLANK(B104), "",
    SUMPRODUCT(
        (Transactions!$D$3:$D$1007=B104) *
        (Transactions!$H$3:$H$1007={"Cash Deposit","Crypto Deposit","Buy","Transfer Deposit","DRIP","Airdrop/Rewards"}) *
        Transactions!$I$3:$I$1007
    )
    - SUMPRODUCT(
        (Transactions!$D$3:$D$1007=B104) *
        (Transactions!$H$3:$H$1007={"Sell","Transfer Send","Cash Withdrawal","Crypto Withdrawal"}) *
        Transactions!$I$3:$I$1007
    )
)</f>
        <v>0</v>
      </c>
    </row>
    <row r="105" spans="1:18">
      <c r="A105" s="1" t="str">
        <v>ARB</v>
      </c>
      <c r="B105" s="1" t="s">
        <v>358</v>
      </c>
      <c r="C105" s="1" cm="1">
        <f t="array" ref="C105">IF(ISBLANK(B105), "",
    SUMPRODUCT(
        (Transactions!$D$3:$D$74=B105) *
        (Transactions!$H$3:$H$74={"Cash Deposit","Crypto Deposit","Buy","Transfer Deposit","DRIP","Airdrop/Rewards"}) *
        Transactions!$I$3:$I$74
    )
    - SUMPRODUCT(
        (Transactions!$D$3:$D$74=B105) *
        (Transactions!$H$3:$H$74={"Sell","Transfer Send","Cash Withdrawal","Crypto Withdrawal"}) *
        Transactions!$I$3:$I$74
    )
)</f>
        <v>0</v>
      </c>
      <c r="D105" s="1" cm="1">
        <f t="array" ref="D105">IF(ISBLANK(B105), "",
    SUMPRODUCT(
        (Transactions!$D$3:$D$76=B105) *
        (Transactions!$H$3:$H$76={"Cash Deposit","Crypto Deposit","Buy","Transfer Deposit","DRIP","Airdrop/Rewards"}) *
        Transactions!$I$3:$I$76
    )
    - SUMPRODUCT(
        (Transactions!$D$3:$D$76=B105) *
        (Transactions!$H$3:$H$76={"Sell","Transfer Send","Cash Withdrawal","Crypto Withdrawal"}) *
        Transactions!$I$3:$I$76
    )
)</f>
        <v>0</v>
      </c>
      <c r="E105" s="1" cm="1">
        <f t="array" ref="E105">IF(ISBLANK(B105), "",
    SUMPRODUCT(
        (Transactions!$D$3:$D$83=B105) *
        (Transactions!$H$3:$H$83={"Cash Deposit","Crypto Deposit","Buy","Transfer Deposit","DRIP","Airdrop/Rewards"}) *
        Transactions!$I$3:$I$83
    )
    - SUMPRODUCT(
        (Transactions!$D$3:$D$83=B105) *
        (Transactions!$H$3:$H$83={"Sell","Transfer Send","Cash Withdrawal","Crypto Withdrawal"}) *
        Transactions!$I$3:$I$83
    )
)</f>
        <v>0</v>
      </c>
      <c r="F105" s="1" cm="1">
        <f t="array" ref="F105">IF(ISBLANK(B105), "",
    SUMPRODUCT(
        (Transactions!$D$3:$D$98=B105) *
        (Transactions!$H$3:$H$98={"Cash Deposit","Crypto Deposit","Buy","Transfer Deposit","DRIP","Airdrop/Rewards"}) *
        Transactions!$I$3:$I$98
    )
    - SUMPRODUCT(
        (Transactions!$D$3:$D$98=B105) *
        (Transactions!$H$3:$H$98={"Sell","Transfer Send","Cash Withdrawal","Crypto Withdrawal"}) *
        Transactions!$I$3:$I$98
    )
)</f>
        <v>0</v>
      </c>
      <c r="G105" s="1" cm="1">
        <f t="array" ref="G105">IF(ISBLANK(B105), "",
    SUMPRODUCT(
        (Transactions!$D$3:$D$114=B105) *
        (Transactions!$H$3:$H$114={"Cash Deposit","Crypto Deposit","Buy","Transfer Deposit","DRIP","Airdrop/Rewards"}) *
        Transactions!$I$3:$I$114
    )
    - SUMPRODUCT(
        (Transactions!$D$3:$D$114=B105) *
        (Transactions!$H$3:$H$114={"Sell","Transfer Send","Cash Withdrawal","Crypto Withdrawal"}) *
        Transactions!$I$3:$I$114
    )
)</f>
        <v>0</v>
      </c>
      <c r="H105" s="1" cm="1">
        <f t="array" ref="H105">IF(ISBLANK(B105), "",
    SUMPRODUCT(
        (Transactions!$D$3:$D$139=B105) *
        (Transactions!$H$3:$H$139={"Cash Deposit","Crypto Deposit","Buy","Transfer Deposit","DRIP","Airdrop/Rewards"}) *
        Transactions!$I$3:$I$139
    )
    - SUMPRODUCT(
        (Transactions!$D$3:$D$139=B105) *
        (Transactions!$H$3:$H$139={"Sell","Transfer Send","Cash Withdrawal","Crypto Withdrawal"}) *
        Transactions!$I$3:$I$139
    )
)</f>
        <v>0</v>
      </c>
      <c r="I105" s="1" cm="1">
        <f t="array" ref="I105">IF(ISBLANK(B105), "",
    SUMPRODUCT(
        (Transactions!$D$3:$D$165=B105) *
        (Transactions!$H$3:$H$165={"Cash Deposit","Crypto Deposit","Buy","Transfer Deposit","DRIP","Airdrop/Rewards"}) *
        Transactions!$I$3:$I$165
    )
    - SUMPRODUCT(
        (Transactions!$D$3:$D$165=B105) *
        (Transactions!$H$3:$H$165={"Sell","Transfer Send","Cash Withdrawal","Crypto Withdrawal"}) *
        Transactions!$I$3:$I$165
    )
)</f>
        <v>0</v>
      </c>
      <c r="J105" s="1" cm="1">
        <f t="array" ref="J105">IF(ISBLANK(B105), "",
    SUMPRODUCT(
        (Transactions!$D$3:$D$174=B105) *
        (Transactions!$H$3:$H$174={"Cash Deposit","Crypto Deposit","Buy","Transfer Deposit","DRIP","Airdrop/Rewards"}) *
        Transactions!$I$3:$I$174
    )
    - SUMPRODUCT(
        (Transactions!$D$3:$D$174=B105) *
        (Transactions!$H$3:$H$174={"Sell","Transfer Send","Cash Withdrawal","Crypto Withdrawal"}) *
        Transactions!$I$3:$I$174
    )
)</f>
        <v>0</v>
      </c>
      <c r="K105" s="1" cm="1">
        <f t="array" ref="K105">IF(ISBLANK(B105), "",
    SUMPRODUCT(
        (Transactions!$D$3:$D$181=B105) *
        (Transactions!$H$3:$H$181={"Cash Deposit","Crypto Deposit","Buy","Transfer Deposit","DRIP","Airdrop/Rewards"}) *
        Transactions!$I$3:$I$181
    )
    - SUMPRODUCT(
        (Transactions!$D$3:$D$181=B105) *
        (Transactions!$H$3:$H$181={"Sell","Transfer Send","Cash Withdrawal","Crypto Withdrawal"}) *
        Transactions!$I$3:$I$181
    )
)</f>
        <v>0</v>
      </c>
      <c r="L105" s="1" cm="1">
        <f t="array" ref="L105">IF(ISBLANK(B105), "",
    SUMPRODUCT(
        (Transactions!$D$3:$D$185=B105) *
        (Transactions!$H$3:$H$185={"Cash Deposit","Crypto Deposit","Buy","Transfer Deposit","DRIP","Airdrop/Rewards"}) *
        Transactions!$I$3:$I$185
    )
    - SUMPRODUCT(
        (Transactions!$D$3:$D$185=B105) *
        (Transactions!$H$3:$H$185={"Sell","Transfer Send","Cash Withdrawal","Crypto Withdrawal"}) *
        Transactions!$I$3:$I$185
    )
)</f>
        <v>0</v>
      </c>
      <c r="M105" s="1" cm="1">
        <f t="array" ref="M105">IF(ISBLANK(B105), "",
    SUMPRODUCT(
        (Transactions!$D$3:$D$194=B105) *
        (Transactions!$H$3:$H$194={"Cash Deposit","Crypto Deposit","Buy","Transfer Deposit","DRIP","Airdrop/Rewards"}) *
        Transactions!$I$3:$I$194
    )
    - SUMPRODUCT(
        (Transactions!$D$3:$D$194=B105) *
        (Transactions!$H$3:$H$194={"Sell","Transfer Send","Cash Withdrawal","Crypto Withdrawal"}) *
        Transactions!$I$3:$I$194
    )
)</f>
        <v>0</v>
      </c>
      <c r="N105" s="1" cm="1">
        <f t="array" ref="N105">IF(ISBLANK(B105), "",
    SUMPRODUCT(
        (Transactions!$D$3:$D$201=B105) *
        (Transactions!$H$3:$H$201={"Cash Deposit","Crypto Deposit","Buy","Transfer Deposit","DRIP","Airdrop/Rewards"}) *
        Transactions!$I$3:$I$201
    )
    - SUMPRODUCT(
        (Transactions!$D$3:$D$201=B105) *
        (Transactions!$H$3:$H$201={"Sell","Transfer Send","Cash Withdrawal","Crypto Withdrawal"}) *
        Transactions!$I$3:$I$201
    )
)</f>
        <v>0</v>
      </c>
      <c r="O105" s="1" cm="1">
        <f t="array" ref="O105">IF(ISBLANK(B105), "",
    SUMPRODUCT(
        (Transactions!$D$3:$D$229=B105) *
        (Transactions!$H$3:$H$229={"Cash Deposit","Crypto Deposit","Buy","Transfer Deposit","DRIP","Airdrop/Rewards"}) *
        Transactions!$I$3:$I$229
    )
    - SUMPRODUCT(
        (Transactions!$D$3:$D$229=B105) *
        (Transactions!$H$3:$H$229={"Sell","Transfer Send","Cash Withdrawal","Crypto Withdrawal"}) *
        Transactions!$I$3:$I$229
    )
)</f>
        <v>0</v>
      </c>
      <c r="P105" s="1" cm="1">
        <f t="array" ref="P105">IF(ISBLANK(B105), "",
    SUMPRODUCT(
        (Transactions!$D$3:$D$305=B105) *
        (Transactions!$H$3:$H$305={"Cash Deposit","Crypto Deposit","Buy","Transfer Deposit","DRIP","Airdrop/Rewards"}) *
        Transactions!$I$3:$I$305
    )
    - SUMPRODUCT(
        (Transactions!$D$3:$D$305=B105) *
        (Transactions!$H$3:$H$305={"Sell","Transfer Send","Cash Withdrawal","Crypto Withdrawal"}) *
        Transactions!$I$3:$I$305
    )
)</f>
        <v>34.425660000000001</v>
      </c>
      <c r="Q105" s="1" cm="1">
        <f t="array" ref="Q105">IF(ISBLANK(B105), "",
    SUMPRODUCT(
        (Transactions!$D$3:$D$376=B105) *
        (Transactions!$H$3:$H$376={"Cash Deposit","Crypto Deposit","Buy","Transfer Deposit","DRIP","Airdrop/Rewards"}) *
        Transactions!$I$3:$I$376
    )
    - SUMPRODUCT(
        (Transactions!$D$3:$D$376=B105) *
        (Transactions!$H$3:$H$376={"Sell","Transfer Send","Cash Withdrawal","Crypto Withdrawal"}) *
        Transactions!$I$3:$I$376
    )
)</f>
        <v>34.425660000000001</v>
      </c>
      <c r="R105" s="1" cm="1">
        <f t="array" ref="R105">IF(ISBLANK(B105), "",
    SUMPRODUCT(
        (Transactions!$D$3:$D$1007=B105) *
        (Transactions!$H$3:$H$1007={"Cash Deposit","Crypto Deposit","Buy","Transfer Deposit","DRIP","Airdrop/Rewards"}) *
        Transactions!$I$3:$I$1007
    )
    - SUMPRODUCT(
        (Transactions!$D$3:$D$1007=B105) *
        (Transactions!$H$3:$H$1007={"Sell","Transfer Send","Cash Withdrawal","Crypto Withdrawal"}) *
        Transactions!$I$3:$I$1007
    )
)</f>
        <v>40.487659999999998</v>
      </c>
    </row>
    <row r="106" spans="1:18">
      <c r="A106" s="1" t="str">
        <v>ATOM</v>
      </c>
      <c r="B106" s="1" t="s">
        <v>52</v>
      </c>
      <c r="C106" s="1" cm="1">
        <f t="array" ref="C106">IF(ISBLANK(B106), "",
    SUMPRODUCT(
        (Transactions!$D$3:$D$74=B106) *
        (Transactions!$H$3:$H$74={"Cash Deposit","Crypto Deposit","Buy","Transfer Deposit","DRIP","Airdrop/Rewards"}) *
        Transactions!$I$3:$I$74
    )
    - SUMPRODUCT(
        (Transactions!$D$3:$D$74=B106) *
        (Transactions!$H$3:$H$74={"Sell","Transfer Send","Cash Withdrawal","Crypto Withdrawal"}) *
        Transactions!$I$3:$I$74
    )
)</f>
        <v>103.38800019999999</v>
      </c>
      <c r="D106" s="1" cm="1">
        <f t="array" ref="D106">IF(ISBLANK(B106), "",
    SUMPRODUCT(
        (Transactions!$D$3:$D$76=B106) *
        (Transactions!$H$3:$H$76={"Cash Deposit","Crypto Deposit","Buy","Transfer Deposit","DRIP","Airdrop/Rewards"}) *
        Transactions!$I$3:$I$76
    )
    - SUMPRODUCT(
        (Transactions!$D$3:$D$76=B106) *
        (Transactions!$H$3:$H$76={"Sell","Transfer Send","Cash Withdrawal","Crypto Withdrawal"}) *
        Transactions!$I$3:$I$76
    )
)</f>
        <v>103.38800019999999</v>
      </c>
      <c r="E106" s="1" cm="1">
        <f t="array" ref="E106">IF(ISBLANK(B106), "",
    SUMPRODUCT(
        (Transactions!$D$3:$D$83=B106) *
        (Transactions!$H$3:$H$83={"Cash Deposit","Crypto Deposit","Buy","Transfer Deposit","DRIP","Airdrop/Rewards"}) *
        Transactions!$I$3:$I$83
    )
    - SUMPRODUCT(
        (Transactions!$D$3:$D$83=B106) *
        (Transactions!$H$3:$H$83={"Sell","Transfer Send","Cash Withdrawal","Crypto Withdrawal"}) *
        Transactions!$I$3:$I$83
    )
)</f>
        <v>103.38800019999999</v>
      </c>
      <c r="F106" s="1" cm="1">
        <f t="array" ref="F106">IF(ISBLANK(B106), "",
    SUMPRODUCT(
        (Transactions!$D$3:$D$98=B106) *
        (Transactions!$H$3:$H$98={"Cash Deposit","Crypto Deposit","Buy","Transfer Deposit","DRIP","Airdrop/Rewards"}) *
        Transactions!$I$3:$I$98
    )
    - SUMPRODUCT(
        (Transactions!$D$3:$D$98=B106) *
        (Transactions!$H$3:$H$98={"Sell","Transfer Send","Cash Withdrawal","Crypto Withdrawal"}) *
        Transactions!$I$3:$I$98
    )
)</f>
        <v>103.38800019999999</v>
      </c>
      <c r="G106" s="1" cm="1">
        <f t="array" ref="G106">IF(ISBLANK(B106), "",
    SUMPRODUCT(
        (Transactions!$D$3:$D$114=B106) *
        (Transactions!$H$3:$H$114={"Cash Deposit","Crypto Deposit","Buy","Transfer Deposit","DRIP","Airdrop/Rewards"}) *
        Transactions!$I$3:$I$114
    )
    - SUMPRODUCT(
        (Transactions!$D$3:$D$114=B106) *
        (Transactions!$H$3:$H$114={"Sell","Transfer Send","Cash Withdrawal","Crypto Withdrawal"}) *
        Transactions!$I$3:$I$114
    )
)</f>
        <v>103.38800019999999</v>
      </c>
      <c r="H106" s="1" cm="1">
        <f t="array" ref="H106">IF(ISBLANK(B106), "",
    SUMPRODUCT(
        (Transactions!$D$3:$D$139=B106) *
        (Transactions!$H$3:$H$139={"Cash Deposit","Crypto Deposit","Buy","Transfer Deposit","DRIP","Airdrop/Rewards"}) *
        Transactions!$I$3:$I$139
    )
    - SUMPRODUCT(
        (Transactions!$D$3:$D$139=B106) *
        (Transactions!$H$3:$H$139={"Sell","Transfer Send","Cash Withdrawal","Crypto Withdrawal"}) *
        Transactions!$I$3:$I$139
    )
)</f>
        <v>103.38800019999999</v>
      </c>
      <c r="I106" s="1" cm="1">
        <f t="array" ref="I106">IF(ISBLANK(B106), "",
    SUMPRODUCT(
        (Transactions!$D$3:$D$165=B106) *
        (Transactions!$H$3:$H$165={"Cash Deposit","Crypto Deposit","Buy","Transfer Deposit","DRIP","Airdrop/Rewards"}) *
        Transactions!$I$3:$I$165
    )
    - SUMPRODUCT(
        (Transactions!$D$3:$D$165=B106) *
        (Transactions!$H$3:$H$165={"Sell","Transfer Send","Cash Withdrawal","Crypto Withdrawal"}) *
        Transactions!$I$3:$I$165
    )
)</f>
        <v>103.38800019999999</v>
      </c>
      <c r="J106" s="1" cm="1">
        <f t="array" ref="J106">IF(ISBLANK(B106), "",
    SUMPRODUCT(
        (Transactions!$D$3:$D$174=B106) *
        (Transactions!$H$3:$H$174={"Cash Deposit","Crypto Deposit","Buy","Transfer Deposit","DRIP","Airdrop/Rewards"}) *
        Transactions!$I$3:$I$174
    )
    - SUMPRODUCT(
        (Transactions!$D$3:$D$174=B106) *
        (Transactions!$H$3:$H$174={"Sell","Transfer Send","Cash Withdrawal","Crypto Withdrawal"}) *
        Transactions!$I$3:$I$174
    )
)</f>
        <v>103.38800019999999</v>
      </c>
      <c r="K106" s="1" cm="1">
        <f t="array" ref="K106">IF(ISBLANK(B106), "",
    SUMPRODUCT(
        (Transactions!$D$3:$D$181=B106) *
        (Transactions!$H$3:$H$181={"Cash Deposit","Crypto Deposit","Buy","Transfer Deposit","DRIP","Airdrop/Rewards"}) *
        Transactions!$I$3:$I$181
    )
    - SUMPRODUCT(
        (Transactions!$D$3:$D$181=B106) *
        (Transactions!$H$3:$H$181={"Sell","Transfer Send","Cash Withdrawal","Crypto Withdrawal"}) *
        Transactions!$I$3:$I$181
    )
)</f>
        <v>103.38800019999999</v>
      </c>
      <c r="L106" s="1" cm="1">
        <f t="array" ref="L106">IF(ISBLANK(B106), "",
    SUMPRODUCT(
        (Transactions!$D$3:$D$185=B106) *
        (Transactions!$H$3:$H$185={"Cash Deposit","Crypto Deposit","Buy","Transfer Deposit","DRIP","Airdrop/Rewards"}) *
        Transactions!$I$3:$I$185
    )
    - SUMPRODUCT(
        (Transactions!$D$3:$D$185=B106) *
        (Transactions!$H$3:$H$185={"Sell","Transfer Send","Cash Withdrawal","Crypto Withdrawal"}) *
        Transactions!$I$3:$I$185
    )
)</f>
        <v>103.38800019999999</v>
      </c>
      <c r="M106" s="1" cm="1">
        <f t="array" ref="M106">IF(ISBLANK(B106), "",
    SUMPRODUCT(
        (Transactions!$D$3:$D$194=B106) *
        (Transactions!$H$3:$H$194={"Cash Deposit","Crypto Deposit","Buy","Transfer Deposit","DRIP","Airdrop/Rewards"}) *
        Transactions!$I$3:$I$194
    )
    - SUMPRODUCT(
        (Transactions!$D$3:$D$194=B106) *
        (Transactions!$H$3:$H$194={"Sell","Transfer Send","Cash Withdrawal","Crypto Withdrawal"}) *
        Transactions!$I$3:$I$194
    )
)</f>
        <v>103.38800019999999</v>
      </c>
      <c r="N106" s="1" cm="1">
        <f t="array" ref="N106">IF(ISBLANK(B106), "",
    SUMPRODUCT(
        (Transactions!$D$3:$D$201=B106) *
        (Transactions!$H$3:$H$201={"Cash Deposit","Crypto Deposit","Buy","Transfer Deposit","DRIP","Airdrop/Rewards"}) *
        Transactions!$I$3:$I$201
    )
    - SUMPRODUCT(
        (Transactions!$D$3:$D$201=B106) *
        (Transactions!$H$3:$H$201={"Sell","Transfer Send","Cash Withdrawal","Crypto Withdrawal"}) *
        Transactions!$I$3:$I$201
    )
)</f>
        <v>103.38800019999999</v>
      </c>
      <c r="O106" s="1" cm="1">
        <f t="array" ref="O106">IF(ISBLANK(B106), "",
    SUMPRODUCT(
        (Transactions!$D$3:$D$229=B106) *
        (Transactions!$H$3:$H$229={"Cash Deposit","Crypto Deposit","Buy","Transfer Deposit","DRIP","Airdrop/Rewards"}) *
        Transactions!$I$3:$I$229
    )
    - SUMPRODUCT(
        (Transactions!$D$3:$D$229=B106) *
        (Transactions!$H$3:$H$229={"Sell","Transfer Send","Cash Withdrawal","Crypto Withdrawal"}) *
        Transactions!$I$3:$I$229
    )
)</f>
        <v>103.38800019999999</v>
      </c>
      <c r="P106" s="1" cm="1">
        <f t="array" ref="P106">IF(ISBLANK(B106), "",
    SUMPRODUCT(
        (Transactions!$D$3:$D$305=B106) *
        (Transactions!$H$3:$H$305={"Cash Deposit","Crypto Deposit","Buy","Transfer Deposit","DRIP","Airdrop/Rewards"}) *
        Transactions!$I$3:$I$305
    )
    - SUMPRODUCT(
        (Transactions!$D$3:$D$305=B106) *
        (Transactions!$H$3:$H$305={"Sell","Transfer Send","Cash Withdrawal","Crypto Withdrawal"}) *
        Transactions!$I$3:$I$305
    )
)</f>
        <v>103.38800019999999</v>
      </c>
      <c r="Q106" s="1" cm="1">
        <f t="array" ref="Q106">IF(ISBLANK(B106), "",
    SUMPRODUCT(
        (Transactions!$D$3:$D$376=B106) *
        (Transactions!$H$3:$H$376={"Cash Deposit","Crypto Deposit","Buy","Transfer Deposit","DRIP","Airdrop/Rewards"}) *
        Transactions!$I$3:$I$376
    )
    - SUMPRODUCT(
        (Transactions!$D$3:$D$376=B106) *
        (Transactions!$H$3:$H$376={"Sell","Transfer Send","Cash Withdrawal","Crypto Withdrawal"}) *
        Transactions!$I$3:$I$376
    )
)</f>
        <v>91.408000199999989</v>
      </c>
      <c r="R106" s="1" cm="1">
        <f t="array" ref="R106">IF(ISBLANK(B106), "",
    SUMPRODUCT(
        (Transactions!$D$3:$D$1007=B106) *
        (Transactions!$H$3:$H$1007={"Cash Deposit","Crypto Deposit","Buy","Transfer Deposit","DRIP","Airdrop/Rewards"}) *
        Transactions!$I$3:$I$1007
    )
    - SUMPRODUCT(
        (Transactions!$D$3:$D$1007=B106) *
        (Transactions!$H$3:$H$1007={"Sell","Transfer Send","Cash Withdrawal","Crypto Withdrawal"}) *
        Transactions!$I$3:$I$1007
    )
)</f>
        <v>91.408000199999989</v>
      </c>
    </row>
    <row r="107" spans="1:18">
      <c r="A107" s="1" t="str">
        <v>AVAX</v>
      </c>
      <c r="B107" s="1" t="s">
        <v>27</v>
      </c>
      <c r="C107" s="1" cm="1">
        <f t="array" ref="C107">IF(ISBLANK(B107), "",
    SUMPRODUCT(
        (Transactions!$D$3:$D$74=B107) *
        (Transactions!$H$3:$H$74={"Cash Deposit","Crypto Deposit","Buy","Transfer Deposit","DRIP","Airdrop/Rewards"}) *
        Transactions!$I$3:$I$74
    )
    - SUMPRODUCT(
        (Transactions!$D$3:$D$74=B107) *
        (Transactions!$H$3:$H$74={"Sell","Transfer Send","Cash Withdrawal","Crypto Withdrawal"}) *
        Transactions!$I$3:$I$74
    )
)</f>
        <v>20.6205</v>
      </c>
      <c r="D107" s="1" cm="1">
        <f t="array" ref="D107">IF(ISBLANK(B107), "",
    SUMPRODUCT(
        (Transactions!$D$3:$D$76=B107) *
        (Transactions!$H$3:$H$76={"Cash Deposit","Crypto Deposit","Buy","Transfer Deposit","DRIP","Airdrop/Rewards"}) *
        Transactions!$I$3:$I$76
    )
    - SUMPRODUCT(
        (Transactions!$D$3:$D$76=B107) *
        (Transactions!$H$3:$H$76={"Sell","Transfer Send","Cash Withdrawal","Crypto Withdrawal"}) *
        Transactions!$I$3:$I$76
    )
)</f>
        <v>20.6205</v>
      </c>
      <c r="E107" s="1" cm="1">
        <f t="array" ref="E107">IF(ISBLANK(B107), "",
    SUMPRODUCT(
        (Transactions!$D$3:$D$83=B107) *
        (Transactions!$H$3:$H$83={"Cash Deposit","Crypto Deposit","Buy","Transfer Deposit","DRIP","Airdrop/Rewards"}) *
        Transactions!$I$3:$I$83
    )
    - SUMPRODUCT(
        (Transactions!$D$3:$D$83=B107) *
        (Transactions!$H$3:$H$83={"Sell","Transfer Send","Cash Withdrawal","Crypto Withdrawal"}) *
        Transactions!$I$3:$I$83
    )
)</f>
        <v>20.6205</v>
      </c>
      <c r="F107" s="1" cm="1">
        <f t="array" ref="F107">IF(ISBLANK(B107), "",
    SUMPRODUCT(
        (Transactions!$D$3:$D$98=B107) *
        (Transactions!$H$3:$H$98={"Cash Deposit","Crypto Deposit","Buy","Transfer Deposit","DRIP","Airdrop/Rewards"}) *
        Transactions!$I$3:$I$98
    )
    - SUMPRODUCT(
        (Transactions!$D$3:$D$98=B107) *
        (Transactions!$H$3:$H$98={"Sell","Transfer Send","Cash Withdrawal","Crypto Withdrawal"}) *
        Transactions!$I$3:$I$98
    )
)</f>
        <v>20.6205</v>
      </c>
      <c r="G107" s="1" cm="1">
        <f t="array" ref="G107">IF(ISBLANK(B107), "",
    SUMPRODUCT(
        (Transactions!$D$3:$D$114=B107) *
        (Transactions!$H$3:$H$114={"Cash Deposit","Crypto Deposit","Buy","Transfer Deposit","DRIP","Airdrop/Rewards"}) *
        Transactions!$I$3:$I$114
    )
    - SUMPRODUCT(
        (Transactions!$D$3:$D$114=B107) *
        (Transactions!$H$3:$H$114={"Sell","Transfer Send","Cash Withdrawal","Crypto Withdrawal"}) *
        Transactions!$I$3:$I$114
    )
)</f>
        <v>20.6205</v>
      </c>
      <c r="H107" s="1" cm="1">
        <f t="array" ref="H107">IF(ISBLANK(B107), "",
    SUMPRODUCT(
        (Transactions!$D$3:$D$139=B107) *
        (Transactions!$H$3:$H$139={"Cash Deposit","Crypto Deposit","Buy","Transfer Deposit","DRIP","Airdrop/Rewards"}) *
        Transactions!$I$3:$I$139
    )
    - SUMPRODUCT(
        (Transactions!$D$3:$D$139=B107) *
        (Transactions!$H$3:$H$139={"Sell","Transfer Send","Cash Withdrawal","Crypto Withdrawal"}) *
        Transactions!$I$3:$I$139
    )
)</f>
        <v>20.6205</v>
      </c>
      <c r="I107" s="1" cm="1">
        <f t="array" ref="I107">IF(ISBLANK(B107), "",
    SUMPRODUCT(
        (Transactions!$D$3:$D$165=B107) *
        (Transactions!$H$3:$H$165={"Cash Deposit","Crypto Deposit","Buy","Transfer Deposit","DRIP","Airdrop/Rewards"}) *
        Transactions!$I$3:$I$165
    )
    - SUMPRODUCT(
        (Transactions!$D$3:$D$165=B107) *
        (Transactions!$H$3:$H$165={"Sell","Transfer Send","Cash Withdrawal","Crypto Withdrawal"}) *
        Transactions!$I$3:$I$165
    )
)</f>
        <v>20.6205</v>
      </c>
      <c r="J107" s="1" cm="1">
        <f t="array" ref="J107">IF(ISBLANK(B107), "",
    SUMPRODUCT(
        (Transactions!$D$3:$D$174=B107) *
        (Transactions!$H$3:$H$174={"Cash Deposit","Crypto Deposit","Buy","Transfer Deposit","DRIP","Airdrop/Rewards"}) *
        Transactions!$I$3:$I$174
    )
    - SUMPRODUCT(
        (Transactions!$D$3:$D$174=B107) *
        (Transactions!$H$3:$H$174={"Sell","Transfer Send","Cash Withdrawal","Crypto Withdrawal"}) *
        Transactions!$I$3:$I$174
    )
)</f>
        <v>20.6205</v>
      </c>
      <c r="K107" s="1" cm="1">
        <f t="array" ref="K107">IF(ISBLANK(B107), "",
    SUMPRODUCT(
        (Transactions!$D$3:$D$181=B107) *
        (Transactions!$H$3:$H$181={"Cash Deposit","Crypto Deposit","Buy","Transfer Deposit","DRIP","Airdrop/Rewards"}) *
        Transactions!$I$3:$I$181
    )
    - SUMPRODUCT(
        (Transactions!$D$3:$D$181=B107) *
        (Transactions!$H$3:$H$181={"Sell","Transfer Send","Cash Withdrawal","Crypto Withdrawal"}) *
        Transactions!$I$3:$I$181
    )
)</f>
        <v>20.6205</v>
      </c>
      <c r="L107" s="1" cm="1">
        <f t="array" ref="L107">IF(ISBLANK(B107), "",
    SUMPRODUCT(
        (Transactions!$D$3:$D$185=B107) *
        (Transactions!$H$3:$H$185={"Cash Deposit","Crypto Deposit","Buy","Transfer Deposit","DRIP","Airdrop/Rewards"}) *
        Transactions!$I$3:$I$185
    )
    - SUMPRODUCT(
        (Transactions!$D$3:$D$185=B107) *
        (Transactions!$H$3:$H$185={"Sell","Transfer Send","Cash Withdrawal","Crypto Withdrawal"}) *
        Transactions!$I$3:$I$185
    )
)</f>
        <v>20.6205</v>
      </c>
      <c r="M107" s="1" cm="1">
        <f t="array" ref="M107">IF(ISBLANK(B107), "",
    SUMPRODUCT(
        (Transactions!$D$3:$D$194=B107) *
        (Transactions!$H$3:$H$194={"Cash Deposit","Crypto Deposit","Buy","Transfer Deposit","DRIP","Airdrop/Rewards"}) *
        Transactions!$I$3:$I$194
    )
    - SUMPRODUCT(
        (Transactions!$D$3:$D$194=B107) *
        (Transactions!$H$3:$H$194={"Sell","Transfer Send","Cash Withdrawal","Crypto Withdrawal"}) *
        Transactions!$I$3:$I$194
    )
)</f>
        <v>86.770499999999998</v>
      </c>
      <c r="N107" s="1" cm="1">
        <f t="array" ref="N107">IF(ISBLANK(B107), "",
    SUMPRODUCT(
        (Transactions!$D$3:$D$201=B107) *
        (Transactions!$H$3:$H$201={"Cash Deposit","Crypto Deposit","Buy","Transfer Deposit","DRIP","Airdrop/Rewards"}) *
        Transactions!$I$3:$I$201
    )
    - SUMPRODUCT(
        (Transactions!$D$3:$D$201=B107) *
        (Transactions!$H$3:$H$201={"Sell","Transfer Send","Cash Withdrawal","Crypto Withdrawal"}) *
        Transactions!$I$3:$I$201
    )
)</f>
        <v>86.770499999999998</v>
      </c>
      <c r="O107" s="1" cm="1">
        <f t="array" ref="O107">IF(ISBLANK(B107), "",
    SUMPRODUCT(
        (Transactions!$D$3:$D$229=B107) *
        (Transactions!$H$3:$H$229={"Cash Deposit","Crypto Deposit","Buy","Transfer Deposit","DRIP","Airdrop/Rewards"}) *
        Transactions!$I$3:$I$229
    )
    - SUMPRODUCT(
        (Transactions!$D$3:$D$229=B107) *
        (Transactions!$H$3:$H$229={"Sell","Transfer Send","Cash Withdrawal","Crypto Withdrawal"}) *
        Transactions!$I$3:$I$229
    )
)</f>
        <v>86.770499999999998</v>
      </c>
      <c r="P107" s="1" cm="1">
        <f t="array" ref="P107">IF(ISBLANK(B107), "",
    SUMPRODUCT(
        (Transactions!$D$3:$D$305=B107) *
        (Transactions!$H$3:$H$305={"Cash Deposit","Crypto Deposit","Buy","Transfer Deposit","DRIP","Airdrop/Rewards"}) *
        Transactions!$I$3:$I$305
    )
    - SUMPRODUCT(
        (Transactions!$D$3:$D$305=B107) *
        (Transactions!$H$3:$H$305={"Sell","Transfer Send","Cash Withdrawal","Crypto Withdrawal"}) *
        Transactions!$I$3:$I$305
    )
)</f>
        <v>86.770499999999998</v>
      </c>
      <c r="Q107" s="1" cm="1">
        <f t="array" ref="Q107">IF(ISBLANK(B107), "",
    SUMPRODUCT(
        (Transactions!$D$3:$D$376=B107) *
        (Transactions!$H$3:$H$376={"Cash Deposit","Crypto Deposit","Buy","Transfer Deposit","DRIP","Airdrop/Rewards"}) *
        Transactions!$I$3:$I$376
    )
    - SUMPRODUCT(
        (Transactions!$D$3:$D$376=B107) *
        (Transactions!$H$3:$H$376={"Sell","Transfer Send","Cash Withdrawal","Crypto Withdrawal"}) *
        Transactions!$I$3:$I$376
    )
)</f>
        <v>98.9435</v>
      </c>
      <c r="R107" s="1" cm="1">
        <f t="array" ref="R107">IF(ISBLANK(B107), "",
    SUMPRODUCT(
        (Transactions!$D$3:$D$1007=B107) *
        (Transactions!$H$3:$H$1007={"Cash Deposit","Crypto Deposit","Buy","Transfer Deposit","DRIP","Airdrop/Rewards"}) *
        Transactions!$I$3:$I$1007
    )
    - SUMPRODUCT(
        (Transactions!$D$3:$D$1007=B107) *
        (Transactions!$H$3:$H$1007={"Sell","Transfer Send","Cash Withdrawal","Crypto Withdrawal"}) *
        Transactions!$I$3:$I$1007
    )
)</f>
        <v>98.938028914703949</v>
      </c>
    </row>
    <row r="108" spans="1:18">
      <c r="A108" s="1" t="str">
        <v>BNB</v>
      </c>
      <c r="B108" s="1" t="s">
        <v>10</v>
      </c>
      <c r="C108" s="1" cm="1">
        <f t="array" ref="C108">IF(ISBLANK(B108), "",
    SUMPRODUCT(
        (Transactions!$D$3:$D$74=B108) *
        (Transactions!$H$3:$H$74={"Cash Deposit","Crypto Deposit","Buy","Transfer Deposit","DRIP","Airdrop/Rewards"}) *
        Transactions!$I$3:$I$74
    )
    - SUMPRODUCT(
        (Transactions!$D$3:$D$74=B108) *
        (Transactions!$H$3:$H$74={"Sell","Transfer Send","Cash Withdrawal","Crypto Withdrawal"}) *
        Transactions!$I$3:$I$74
    )
)</f>
        <v>10.432829999999999</v>
      </c>
      <c r="D108" s="1" cm="1">
        <f t="array" ref="D108">IF(ISBLANK(B108), "",
    SUMPRODUCT(
        (Transactions!$D$3:$D$76=B108) *
        (Transactions!$H$3:$H$76={"Cash Deposit","Crypto Deposit","Buy","Transfer Deposit","DRIP","Airdrop/Rewards"}) *
        Transactions!$I$3:$I$76
    )
    - SUMPRODUCT(
        (Transactions!$D$3:$D$76=B108) *
        (Transactions!$H$3:$H$76={"Sell","Transfer Send","Cash Withdrawal","Crypto Withdrawal"}) *
        Transactions!$I$3:$I$76
    )
)</f>
        <v>10.432829999999999</v>
      </c>
      <c r="E108" s="1" cm="1">
        <f t="array" ref="E108">IF(ISBLANK(B108), "",
    SUMPRODUCT(
        (Transactions!$D$3:$D$83=B108) *
        (Transactions!$H$3:$H$83={"Cash Deposit","Crypto Deposit","Buy","Transfer Deposit","DRIP","Airdrop/Rewards"}) *
        Transactions!$I$3:$I$83
    )
    - SUMPRODUCT(
        (Transactions!$D$3:$D$83=B108) *
        (Transactions!$H$3:$H$83={"Sell","Transfer Send","Cash Withdrawal","Crypto Withdrawal"}) *
        Transactions!$I$3:$I$83
    )
)</f>
        <v>10.432829999999999</v>
      </c>
      <c r="F108" s="1" cm="1">
        <f t="array" ref="F108">IF(ISBLANK(B108), "",
    SUMPRODUCT(
        (Transactions!$D$3:$D$98=B108) *
        (Transactions!$H$3:$H$98={"Cash Deposit","Crypto Deposit","Buy","Transfer Deposit","DRIP","Airdrop/Rewards"}) *
        Transactions!$I$3:$I$98
    )
    - SUMPRODUCT(
        (Transactions!$D$3:$D$98=B108) *
        (Transactions!$H$3:$H$98={"Sell","Transfer Send","Cash Withdrawal","Crypto Withdrawal"}) *
        Transactions!$I$3:$I$98
    )
)</f>
        <v>10.432829999999999</v>
      </c>
      <c r="G108" s="1" cm="1">
        <f t="array" ref="G108">IF(ISBLANK(B108), "",
    SUMPRODUCT(
        (Transactions!$D$3:$D$114=B108) *
        (Transactions!$H$3:$H$114={"Cash Deposit","Crypto Deposit","Buy","Transfer Deposit","DRIP","Airdrop/Rewards"}) *
        Transactions!$I$3:$I$114
    )
    - SUMPRODUCT(
        (Transactions!$D$3:$D$114=B108) *
        (Transactions!$H$3:$H$114={"Sell","Transfer Send","Cash Withdrawal","Crypto Withdrawal"}) *
        Transactions!$I$3:$I$114
    )
)</f>
        <v>10.432829999999999</v>
      </c>
      <c r="H108" s="1" cm="1">
        <f t="array" ref="H108">IF(ISBLANK(B108), "",
    SUMPRODUCT(
        (Transactions!$D$3:$D$139=B108) *
        (Transactions!$H$3:$H$139={"Cash Deposit","Crypto Deposit","Buy","Transfer Deposit","DRIP","Airdrop/Rewards"}) *
        Transactions!$I$3:$I$139
    )
    - SUMPRODUCT(
        (Transactions!$D$3:$D$139=B108) *
        (Transactions!$H$3:$H$139={"Sell","Transfer Send","Cash Withdrawal","Crypto Withdrawal"}) *
        Transactions!$I$3:$I$139
    )
)</f>
        <v>10.432829999999999</v>
      </c>
      <c r="I108" s="1" cm="1">
        <f t="array" ref="I108">IF(ISBLANK(B108), "",
    SUMPRODUCT(
        (Transactions!$D$3:$D$165=B108) *
        (Transactions!$H$3:$H$165={"Cash Deposit","Crypto Deposit","Buy","Transfer Deposit","DRIP","Airdrop/Rewards"}) *
        Transactions!$I$3:$I$165
    )
    - SUMPRODUCT(
        (Transactions!$D$3:$D$165=B108) *
        (Transactions!$H$3:$H$165={"Sell","Transfer Send","Cash Withdrawal","Crypto Withdrawal"}) *
        Transactions!$I$3:$I$165
    )
)</f>
        <v>10.432829999999999</v>
      </c>
      <c r="J108" s="1" cm="1">
        <f t="array" ref="J108">IF(ISBLANK(B108), "",
    SUMPRODUCT(
        (Transactions!$D$3:$D$174=B108) *
        (Transactions!$H$3:$H$174={"Cash Deposit","Crypto Deposit","Buy","Transfer Deposit","DRIP","Airdrop/Rewards"}) *
        Transactions!$I$3:$I$174
    )
    - SUMPRODUCT(
        (Transactions!$D$3:$D$174=B108) *
        (Transactions!$H$3:$H$174={"Sell","Transfer Send","Cash Withdrawal","Crypto Withdrawal"}) *
        Transactions!$I$3:$I$174
    )
)</f>
        <v>10.432829999999999</v>
      </c>
      <c r="K108" s="1" cm="1">
        <f t="array" ref="K108">IF(ISBLANK(B108), "",
    SUMPRODUCT(
        (Transactions!$D$3:$D$181=B108) *
        (Transactions!$H$3:$H$181={"Cash Deposit","Crypto Deposit","Buy","Transfer Deposit","DRIP","Airdrop/Rewards"}) *
        Transactions!$I$3:$I$181
    )
    - SUMPRODUCT(
        (Transactions!$D$3:$D$181=B108) *
        (Transactions!$H$3:$H$181={"Sell","Transfer Send","Cash Withdrawal","Crypto Withdrawal"}) *
        Transactions!$I$3:$I$181
    )
)</f>
        <v>10.432829999999999</v>
      </c>
      <c r="L108" s="1" cm="1">
        <f t="array" ref="L108">IF(ISBLANK(B108), "",
    SUMPRODUCT(
        (Transactions!$D$3:$D$185=B108) *
        (Transactions!$H$3:$H$185={"Cash Deposit","Crypto Deposit","Buy","Transfer Deposit","DRIP","Airdrop/Rewards"}) *
        Transactions!$I$3:$I$185
    )
    - SUMPRODUCT(
        (Transactions!$D$3:$D$185=B108) *
        (Transactions!$H$3:$H$185={"Sell","Transfer Send","Cash Withdrawal","Crypto Withdrawal"}) *
        Transactions!$I$3:$I$185
    )
)</f>
        <v>10.432829999999999</v>
      </c>
      <c r="M108" s="1" cm="1">
        <f t="array" ref="M108">IF(ISBLANK(B108), "",
    SUMPRODUCT(
        (Transactions!$D$3:$D$194=B108) *
        (Transactions!$H$3:$H$194={"Cash Deposit","Crypto Deposit","Buy","Transfer Deposit","DRIP","Airdrop/Rewards"}) *
        Transactions!$I$3:$I$194
    )
    - SUMPRODUCT(
        (Transactions!$D$3:$D$194=B108) *
        (Transactions!$H$3:$H$194={"Sell","Transfer Send","Cash Withdrawal","Crypto Withdrawal"}) *
        Transactions!$I$3:$I$194
    )
)</f>
        <v>10.432829999999999</v>
      </c>
      <c r="N108" s="1" cm="1">
        <f t="array" ref="N108">IF(ISBLANK(B108), "",
    SUMPRODUCT(
        (Transactions!$D$3:$D$201=B108) *
        (Transactions!$H$3:$H$201={"Cash Deposit","Crypto Deposit","Buy","Transfer Deposit","DRIP","Airdrop/Rewards"}) *
        Transactions!$I$3:$I$201
    )
    - SUMPRODUCT(
        (Transactions!$D$3:$D$201=B108) *
        (Transactions!$H$3:$H$201={"Sell","Transfer Send","Cash Withdrawal","Crypto Withdrawal"}) *
        Transactions!$I$3:$I$201
    )
)</f>
        <v>10.432829999999999</v>
      </c>
      <c r="O108" s="1" cm="1">
        <f t="array" ref="O108">IF(ISBLANK(B108), "",
    SUMPRODUCT(
        (Transactions!$D$3:$D$229=B108) *
        (Transactions!$H$3:$H$229={"Cash Deposit","Crypto Deposit","Buy","Transfer Deposit","DRIP","Airdrop/Rewards"}) *
        Transactions!$I$3:$I$229
    )
    - SUMPRODUCT(
        (Transactions!$D$3:$D$229=B108) *
        (Transactions!$H$3:$H$229={"Sell","Transfer Send","Cash Withdrawal","Crypto Withdrawal"}) *
        Transactions!$I$3:$I$229
    )
)</f>
        <v>10.432829999999999</v>
      </c>
      <c r="P108" s="1" cm="1">
        <f t="array" ref="P108">IF(ISBLANK(B108), "",
    SUMPRODUCT(
        (Transactions!$D$3:$D$305=B108) *
        (Transactions!$H$3:$H$305={"Cash Deposit","Crypto Deposit","Buy","Transfer Deposit","DRIP","Airdrop/Rewards"}) *
        Transactions!$I$3:$I$305
    )
    - SUMPRODUCT(
        (Transactions!$D$3:$D$305=B108) *
        (Transactions!$H$3:$H$305={"Sell","Transfer Send","Cash Withdrawal","Crypto Withdrawal"}) *
        Transactions!$I$3:$I$305
    )
)</f>
        <v>10.432829999999999</v>
      </c>
      <c r="Q108" s="1" cm="1">
        <f t="array" ref="Q108">IF(ISBLANK(B108), "",
    SUMPRODUCT(
        (Transactions!$D$3:$D$376=B108) *
        (Transactions!$H$3:$H$376={"Cash Deposit","Crypto Deposit","Buy","Transfer Deposit","DRIP","Airdrop/Rewards"}) *
        Transactions!$I$3:$I$376
    )
    - SUMPRODUCT(
        (Transactions!$D$3:$D$376=B108) *
        (Transactions!$H$3:$H$376={"Sell","Transfer Send","Cash Withdrawal","Crypto Withdrawal"}) *
        Transactions!$I$3:$I$376
    )
)</f>
        <v>10.432829999999999</v>
      </c>
      <c r="R108" s="1" cm="1">
        <f t="array" ref="R108">IF(ISBLANK(B108), "",
    SUMPRODUCT(
        (Transactions!$D$3:$D$1007=B108) *
        (Transactions!$H$3:$H$1007={"Cash Deposit","Crypto Deposit","Buy","Transfer Deposit","DRIP","Airdrop/Rewards"}) *
        Transactions!$I$3:$I$1007
    )
    - SUMPRODUCT(
        (Transactions!$D$3:$D$1007=B108) *
        (Transactions!$H$3:$H$1007={"Sell","Transfer Send","Cash Withdrawal","Crypto Withdrawal"}) *
        Transactions!$I$3:$I$1007
    )
)</f>
        <v>10.579829999999999</v>
      </c>
    </row>
    <row r="109" spans="1:18">
      <c r="A109" s="1" t="str">
        <v>BTC</v>
      </c>
      <c r="B109" s="1" t="s">
        <v>47</v>
      </c>
      <c r="C109" s="1" cm="1">
        <f t="array" ref="C109">IF(ISBLANK(B109), "",
    SUMPRODUCT(
        (Transactions!$D$3:$D$74=B109) *
        (Transactions!$H$3:$H$74={"Cash Deposit","Crypto Deposit","Buy","Transfer Deposit","DRIP","Airdrop/Rewards"}) *
        Transactions!$I$3:$I$74
    )
    - SUMPRODUCT(
        (Transactions!$D$3:$D$74=B109) *
        (Transactions!$H$3:$H$74={"Sell","Transfer Send","Cash Withdrawal","Crypto Withdrawal"}) *
        Transactions!$I$3:$I$74
    )
)</f>
        <v>0.29944682</v>
      </c>
      <c r="D109" s="1" cm="1">
        <f t="array" ref="D109">IF(ISBLANK(B109), "",
    SUMPRODUCT(
        (Transactions!$D$3:$D$76=B109) *
        (Transactions!$H$3:$H$76={"Cash Deposit","Crypto Deposit","Buy","Transfer Deposit","DRIP","Airdrop/Rewards"}) *
        Transactions!$I$3:$I$76
    )
    - SUMPRODUCT(
        (Transactions!$D$3:$D$76=B109) *
        (Transactions!$H$3:$H$76={"Sell","Transfer Send","Cash Withdrawal","Crypto Withdrawal"}) *
        Transactions!$I$3:$I$76
    )
)</f>
        <v>0.29944682</v>
      </c>
      <c r="E109" s="1" cm="1">
        <f t="array" ref="E109">IF(ISBLANK(B109), "",
    SUMPRODUCT(
        (Transactions!$D$3:$D$83=B109) *
        (Transactions!$H$3:$H$83={"Cash Deposit","Crypto Deposit","Buy","Transfer Deposit","DRIP","Airdrop/Rewards"}) *
        Transactions!$I$3:$I$83
    )
    - SUMPRODUCT(
        (Transactions!$D$3:$D$83=B109) *
        (Transactions!$H$3:$H$83={"Sell","Transfer Send","Cash Withdrawal","Crypto Withdrawal"}) *
        Transactions!$I$3:$I$83
    )
)</f>
        <v>0.29944682</v>
      </c>
      <c r="F109" s="1" cm="1">
        <f t="array" ref="F109">IF(ISBLANK(B109), "",
    SUMPRODUCT(
        (Transactions!$D$3:$D$98=B109) *
        (Transactions!$H$3:$H$98={"Cash Deposit","Crypto Deposit","Buy","Transfer Deposit","DRIP","Airdrop/Rewards"}) *
        Transactions!$I$3:$I$98
    )
    - SUMPRODUCT(
        (Transactions!$D$3:$D$98=B109) *
        (Transactions!$H$3:$H$98={"Sell","Transfer Send","Cash Withdrawal","Crypto Withdrawal"}) *
        Transactions!$I$3:$I$98
    )
)</f>
        <v>0.29944682</v>
      </c>
      <c r="G109" s="1" cm="1">
        <f t="array" ref="G109">IF(ISBLANK(B109), "",
    SUMPRODUCT(
        (Transactions!$D$3:$D$114=B109) *
        (Transactions!$H$3:$H$114={"Cash Deposit","Crypto Deposit","Buy","Transfer Deposit","DRIP","Airdrop/Rewards"}) *
        Transactions!$I$3:$I$114
    )
    - SUMPRODUCT(
        (Transactions!$D$3:$D$114=B109) *
        (Transactions!$H$3:$H$114={"Sell","Transfer Send","Cash Withdrawal","Crypto Withdrawal"}) *
        Transactions!$I$3:$I$114
    )
)</f>
        <v>0.29944682</v>
      </c>
      <c r="H109" s="1" cm="1">
        <f t="array" ref="H109">IF(ISBLANK(B109), "",
    SUMPRODUCT(
        (Transactions!$D$3:$D$139=B109) *
        (Transactions!$H$3:$H$139={"Cash Deposit","Crypto Deposit","Buy","Transfer Deposit","DRIP","Airdrop/Rewards"}) *
        Transactions!$I$3:$I$139
    )
    - SUMPRODUCT(
        (Transactions!$D$3:$D$139=B109) *
        (Transactions!$H$3:$H$139={"Sell","Transfer Send","Cash Withdrawal","Crypto Withdrawal"}) *
        Transactions!$I$3:$I$139
    )
)</f>
        <v>0.31366081999999995</v>
      </c>
      <c r="I109" s="1" cm="1">
        <f t="array" ref="I109">IF(ISBLANK(B109), "",
    SUMPRODUCT(
        (Transactions!$D$3:$D$165=B109) *
        (Transactions!$H$3:$H$165={"Cash Deposit","Crypto Deposit","Buy","Transfer Deposit","DRIP","Airdrop/Rewards"}) *
        Transactions!$I$3:$I$165
    )
    - SUMPRODUCT(
        (Transactions!$D$3:$D$165=B109) *
        (Transactions!$H$3:$H$165={"Sell","Transfer Send","Cash Withdrawal","Crypto Withdrawal"}) *
        Transactions!$I$3:$I$165
    )
)</f>
        <v>0.31831181999999997</v>
      </c>
      <c r="J109" s="1" cm="1">
        <f t="array" ref="J109">IF(ISBLANK(B109), "",
    SUMPRODUCT(
        (Transactions!$D$3:$D$174=B109) *
        (Transactions!$H$3:$H$174={"Cash Deposit","Crypto Deposit","Buy","Transfer Deposit","DRIP","Airdrop/Rewards"}) *
        Transactions!$I$3:$I$174
    )
    - SUMPRODUCT(
        (Transactions!$D$3:$D$174=B109) *
        (Transactions!$H$3:$H$174={"Sell","Transfer Send","Cash Withdrawal","Crypto Withdrawal"}) *
        Transactions!$I$3:$I$174
    )
)</f>
        <v>0.31831181999999997</v>
      </c>
      <c r="K109" s="1" cm="1">
        <f t="array" ref="K109">IF(ISBLANK(B109), "",
    SUMPRODUCT(
        (Transactions!$D$3:$D$181=B109) *
        (Transactions!$H$3:$H$181={"Cash Deposit","Crypto Deposit","Buy","Transfer Deposit","DRIP","Airdrop/Rewards"}) *
        Transactions!$I$3:$I$181
    )
    - SUMPRODUCT(
        (Transactions!$D$3:$D$181=B109) *
        (Transactions!$H$3:$H$181={"Sell","Transfer Send","Cash Withdrawal","Crypto Withdrawal"}) *
        Transactions!$I$3:$I$181
    )
)</f>
        <v>0.31831181999999997</v>
      </c>
      <c r="L109" s="1" cm="1">
        <f t="array" ref="L109">IF(ISBLANK(B109), "",
    SUMPRODUCT(
        (Transactions!$D$3:$D$185=B109) *
        (Transactions!$H$3:$H$185={"Cash Deposit","Crypto Deposit","Buy","Transfer Deposit","DRIP","Airdrop/Rewards"}) *
        Transactions!$I$3:$I$185
    )
    - SUMPRODUCT(
        (Transactions!$D$3:$D$185=B109) *
        (Transactions!$H$3:$H$185={"Sell","Transfer Send","Cash Withdrawal","Crypto Withdrawal"}) *
        Transactions!$I$3:$I$185
    )
)</f>
        <v>0.31831181999999997</v>
      </c>
      <c r="M109" s="1" cm="1">
        <f t="array" ref="M109">IF(ISBLANK(B109), "",
    SUMPRODUCT(
        (Transactions!$D$3:$D$194=B109) *
        (Transactions!$H$3:$H$194={"Cash Deposit","Crypto Deposit","Buy","Transfer Deposit","DRIP","Airdrop/Rewards"}) *
        Transactions!$I$3:$I$194
    )
    - SUMPRODUCT(
        (Transactions!$D$3:$D$194=B109) *
        (Transactions!$H$3:$H$194={"Sell","Transfer Send","Cash Withdrawal","Crypto Withdrawal"}) *
        Transactions!$I$3:$I$194
    )
)</f>
        <v>0.31831181999999997</v>
      </c>
      <c r="N109" s="1" cm="1">
        <f t="array" ref="N109">IF(ISBLANK(B109), "",
    SUMPRODUCT(
        (Transactions!$D$3:$D$201=B109) *
        (Transactions!$H$3:$H$201={"Cash Deposit","Crypto Deposit","Buy","Transfer Deposit","DRIP","Airdrop/Rewards"}) *
        Transactions!$I$3:$I$201
    )
    - SUMPRODUCT(
        (Transactions!$D$3:$D$201=B109) *
        (Transactions!$H$3:$H$201={"Sell","Transfer Send","Cash Withdrawal","Crypto Withdrawal"}) *
        Transactions!$I$3:$I$201
    )
)</f>
        <v>0.32519881999999994</v>
      </c>
      <c r="O109" s="1" cm="1">
        <f t="array" ref="O109">IF(ISBLANK(B109), "",
    SUMPRODUCT(
        (Transactions!$D$3:$D$229=B109) *
        (Transactions!$H$3:$H$229={"Cash Deposit","Crypto Deposit","Buy","Transfer Deposit","DRIP","Airdrop/Rewards"}) *
        Transactions!$I$3:$I$229
    )
    - SUMPRODUCT(
        (Transactions!$D$3:$D$229=B109) *
        (Transactions!$H$3:$H$229={"Sell","Transfer Send","Cash Withdrawal","Crypto Withdrawal"}) *
        Transactions!$I$3:$I$229
    )
)</f>
        <v>0.32808381999999997</v>
      </c>
      <c r="P109" s="1" cm="1">
        <f t="array" ref="P109">IF(ISBLANK(B109), "",
    SUMPRODUCT(
        (Transactions!$D$3:$D$305=B109) *
        (Transactions!$H$3:$H$305={"Cash Deposit","Crypto Deposit","Buy","Transfer Deposit","DRIP","Airdrop/Rewards"}) *
        Transactions!$I$3:$I$305
    )
    - SUMPRODUCT(
        (Transactions!$D$3:$D$305=B109) *
        (Transactions!$H$3:$H$305={"Sell","Transfer Send","Cash Withdrawal","Crypto Withdrawal"}) *
        Transactions!$I$3:$I$305
    )
)</f>
        <v>0.31663981999999996</v>
      </c>
      <c r="Q109" s="1" cm="1">
        <f t="array" ref="Q109">IF(ISBLANK(B109), "",
    SUMPRODUCT(
        (Transactions!$D$3:$D$376=B109) *
        (Transactions!$H$3:$H$376={"Cash Deposit","Crypto Deposit","Buy","Transfer Deposit","DRIP","Airdrop/Rewards"}) *
        Transactions!$I$3:$I$376
    )
    - SUMPRODUCT(
        (Transactions!$D$3:$D$376=B109) *
        (Transactions!$H$3:$H$376={"Sell","Transfer Send","Cash Withdrawal","Crypto Withdrawal"}) *
        Transactions!$I$3:$I$376
    )
)</f>
        <v>0.29236523994681651</v>
      </c>
      <c r="R109" s="1" cm="1">
        <f t="array" ref="R109">IF(ISBLANK(B109), "",
    SUMPRODUCT(
        (Transactions!$D$3:$D$1007=B109) *
        (Transactions!$H$3:$H$1007={"Cash Deposit","Crypto Deposit","Buy","Transfer Deposit","DRIP","Airdrop/Rewards"}) *
        Transactions!$I$3:$I$1007
    )
    - SUMPRODUCT(
        (Transactions!$D$3:$D$1007=B109) *
        (Transactions!$H$3:$H$1007={"Sell","Transfer Send","Cash Withdrawal","Crypto Withdrawal"}) *
        Transactions!$I$3:$I$1007
    )
)</f>
        <v>0.22184523994681654</v>
      </c>
    </row>
    <row r="110" spans="1:18">
      <c r="A110" s="1" t="str">
        <v>BTC.B</v>
      </c>
      <c r="B110" s="1" t="s">
        <v>353</v>
      </c>
      <c r="C110" s="1" cm="1">
        <f t="array" ref="C110">IF(ISBLANK(B110), "",
    SUMPRODUCT(
        (Transactions!$D$3:$D$74=B110) *
        (Transactions!$H$3:$H$74={"Cash Deposit","Crypto Deposit","Buy","Transfer Deposit","DRIP","Airdrop/Rewards"}) *
        Transactions!$I$3:$I$74
    )
    - SUMPRODUCT(
        (Transactions!$D$3:$D$74=B110) *
        (Transactions!$H$3:$H$74={"Sell","Transfer Send","Cash Withdrawal","Crypto Withdrawal"}) *
        Transactions!$I$3:$I$74
    )
)</f>
        <v>0.2883</v>
      </c>
      <c r="D110" s="1" cm="1">
        <f t="array" ref="D110">IF(ISBLANK(B110), "",
    SUMPRODUCT(
        (Transactions!$D$3:$D$76=B110) *
        (Transactions!$H$3:$H$76={"Cash Deposit","Crypto Deposit","Buy","Transfer Deposit","DRIP","Airdrop/Rewards"}) *
        Transactions!$I$3:$I$76
    )
    - SUMPRODUCT(
        (Transactions!$D$3:$D$76=B110) *
        (Transactions!$H$3:$H$76={"Sell","Transfer Send","Cash Withdrawal","Crypto Withdrawal"}) *
        Transactions!$I$3:$I$76
    )
)</f>
        <v>0.2883</v>
      </c>
      <c r="E110" s="1" cm="1">
        <f t="array" ref="E110">IF(ISBLANK(B110), "",
    SUMPRODUCT(
        (Transactions!$D$3:$D$83=B110) *
        (Transactions!$H$3:$H$83={"Cash Deposit","Crypto Deposit","Buy","Transfer Deposit","DRIP","Airdrop/Rewards"}) *
        Transactions!$I$3:$I$83
    )
    - SUMPRODUCT(
        (Transactions!$D$3:$D$83=B110) *
        (Transactions!$H$3:$H$83={"Sell","Transfer Send","Cash Withdrawal","Crypto Withdrawal"}) *
        Transactions!$I$3:$I$83
    )
)</f>
        <v>0.2883</v>
      </c>
      <c r="F110" s="1" cm="1">
        <f t="array" ref="F110">IF(ISBLANK(B110), "",
    SUMPRODUCT(
        (Transactions!$D$3:$D$98=B110) *
        (Transactions!$H$3:$H$98={"Cash Deposit","Crypto Deposit","Buy","Transfer Deposit","DRIP","Airdrop/Rewards"}) *
        Transactions!$I$3:$I$98
    )
    - SUMPRODUCT(
        (Transactions!$D$3:$D$98=B110) *
        (Transactions!$H$3:$H$98={"Sell","Transfer Send","Cash Withdrawal","Crypto Withdrawal"}) *
        Transactions!$I$3:$I$98
    )
)</f>
        <v>0.2883</v>
      </c>
      <c r="G110" s="1" cm="1">
        <f t="array" ref="G110">IF(ISBLANK(B110), "",
    SUMPRODUCT(
        (Transactions!$D$3:$D$114=B110) *
        (Transactions!$H$3:$H$114={"Cash Deposit","Crypto Deposit","Buy","Transfer Deposit","DRIP","Airdrop/Rewards"}) *
        Transactions!$I$3:$I$114
    )
    - SUMPRODUCT(
        (Transactions!$D$3:$D$114=B110) *
        (Transactions!$H$3:$H$114={"Sell","Transfer Send","Cash Withdrawal","Crypto Withdrawal"}) *
        Transactions!$I$3:$I$114
    )
)</f>
        <v>0.2883</v>
      </c>
      <c r="H110" s="1" cm="1">
        <f t="array" ref="H110">IF(ISBLANK(B110), "",
    SUMPRODUCT(
        (Transactions!$D$3:$D$139=B110) *
        (Transactions!$H$3:$H$139={"Cash Deposit","Crypto Deposit","Buy","Transfer Deposit","DRIP","Airdrop/Rewards"}) *
        Transactions!$I$3:$I$139
    )
    - SUMPRODUCT(
        (Transactions!$D$3:$D$139=B110) *
        (Transactions!$H$3:$H$139={"Sell","Transfer Send","Cash Withdrawal","Crypto Withdrawal"}) *
        Transactions!$I$3:$I$139
    )
)</f>
        <v>0.2883</v>
      </c>
      <c r="I110" s="1" cm="1">
        <f t="array" ref="I110">IF(ISBLANK(B110), "",
    SUMPRODUCT(
        (Transactions!$D$3:$D$165=B110) *
        (Transactions!$H$3:$H$165={"Cash Deposit","Crypto Deposit","Buy","Transfer Deposit","DRIP","Airdrop/Rewards"}) *
        Transactions!$I$3:$I$165
    )
    - SUMPRODUCT(
        (Transactions!$D$3:$D$165=B110) *
        (Transactions!$H$3:$H$165={"Sell","Transfer Send","Cash Withdrawal","Crypto Withdrawal"}) *
        Transactions!$I$3:$I$165
    )
)</f>
        <v>0.2883</v>
      </c>
      <c r="J110" s="1" cm="1">
        <f t="array" ref="J110">IF(ISBLANK(B110), "",
    SUMPRODUCT(
        (Transactions!$D$3:$D$174=B110) *
        (Transactions!$H$3:$H$174={"Cash Deposit","Crypto Deposit","Buy","Transfer Deposit","DRIP","Airdrop/Rewards"}) *
        Transactions!$I$3:$I$174
    )
    - SUMPRODUCT(
        (Transactions!$D$3:$D$174=B110) *
        (Transactions!$H$3:$H$174={"Sell","Transfer Send","Cash Withdrawal","Crypto Withdrawal"}) *
        Transactions!$I$3:$I$174
    )
)</f>
        <v>0.2883</v>
      </c>
      <c r="K110" s="1" cm="1">
        <f t="array" ref="K110">IF(ISBLANK(B110), "",
    SUMPRODUCT(
        (Transactions!$D$3:$D$181=B110) *
        (Transactions!$H$3:$H$181={"Cash Deposit","Crypto Deposit","Buy","Transfer Deposit","DRIP","Airdrop/Rewards"}) *
        Transactions!$I$3:$I$181
    )
    - SUMPRODUCT(
        (Transactions!$D$3:$D$181=B110) *
        (Transactions!$H$3:$H$181={"Sell","Transfer Send","Cash Withdrawal","Crypto Withdrawal"}) *
        Transactions!$I$3:$I$181
    )
)</f>
        <v>0.2883</v>
      </c>
      <c r="L110" s="1" cm="1">
        <f t="array" ref="L110">IF(ISBLANK(B110), "",
    SUMPRODUCT(
        (Transactions!$D$3:$D$185=B110) *
        (Transactions!$H$3:$H$185={"Cash Deposit","Crypto Deposit","Buy","Transfer Deposit","DRIP","Airdrop/Rewards"}) *
        Transactions!$I$3:$I$185
    )
    - SUMPRODUCT(
        (Transactions!$D$3:$D$185=B110) *
        (Transactions!$H$3:$H$185={"Sell","Transfer Send","Cash Withdrawal","Crypto Withdrawal"}) *
        Transactions!$I$3:$I$185
    )
)</f>
        <v>0.2883</v>
      </c>
      <c r="M110" s="1" cm="1">
        <f t="array" ref="M110">IF(ISBLANK(B110), "",
    SUMPRODUCT(
        (Transactions!$D$3:$D$194=B110) *
        (Transactions!$H$3:$H$194={"Cash Deposit","Crypto Deposit","Buy","Transfer Deposit","DRIP","Airdrop/Rewards"}) *
        Transactions!$I$3:$I$194
    )
    - SUMPRODUCT(
        (Transactions!$D$3:$D$194=B110) *
        (Transactions!$H$3:$H$194={"Sell","Transfer Send","Cash Withdrawal","Crypto Withdrawal"}) *
        Transactions!$I$3:$I$194
    )
)</f>
        <v>0.2883</v>
      </c>
      <c r="N110" s="1" cm="1">
        <f t="array" ref="N110">IF(ISBLANK(B110), "",
    SUMPRODUCT(
        (Transactions!$D$3:$D$201=B110) *
        (Transactions!$H$3:$H$201={"Cash Deposit","Crypto Deposit","Buy","Transfer Deposit","DRIP","Airdrop/Rewards"}) *
        Transactions!$I$3:$I$201
    )
    - SUMPRODUCT(
        (Transactions!$D$3:$D$201=B110) *
        (Transactions!$H$3:$H$201={"Sell","Transfer Send","Cash Withdrawal","Crypto Withdrawal"}) *
        Transactions!$I$3:$I$201
    )
)</f>
        <v>0.2883</v>
      </c>
      <c r="O110" s="1" cm="1">
        <f t="array" ref="O110">IF(ISBLANK(B110), "",
    SUMPRODUCT(
        (Transactions!$D$3:$D$229=B110) *
        (Transactions!$H$3:$H$229={"Cash Deposit","Crypto Deposit","Buy","Transfer Deposit","DRIP","Airdrop/Rewards"}) *
        Transactions!$I$3:$I$229
    )
    - SUMPRODUCT(
        (Transactions!$D$3:$D$229=B110) *
        (Transactions!$H$3:$H$229={"Sell","Transfer Send","Cash Withdrawal","Crypto Withdrawal"}) *
        Transactions!$I$3:$I$229
    )
)</f>
        <v>0.2883</v>
      </c>
      <c r="P110" s="1" cm="1">
        <f t="array" ref="P110">IF(ISBLANK(B110), "",
    SUMPRODUCT(
        (Transactions!$D$3:$D$305=B110) *
        (Transactions!$H$3:$H$305={"Cash Deposit","Crypto Deposit","Buy","Transfer Deposit","DRIP","Airdrop/Rewards"}) *
        Transactions!$I$3:$I$305
    )
    - SUMPRODUCT(
        (Transactions!$D$3:$D$305=B110) *
        (Transactions!$H$3:$H$305={"Sell","Transfer Send","Cash Withdrawal","Crypto Withdrawal"}) *
        Transactions!$I$3:$I$305
    )
)</f>
        <v>0.2883</v>
      </c>
      <c r="Q110" s="1" cm="1">
        <f t="array" ref="Q110">IF(ISBLANK(B110), "",
    SUMPRODUCT(
        (Transactions!$D$3:$D$376=B110) *
        (Transactions!$H$3:$H$376={"Cash Deposit","Crypto Deposit","Buy","Transfer Deposit","DRIP","Airdrop/Rewards"}) *
        Transactions!$I$3:$I$376
    )
    - SUMPRODUCT(
        (Transactions!$D$3:$D$376=B110) *
        (Transactions!$H$3:$H$376={"Sell","Transfer Send","Cash Withdrawal","Crypto Withdrawal"}) *
        Transactions!$I$3:$I$376
    )
)</f>
        <v>0.15500675</v>
      </c>
      <c r="R110" s="1" cm="1">
        <f t="array" ref="R110">IF(ISBLANK(B110), "",
    SUMPRODUCT(
        (Transactions!$D$3:$D$1007=B110) *
        (Transactions!$H$3:$H$1007={"Cash Deposit","Crypto Deposit","Buy","Transfer Deposit","DRIP","Airdrop/Rewards"}) *
        Transactions!$I$3:$I$1007
    )
    - SUMPRODUCT(
        (Transactions!$D$3:$D$1007=B110) *
        (Transactions!$H$3:$H$1007={"Sell","Transfer Send","Cash Withdrawal","Crypto Withdrawal"}) *
        Transactions!$I$3:$I$1007
    )
)</f>
        <v>0.15500675</v>
      </c>
    </row>
    <row r="111" spans="1:18">
      <c r="A111" s="1" t="str">
        <v>BTCB</v>
      </c>
      <c r="B111" s="1" t="s">
        <v>60</v>
      </c>
      <c r="C111" s="1" cm="1">
        <f t="array" ref="C111">IF(ISBLANK(B111), "",
    SUMPRODUCT(
        (Transactions!$D$3:$D$74=B111) *
        (Transactions!$H$3:$H$74={"Cash Deposit","Crypto Deposit","Buy","Transfer Deposit","DRIP","Airdrop/Rewards"}) *
        Transactions!$I$3:$I$74
    )
    - SUMPRODUCT(
        (Transactions!$D$3:$D$74=B111) *
        (Transactions!$H$3:$H$74={"Sell","Transfer Send","Cash Withdrawal","Crypto Withdrawal"}) *
        Transactions!$I$3:$I$74
    )
)</f>
        <v>0.177755</v>
      </c>
      <c r="D111" s="1" cm="1">
        <f t="array" ref="D111">IF(ISBLANK(B111), "",
    SUMPRODUCT(
        (Transactions!$D$3:$D$76=B111) *
        (Transactions!$H$3:$H$76={"Cash Deposit","Crypto Deposit","Buy","Transfer Deposit","DRIP","Airdrop/Rewards"}) *
        Transactions!$I$3:$I$76
    )
    - SUMPRODUCT(
        (Transactions!$D$3:$D$76=B111) *
        (Transactions!$H$3:$H$76={"Sell","Transfer Send","Cash Withdrawal","Crypto Withdrawal"}) *
        Transactions!$I$3:$I$76
    )
)</f>
        <v>0.177755</v>
      </c>
      <c r="E111" s="1" cm="1">
        <f t="array" ref="E111">IF(ISBLANK(B111), "",
    SUMPRODUCT(
        (Transactions!$D$3:$D$83=B111) *
        (Transactions!$H$3:$H$83={"Cash Deposit","Crypto Deposit","Buy","Transfer Deposit","DRIP","Airdrop/Rewards"}) *
        Transactions!$I$3:$I$83
    )
    - SUMPRODUCT(
        (Transactions!$D$3:$D$83=B111) *
        (Transactions!$H$3:$H$83={"Sell","Transfer Send","Cash Withdrawal","Crypto Withdrawal"}) *
        Transactions!$I$3:$I$83
    )
)</f>
        <v>0.177755</v>
      </c>
      <c r="F111" s="1" cm="1">
        <f t="array" ref="F111">IF(ISBLANK(B111), "",
    SUMPRODUCT(
        (Transactions!$D$3:$D$98=B111) *
        (Transactions!$H$3:$H$98={"Cash Deposit","Crypto Deposit","Buy","Transfer Deposit","DRIP","Airdrop/Rewards"}) *
        Transactions!$I$3:$I$98
    )
    - SUMPRODUCT(
        (Transactions!$D$3:$D$98=B111) *
        (Transactions!$H$3:$H$98={"Sell","Transfer Send","Cash Withdrawal","Crypto Withdrawal"}) *
        Transactions!$I$3:$I$98
    )
)</f>
        <v>0.177755</v>
      </c>
      <c r="G111" s="1" cm="1">
        <f t="array" ref="G111">IF(ISBLANK(B111), "",
    SUMPRODUCT(
        (Transactions!$D$3:$D$114=B111) *
        (Transactions!$H$3:$H$114={"Cash Deposit","Crypto Deposit","Buy","Transfer Deposit","DRIP","Airdrop/Rewards"}) *
        Transactions!$I$3:$I$114
    )
    - SUMPRODUCT(
        (Transactions!$D$3:$D$114=B111) *
        (Transactions!$H$3:$H$114={"Sell","Transfer Send","Cash Withdrawal","Crypto Withdrawal"}) *
        Transactions!$I$3:$I$114
    )
)</f>
        <v>0.177755</v>
      </c>
      <c r="H111" s="1" cm="1">
        <f t="array" ref="H111">IF(ISBLANK(B111), "",
    SUMPRODUCT(
        (Transactions!$D$3:$D$139=B111) *
        (Transactions!$H$3:$H$139={"Cash Deposit","Crypto Deposit","Buy","Transfer Deposit","DRIP","Airdrop/Rewards"}) *
        Transactions!$I$3:$I$139
    )
    - SUMPRODUCT(
        (Transactions!$D$3:$D$139=B111) *
        (Transactions!$H$3:$H$139={"Sell","Transfer Send","Cash Withdrawal","Crypto Withdrawal"}) *
        Transactions!$I$3:$I$139
    )
)</f>
        <v>0.177755</v>
      </c>
      <c r="I111" s="1" cm="1">
        <f t="array" ref="I111">IF(ISBLANK(B111), "",
    SUMPRODUCT(
        (Transactions!$D$3:$D$165=B111) *
        (Transactions!$H$3:$H$165={"Cash Deposit","Crypto Deposit","Buy","Transfer Deposit","DRIP","Airdrop/Rewards"}) *
        Transactions!$I$3:$I$165
    )
    - SUMPRODUCT(
        (Transactions!$D$3:$D$165=B111) *
        (Transactions!$H$3:$H$165={"Sell","Transfer Send","Cash Withdrawal","Crypto Withdrawal"}) *
        Transactions!$I$3:$I$165
    )
)</f>
        <v>0.177755</v>
      </c>
      <c r="J111" s="1" cm="1">
        <f t="array" ref="J111">IF(ISBLANK(B111), "",
    SUMPRODUCT(
        (Transactions!$D$3:$D$174=B111) *
        (Transactions!$H$3:$H$174={"Cash Deposit","Crypto Deposit","Buy","Transfer Deposit","DRIP","Airdrop/Rewards"}) *
        Transactions!$I$3:$I$174
    )
    - SUMPRODUCT(
        (Transactions!$D$3:$D$174=B111) *
        (Transactions!$H$3:$H$174={"Sell","Transfer Send","Cash Withdrawal","Crypto Withdrawal"}) *
        Transactions!$I$3:$I$174
    )
)</f>
        <v>0.177755</v>
      </c>
      <c r="K111" s="1" cm="1">
        <f t="array" ref="K111">IF(ISBLANK(B111), "",
    SUMPRODUCT(
        (Transactions!$D$3:$D$181=B111) *
        (Transactions!$H$3:$H$181={"Cash Deposit","Crypto Deposit","Buy","Transfer Deposit","DRIP","Airdrop/Rewards"}) *
        Transactions!$I$3:$I$181
    )
    - SUMPRODUCT(
        (Transactions!$D$3:$D$181=B111) *
        (Transactions!$H$3:$H$181={"Sell","Transfer Send","Cash Withdrawal","Crypto Withdrawal"}) *
        Transactions!$I$3:$I$181
    )
)</f>
        <v>0.177755</v>
      </c>
      <c r="L111" s="1" cm="1">
        <f t="array" ref="L111">IF(ISBLANK(B111), "",
    SUMPRODUCT(
        (Transactions!$D$3:$D$185=B111) *
        (Transactions!$H$3:$H$185={"Cash Deposit","Crypto Deposit","Buy","Transfer Deposit","DRIP","Airdrop/Rewards"}) *
        Transactions!$I$3:$I$185
    )
    - SUMPRODUCT(
        (Transactions!$D$3:$D$185=B111) *
        (Transactions!$H$3:$H$185={"Sell","Transfer Send","Cash Withdrawal","Crypto Withdrawal"}) *
        Transactions!$I$3:$I$185
    )
)</f>
        <v>0.177755</v>
      </c>
      <c r="M111" s="1" cm="1">
        <f t="array" ref="M111">IF(ISBLANK(B111), "",
    SUMPRODUCT(
        (Transactions!$D$3:$D$194=B111) *
        (Transactions!$H$3:$H$194={"Cash Deposit","Crypto Deposit","Buy","Transfer Deposit","DRIP","Airdrop/Rewards"}) *
        Transactions!$I$3:$I$194
    )
    - SUMPRODUCT(
        (Transactions!$D$3:$D$194=B111) *
        (Transactions!$H$3:$H$194={"Sell","Transfer Send","Cash Withdrawal","Crypto Withdrawal"}) *
        Transactions!$I$3:$I$194
    )
)</f>
        <v>0.177755</v>
      </c>
      <c r="N111" s="1" cm="1">
        <f t="array" ref="N111">IF(ISBLANK(B111), "",
    SUMPRODUCT(
        (Transactions!$D$3:$D$201=B111) *
        (Transactions!$H$3:$H$201={"Cash Deposit","Crypto Deposit","Buy","Transfer Deposit","DRIP","Airdrop/Rewards"}) *
        Transactions!$I$3:$I$201
    )
    - SUMPRODUCT(
        (Transactions!$D$3:$D$201=B111) *
        (Transactions!$H$3:$H$201={"Sell","Transfer Send","Cash Withdrawal","Crypto Withdrawal"}) *
        Transactions!$I$3:$I$201
    )
)</f>
        <v>0.177755</v>
      </c>
      <c r="O111" s="1" cm="1">
        <f t="array" ref="O111">IF(ISBLANK(B111), "",
    SUMPRODUCT(
        (Transactions!$D$3:$D$229=B111) *
        (Transactions!$H$3:$H$229={"Cash Deposit","Crypto Deposit","Buy","Transfer Deposit","DRIP","Airdrop/Rewards"}) *
        Transactions!$I$3:$I$229
    )
    - SUMPRODUCT(
        (Transactions!$D$3:$D$229=B111) *
        (Transactions!$H$3:$H$229={"Sell","Transfer Send","Cash Withdrawal","Crypto Withdrawal"}) *
        Transactions!$I$3:$I$229
    )
)</f>
        <v>0.177755</v>
      </c>
      <c r="P111" s="1" cm="1">
        <f t="array" ref="P111">IF(ISBLANK(B111), "",
    SUMPRODUCT(
        (Transactions!$D$3:$D$305=B111) *
        (Transactions!$H$3:$H$305={"Cash Deposit","Crypto Deposit","Buy","Transfer Deposit","DRIP","Airdrop/Rewards"}) *
        Transactions!$I$3:$I$305
    )
    - SUMPRODUCT(
        (Transactions!$D$3:$D$305=B111) *
        (Transactions!$H$3:$H$305={"Sell","Transfer Send","Cash Withdrawal","Crypto Withdrawal"}) *
        Transactions!$I$3:$I$305
    )
)</f>
        <v>0.177755</v>
      </c>
      <c r="Q111" s="1" cm="1">
        <f t="array" ref="Q111">IF(ISBLANK(B111), "",
    SUMPRODUCT(
        (Transactions!$D$3:$D$376=B111) *
        (Transactions!$H$3:$H$376={"Cash Deposit","Crypto Deposit","Buy","Transfer Deposit","DRIP","Airdrop/Rewards"}) *
        Transactions!$I$3:$I$376
    )
    - SUMPRODUCT(
        (Transactions!$D$3:$D$376=B111) *
        (Transactions!$H$3:$H$376={"Sell","Transfer Send","Cash Withdrawal","Crypto Withdrawal"}) *
        Transactions!$I$3:$I$376
    )
)</f>
        <v>0.20275499999999999</v>
      </c>
      <c r="R111" s="1" cm="1">
        <f t="array" ref="R111">IF(ISBLANK(B111), "",
    SUMPRODUCT(
        (Transactions!$D$3:$D$1007=B111) *
        (Transactions!$H$3:$H$1007={"Cash Deposit","Crypto Deposit","Buy","Transfer Deposit","DRIP","Airdrop/Rewards"}) *
        Transactions!$I$3:$I$1007
    )
    - SUMPRODUCT(
        (Transactions!$D$3:$D$1007=B111) *
        (Transactions!$H$3:$H$1007={"Sell","Transfer Send","Cash Withdrawal","Crypto Withdrawal"}) *
        Transactions!$I$3:$I$1007
    )
)</f>
        <v>0.303365</v>
      </c>
    </row>
    <row r="112" spans="1:18">
      <c r="A112" s="1" t="str">
        <v>COQ</v>
      </c>
      <c r="B112" s="1" t="s">
        <v>510</v>
      </c>
      <c r="C112" s="1" cm="1">
        <f t="array" ref="C112">IF(ISBLANK(B112), "",
    SUMPRODUCT(
        (Transactions!$D$3:$D$74=B112) *
        (Transactions!$H$3:$H$74={"Cash Deposit","Crypto Deposit","Buy","Transfer Deposit","DRIP","Airdrop/Rewards"}) *
        Transactions!$I$3:$I$74
    )
    - SUMPRODUCT(
        (Transactions!$D$3:$D$74=B112) *
        (Transactions!$H$3:$H$74={"Sell","Transfer Send","Cash Withdrawal","Crypto Withdrawal"}) *
        Transactions!$I$3:$I$74
    )
)</f>
        <v>0</v>
      </c>
      <c r="D112" s="1" cm="1">
        <f t="array" ref="D112">IF(ISBLANK(B112), "",
    SUMPRODUCT(
        (Transactions!$D$3:$D$76=B112) *
        (Transactions!$H$3:$H$76={"Cash Deposit","Crypto Deposit","Buy","Transfer Deposit","DRIP","Airdrop/Rewards"}) *
        Transactions!$I$3:$I$76
    )
    - SUMPRODUCT(
        (Transactions!$D$3:$D$76=B112) *
        (Transactions!$H$3:$H$76={"Sell","Transfer Send","Cash Withdrawal","Crypto Withdrawal"}) *
        Transactions!$I$3:$I$76
    )
)</f>
        <v>0</v>
      </c>
      <c r="E112" s="1" cm="1">
        <f t="array" ref="E112">IF(ISBLANK(B112), "",
    SUMPRODUCT(
        (Transactions!$D$3:$D$83=B112) *
        (Transactions!$H$3:$H$83={"Cash Deposit","Crypto Deposit","Buy","Transfer Deposit","DRIP","Airdrop/Rewards"}) *
        Transactions!$I$3:$I$83
    )
    - SUMPRODUCT(
        (Transactions!$D$3:$D$83=B112) *
        (Transactions!$H$3:$H$83={"Sell","Transfer Send","Cash Withdrawal","Crypto Withdrawal"}) *
        Transactions!$I$3:$I$83
    )
)</f>
        <v>0</v>
      </c>
      <c r="F112" s="1" cm="1">
        <f t="array" ref="F112">IF(ISBLANK(B112), "",
    SUMPRODUCT(
        (Transactions!$D$3:$D$98=B112) *
        (Transactions!$H$3:$H$98={"Cash Deposit","Crypto Deposit","Buy","Transfer Deposit","DRIP","Airdrop/Rewards"}) *
        Transactions!$I$3:$I$98
    )
    - SUMPRODUCT(
        (Transactions!$D$3:$D$98=B112) *
        (Transactions!$H$3:$H$98={"Sell","Transfer Send","Cash Withdrawal","Crypto Withdrawal"}) *
        Transactions!$I$3:$I$98
    )
)</f>
        <v>0</v>
      </c>
      <c r="G112" s="1" cm="1">
        <f t="array" ref="G112">IF(ISBLANK(B112), "",
    SUMPRODUCT(
        (Transactions!$D$3:$D$114=B112) *
        (Transactions!$H$3:$H$114={"Cash Deposit","Crypto Deposit","Buy","Transfer Deposit","DRIP","Airdrop/Rewards"}) *
        Transactions!$I$3:$I$114
    )
    - SUMPRODUCT(
        (Transactions!$D$3:$D$114=B112) *
        (Transactions!$H$3:$H$114={"Sell","Transfer Send","Cash Withdrawal","Crypto Withdrawal"}) *
        Transactions!$I$3:$I$114
    )
)</f>
        <v>0</v>
      </c>
      <c r="H112" s="1" cm="1">
        <f t="array" ref="H112">IF(ISBLANK(B112), "",
    SUMPRODUCT(
        (Transactions!$D$3:$D$139=B112) *
        (Transactions!$H$3:$H$139={"Cash Deposit","Crypto Deposit","Buy","Transfer Deposit","DRIP","Airdrop/Rewards"}) *
        Transactions!$I$3:$I$139
    )
    - SUMPRODUCT(
        (Transactions!$D$3:$D$139=B112) *
        (Transactions!$H$3:$H$139={"Sell","Transfer Send","Cash Withdrawal","Crypto Withdrawal"}) *
        Transactions!$I$3:$I$139
    )
)</f>
        <v>0</v>
      </c>
      <c r="I112" s="1" cm="1">
        <f t="array" ref="I112">IF(ISBLANK(B112), "",
    SUMPRODUCT(
        (Transactions!$D$3:$D$165=B112) *
        (Transactions!$H$3:$H$165={"Cash Deposit","Crypto Deposit","Buy","Transfer Deposit","DRIP","Airdrop/Rewards"}) *
        Transactions!$I$3:$I$165
    )
    - SUMPRODUCT(
        (Transactions!$D$3:$D$165=B112) *
        (Transactions!$H$3:$H$165={"Sell","Transfer Send","Cash Withdrawal","Crypto Withdrawal"}) *
        Transactions!$I$3:$I$165
    )
)</f>
        <v>0</v>
      </c>
      <c r="J112" s="1" cm="1">
        <f t="array" ref="J112">IF(ISBLANK(B112), "",
    SUMPRODUCT(
        (Transactions!$D$3:$D$174=B112) *
        (Transactions!$H$3:$H$174={"Cash Deposit","Crypto Deposit","Buy","Transfer Deposit","DRIP","Airdrop/Rewards"}) *
        Transactions!$I$3:$I$174
    )
    - SUMPRODUCT(
        (Transactions!$D$3:$D$174=B112) *
        (Transactions!$H$3:$H$174={"Sell","Transfer Send","Cash Withdrawal","Crypto Withdrawal"}) *
        Transactions!$I$3:$I$174
    )
)</f>
        <v>0</v>
      </c>
      <c r="K112" s="1" cm="1">
        <f t="array" ref="K112">IF(ISBLANK(B112), "",
    SUMPRODUCT(
        (Transactions!$D$3:$D$181=B112) *
        (Transactions!$H$3:$H$181={"Cash Deposit","Crypto Deposit","Buy","Transfer Deposit","DRIP","Airdrop/Rewards"}) *
        Transactions!$I$3:$I$181
    )
    - SUMPRODUCT(
        (Transactions!$D$3:$D$181=B112) *
        (Transactions!$H$3:$H$181={"Sell","Transfer Send","Cash Withdrawal","Crypto Withdrawal"}) *
        Transactions!$I$3:$I$181
    )
)</f>
        <v>0</v>
      </c>
      <c r="L112" s="1" cm="1">
        <f t="array" ref="L112">IF(ISBLANK(B112), "",
    SUMPRODUCT(
        (Transactions!$D$3:$D$185=B112) *
        (Transactions!$H$3:$H$185={"Cash Deposit","Crypto Deposit","Buy","Transfer Deposit","DRIP","Airdrop/Rewards"}) *
        Transactions!$I$3:$I$185
    )
    - SUMPRODUCT(
        (Transactions!$D$3:$D$185=B112) *
        (Transactions!$H$3:$H$185={"Sell","Transfer Send","Cash Withdrawal","Crypto Withdrawal"}) *
        Transactions!$I$3:$I$185
    )
)</f>
        <v>0</v>
      </c>
      <c r="M112" s="1" cm="1">
        <f t="array" ref="M112">IF(ISBLANK(B112), "",
    SUMPRODUCT(
        (Transactions!$D$3:$D$194=B112) *
        (Transactions!$H$3:$H$194={"Cash Deposit","Crypto Deposit","Buy","Transfer Deposit","DRIP","Airdrop/Rewards"}) *
        Transactions!$I$3:$I$194
    )
    - SUMPRODUCT(
        (Transactions!$D$3:$D$194=B112) *
        (Transactions!$H$3:$H$194={"Sell","Transfer Send","Cash Withdrawal","Crypto Withdrawal"}) *
        Transactions!$I$3:$I$194
    )
)</f>
        <v>0</v>
      </c>
      <c r="N112" s="1" cm="1">
        <f t="array" ref="N112">IF(ISBLANK(B112), "",
    SUMPRODUCT(
        (Transactions!$D$3:$D$201=B112) *
        (Transactions!$H$3:$H$201={"Cash Deposit","Crypto Deposit","Buy","Transfer Deposit","DRIP","Airdrop/Rewards"}) *
        Transactions!$I$3:$I$201
    )
    - SUMPRODUCT(
        (Transactions!$D$3:$D$201=B112) *
        (Transactions!$H$3:$H$201={"Sell","Transfer Send","Cash Withdrawal","Crypto Withdrawal"}) *
        Transactions!$I$3:$I$201
    )
)</f>
        <v>0</v>
      </c>
      <c r="O112" s="1" cm="1">
        <f t="array" ref="O112">IF(ISBLANK(B112), "",
    SUMPRODUCT(
        (Transactions!$D$3:$D$229=B112) *
        (Transactions!$H$3:$H$229={"Cash Deposit","Crypto Deposit","Buy","Transfer Deposit","DRIP","Airdrop/Rewards"}) *
        Transactions!$I$3:$I$229
    )
    - SUMPRODUCT(
        (Transactions!$D$3:$D$229=B112) *
        (Transactions!$H$3:$H$229={"Sell","Transfer Send","Cash Withdrawal","Crypto Withdrawal"}) *
        Transactions!$I$3:$I$229
    )
)</f>
        <v>0</v>
      </c>
      <c r="P112" s="1" cm="1">
        <f t="array" ref="P112">IF(ISBLANK(B112), "",
    SUMPRODUCT(
        (Transactions!$D$3:$D$305=B112) *
        (Transactions!$H$3:$H$305={"Cash Deposit","Crypto Deposit","Buy","Transfer Deposit","DRIP","Airdrop/Rewards"}) *
        Transactions!$I$3:$I$305
    )
    - SUMPRODUCT(
        (Transactions!$D$3:$D$305=B112) *
        (Transactions!$H$3:$H$305={"Sell","Transfer Send","Cash Withdrawal","Crypto Withdrawal"}) *
        Transactions!$I$3:$I$305
    )
)</f>
        <v>0</v>
      </c>
      <c r="Q112" s="1" cm="1">
        <f t="array" ref="Q112">IF(ISBLANK(B112), "",
    SUMPRODUCT(
        (Transactions!$D$3:$D$376=B112) *
        (Transactions!$H$3:$H$376={"Cash Deposit","Crypto Deposit","Buy","Transfer Deposit","DRIP","Airdrop/Rewards"}) *
        Transactions!$I$3:$I$376
    )
    - SUMPRODUCT(
        (Transactions!$D$3:$D$376=B112) *
        (Transactions!$H$3:$H$376={"Sell","Transfer Send","Cash Withdrawal","Crypto Withdrawal"}) *
        Transactions!$I$3:$I$376
    )
)</f>
        <v>80000000</v>
      </c>
      <c r="R112" s="1" cm="1">
        <f t="array" ref="R112">IF(ISBLANK(B112), "",
    SUMPRODUCT(
        (Transactions!$D$3:$D$1007=B112) *
        (Transactions!$H$3:$H$1007={"Cash Deposit","Crypto Deposit","Buy","Transfer Deposit","DRIP","Airdrop/Rewards"}) *
        Transactions!$I$3:$I$1007
    )
    - SUMPRODUCT(
        (Transactions!$D$3:$D$1007=B112) *
        (Transactions!$H$3:$H$1007={"Sell","Transfer Send","Cash Withdrawal","Crypto Withdrawal"}) *
        Transactions!$I$3:$I$1007
    )
)</f>
        <v>100000000</v>
      </c>
    </row>
    <row r="113" spans="1:18">
      <c r="A113" s="1" t="str">
        <v>CRO</v>
      </c>
      <c r="B113" s="1" t="s">
        <v>295</v>
      </c>
      <c r="C113" s="1" cm="1">
        <f t="array" ref="C113">IF(ISBLANK(B113), "",
    SUMPRODUCT(
        (Transactions!$D$3:$D$74=B113) *
        (Transactions!$H$3:$H$74={"Cash Deposit","Crypto Deposit","Buy","Transfer Deposit","DRIP","Airdrop/Rewards"}) *
        Transactions!$I$3:$I$74
    )
    - SUMPRODUCT(
        (Transactions!$D$3:$D$74=B113) *
        (Transactions!$H$3:$H$74={"Sell","Transfer Send","Cash Withdrawal","Crypto Withdrawal"}) *
        Transactions!$I$3:$I$74
    )
)</f>
        <v>11558.85</v>
      </c>
      <c r="D113" s="1" cm="1">
        <f t="array" ref="D113">IF(ISBLANK(B113), "",
    SUMPRODUCT(
        (Transactions!$D$3:$D$76=B113) *
        (Transactions!$H$3:$H$76={"Cash Deposit","Crypto Deposit","Buy","Transfer Deposit","DRIP","Airdrop/Rewards"}) *
        Transactions!$I$3:$I$76
    )
    - SUMPRODUCT(
        (Transactions!$D$3:$D$76=B113) *
        (Transactions!$H$3:$H$76={"Sell","Transfer Send","Cash Withdrawal","Crypto Withdrawal"}) *
        Transactions!$I$3:$I$76
    )
)</f>
        <v>11558.85</v>
      </c>
      <c r="E113" s="1" cm="1">
        <f t="array" ref="E113">IF(ISBLANK(B113), "",
    SUMPRODUCT(
        (Transactions!$D$3:$D$83=B113) *
        (Transactions!$H$3:$H$83={"Cash Deposit","Crypto Deposit","Buy","Transfer Deposit","DRIP","Airdrop/Rewards"}) *
        Transactions!$I$3:$I$83
    )
    - SUMPRODUCT(
        (Transactions!$D$3:$D$83=B113) *
        (Transactions!$H$3:$H$83={"Sell","Transfer Send","Cash Withdrawal","Crypto Withdrawal"}) *
        Transactions!$I$3:$I$83
    )
)</f>
        <v>11558.85</v>
      </c>
      <c r="F113" s="1" cm="1">
        <f t="array" ref="F113">IF(ISBLANK(B113), "",
    SUMPRODUCT(
        (Transactions!$D$3:$D$98=B113) *
        (Transactions!$H$3:$H$98={"Cash Deposit","Crypto Deposit","Buy","Transfer Deposit","DRIP","Airdrop/Rewards"}) *
        Transactions!$I$3:$I$98
    )
    - SUMPRODUCT(
        (Transactions!$D$3:$D$98=B113) *
        (Transactions!$H$3:$H$98={"Sell","Transfer Send","Cash Withdrawal","Crypto Withdrawal"}) *
        Transactions!$I$3:$I$98
    )
)</f>
        <v>11558.85</v>
      </c>
      <c r="G113" s="1" cm="1">
        <f t="array" ref="G113">IF(ISBLANK(B113), "",
    SUMPRODUCT(
        (Transactions!$D$3:$D$114=B113) *
        (Transactions!$H$3:$H$114={"Cash Deposit","Crypto Deposit","Buy","Transfer Deposit","DRIP","Airdrop/Rewards"}) *
        Transactions!$I$3:$I$114
    )
    - SUMPRODUCT(
        (Transactions!$D$3:$D$114=B113) *
        (Transactions!$H$3:$H$114={"Sell","Transfer Send","Cash Withdrawal","Crypto Withdrawal"}) *
        Transactions!$I$3:$I$114
    )
)</f>
        <v>11558.85</v>
      </c>
      <c r="H113" s="1" cm="1">
        <f t="array" ref="H113">IF(ISBLANK(B113), "",
    SUMPRODUCT(
        (Transactions!$D$3:$D$139=B113) *
        (Transactions!$H$3:$H$139={"Cash Deposit","Crypto Deposit","Buy","Transfer Deposit","DRIP","Airdrop/Rewards"}) *
        Transactions!$I$3:$I$139
    )
    - SUMPRODUCT(
        (Transactions!$D$3:$D$139=B113) *
        (Transactions!$H$3:$H$139={"Sell","Transfer Send","Cash Withdrawal","Crypto Withdrawal"}) *
        Transactions!$I$3:$I$139
    )
)</f>
        <v>11558.85</v>
      </c>
      <c r="I113" s="1" cm="1">
        <f t="array" ref="I113">IF(ISBLANK(B113), "",
    SUMPRODUCT(
        (Transactions!$D$3:$D$165=B113) *
        (Transactions!$H$3:$H$165={"Cash Deposit","Crypto Deposit","Buy","Transfer Deposit","DRIP","Airdrop/Rewards"}) *
        Transactions!$I$3:$I$165
    )
    - SUMPRODUCT(
        (Transactions!$D$3:$D$165=B113) *
        (Transactions!$H$3:$H$165={"Sell","Transfer Send","Cash Withdrawal","Crypto Withdrawal"}) *
        Transactions!$I$3:$I$165
    )
)</f>
        <v>11558.85</v>
      </c>
      <c r="J113" s="1" cm="1">
        <f t="array" ref="J113">IF(ISBLANK(B113), "",
    SUMPRODUCT(
        (Transactions!$D$3:$D$174=B113) *
        (Transactions!$H$3:$H$174={"Cash Deposit","Crypto Deposit","Buy","Transfer Deposit","DRIP","Airdrop/Rewards"}) *
        Transactions!$I$3:$I$174
    )
    - SUMPRODUCT(
        (Transactions!$D$3:$D$174=B113) *
        (Transactions!$H$3:$H$174={"Sell","Transfer Send","Cash Withdrawal","Crypto Withdrawal"}) *
        Transactions!$I$3:$I$174
    )
)</f>
        <v>11558.85</v>
      </c>
      <c r="K113" s="1" cm="1">
        <f t="array" ref="K113">IF(ISBLANK(B113), "",
    SUMPRODUCT(
        (Transactions!$D$3:$D$181=B113) *
        (Transactions!$H$3:$H$181={"Cash Deposit","Crypto Deposit","Buy","Transfer Deposit","DRIP","Airdrop/Rewards"}) *
        Transactions!$I$3:$I$181
    )
    - SUMPRODUCT(
        (Transactions!$D$3:$D$181=B113) *
        (Transactions!$H$3:$H$181={"Sell","Transfer Send","Cash Withdrawal","Crypto Withdrawal"}) *
        Transactions!$I$3:$I$181
    )
)</f>
        <v>11558.85</v>
      </c>
      <c r="L113" s="1" cm="1">
        <f t="array" ref="L113">IF(ISBLANK(B113), "",
    SUMPRODUCT(
        (Transactions!$D$3:$D$185=B113) *
        (Transactions!$H$3:$H$185={"Cash Deposit","Crypto Deposit","Buy","Transfer Deposit","DRIP","Airdrop/Rewards"}) *
        Transactions!$I$3:$I$185
    )
    - SUMPRODUCT(
        (Transactions!$D$3:$D$185=B113) *
        (Transactions!$H$3:$H$185={"Sell","Transfer Send","Cash Withdrawal","Crypto Withdrawal"}) *
        Transactions!$I$3:$I$185
    )
)</f>
        <v>11558.85</v>
      </c>
      <c r="M113" s="1" cm="1">
        <f t="array" ref="M113">IF(ISBLANK(B113), "",
    SUMPRODUCT(
        (Transactions!$D$3:$D$194=B113) *
        (Transactions!$H$3:$H$194={"Cash Deposit","Crypto Deposit","Buy","Transfer Deposit","DRIP","Airdrop/Rewards"}) *
        Transactions!$I$3:$I$194
    )
    - SUMPRODUCT(
        (Transactions!$D$3:$D$194=B113) *
        (Transactions!$H$3:$H$194={"Sell","Transfer Send","Cash Withdrawal","Crypto Withdrawal"}) *
        Transactions!$I$3:$I$194
    )
)</f>
        <v>11558.85</v>
      </c>
      <c r="N113" s="1" cm="1">
        <f t="array" ref="N113">IF(ISBLANK(B113), "",
    SUMPRODUCT(
        (Transactions!$D$3:$D$201=B113) *
        (Transactions!$H$3:$H$201={"Cash Deposit","Crypto Deposit","Buy","Transfer Deposit","DRIP","Airdrop/Rewards"}) *
        Transactions!$I$3:$I$201
    )
    - SUMPRODUCT(
        (Transactions!$D$3:$D$201=B113) *
        (Transactions!$H$3:$H$201={"Sell","Transfer Send","Cash Withdrawal","Crypto Withdrawal"}) *
        Transactions!$I$3:$I$201
    )
)</f>
        <v>11558.85</v>
      </c>
      <c r="O113" s="1" cm="1">
        <f t="array" ref="O113">IF(ISBLANK(B113), "",
    SUMPRODUCT(
        (Transactions!$D$3:$D$229=B113) *
        (Transactions!$H$3:$H$229={"Cash Deposit","Crypto Deposit","Buy","Transfer Deposit","DRIP","Airdrop/Rewards"}) *
        Transactions!$I$3:$I$229
    )
    - SUMPRODUCT(
        (Transactions!$D$3:$D$229=B113) *
        (Transactions!$H$3:$H$229={"Sell","Transfer Send","Cash Withdrawal","Crypto Withdrawal"}) *
        Transactions!$I$3:$I$229
    )
)</f>
        <v>11558.85</v>
      </c>
      <c r="P113" s="1" cm="1">
        <f t="array" ref="P113">IF(ISBLANK(B113), "",
    SUMPRODUCT(
        (Transactions!$D$3:$D$305=B113) *
        (Transactions!$H$3:$H$305={"Cash Deposit","Crypto Deposit","Buy","Transfer Deposit","DRIP","Airdrop/Rewards"}) *
        Transactions!$I$3:$I$305
    )
    - SUMPRODUCT(
        (Transactions!$D$3:$D$305=B113) *
        (Transactions!$H$3:$H$305={"Sell","Transfer Send","Cash Withdrawal","Crypto Withdrawal"}) *
        Transactions!$I$3:$I$305
    )
)</f>
        <v>11558.85</v>
      </c>
      <c r="Q113" s="1" cm="1">
        <f t="array" ref="Q113">IF(ISBLANK(B113), "",
    SUMPRODUCT(
        (Transactions!$D$3:$D$376=B113) *
        (Transactions!$H$3:$H$376={"Cash Deposit","Crypto Deposit","Buy","Transfer Deposit","DRIP","Airdrop/Rewards"}) *
        Transactions!$I$3:$I$376
    )
    - SUMPRODUCT(
        (Transactions!$D$3:$D$376=B113) *
        (Transactions!$H$3:$H$376={"Sell","Transfer Send","Cash Withdrawal","Crypto Withdrawal"}) *
        Transactions!$I$3:$I$376
    )
)</f>
        <v>11558.85</v>
      </c>
      <c r="R113" s="1" cm="1">
        <f t="array" ref="R113">IF(ISBLANK(B113), "",
    SUMPRODUCT(
        (Transactions!$D$3:$D$1007=B113) *
        (Transactions!$H$3:$H$1007={"Cash Deposit","Crypto Deposit","Buy","Transfer Deposit","DRIP","Airdrop/Rewards"}) *
        Transactions!$I$3:$I$1007
    )
    - SUMPRODUCT(
        (Transactions!$D$3:$D$1007=B113) *
        (Transactions!$H$3:$H$1007={"Sell","Transfer Send","Cash Withdrawal","Crypto Withdrawal"}) *
        Transactions!$I$3:$I$1007
    )
)</f>
        <v>11558.85</v>
      </c>
    </row>
    <row r="114" spans="1:18">
      <c r="A114" s="1" t="str">
        <v>CTSI</v>
      </c>
      <c r="B114" s="1" t="s">
        <v>8</v>
      </c>
      <c r="C114" s="1" cm="1">
        <f t="array" ref="C114">IF(ISBLANK(B114), "",
    SUMPRODUCT(
        (Transactions!$D$3:$D$74=B114) *
        (Transactions!$H$3:$H$74={"Cash Deposit","Crypto Deposit","Buy","Transfer Deposit","DRIP","Airdrop/Rewards"}) *
        Transactions!$I$3:$I$74
    )
    - SUMPRODUCT(
        (Transactions!$D$3:$D$74=B114) *
        (Transactions!$H$3:$H$74={"Sell","Transfer Send","Cash Withdrawal","Crypto Withdrawal"}) *
        Transactions!$I$3:$I$74
    )
)</f>
        <v>543.56054468000002</v>
      </c>
      <c r="D114" s="1" cm="1">
        <f t="array" ref="D114">IF(ISBLANK(B114), "",
    SUMPRODUCT(
        (Transactions!$D$3:$D$76=B114) *
        (Transactions!$H$3:$H$76={"Cash Deposit","Crypto Deposit","Buy","Transfer Deposit","DRIP","Airdrop/Rewards"}) *
        Transactions!$I$3:$I$76
    )
    - SUMPRODUCT(
        (Transactions!$D$3:$D$76=B114) *
        (Transactions!$H$3:$H$76={"Sell","Transfer Send","Cash Withdrawal","Crypto Withdrawal"}) *
        Transactions!$I$3:$I$76
    )
)</f>
        <v>543.56054468000002</v>
      </c>
      <c r="E114" s="1" cm="1">
        <f t="array" ref="E114">IF(ISBLANK(B114), "",
    SUMPRODUCT(
        (Transactions!$D$3:$D$83=B114) *
        (Transactions!$H$3:$H$83={"Cash Deposit","Crypto Deposit","Buy","Transfer Deposit","DRIP","Airdrop/Rewards"}) *
        Transactions!$I$3:$I$83
    )
    - SUMPRODUCT(
        (Transactions!$D$3:$D$83=B114) *
        (Transactions!$H$3:$H$83={"Sell","Transfer Send","Cash Withdrawal","Crypto Withdrawal"}) *
        Transactions!$I$3:$I$83
    )
)</f>
        <v>543.56054468000002</v>
      </c>
      <c r="F114" s="1" cm="1">
        <f t="array" ref="F114">IF(ISBLANK(B114), "",
    SUMPRODUCT(
        (Transactions!$D$3:$D$98=B114) *
        (Transactions!$H$3:$H$98={"Cash Deposit","Crypto Deposit","Buy","Transfer Deposit","DRIP","Airdrop/Rewards"}) *
        Transactions!$I$3:$I$98
    )
    - SUMPRODUCT(
        (Transactions!$D$3:$D$98=B114) *
        (Transactions!$H$3:$H$98={"Sell","Transfer Send","Cash Withdrawal","Crypto Withdrawal"}) *
        Transactions!$I$3:$I$98
    )
)</f>
        <v>543.56054468000002</v>
      </c>
      <c r="G114" s="1" cm="1">
        <f t="array" ref="G114">IF(ISBLANK(B114), "",
    SUMPRODUCT(
        (Transactions!$D$3:$D$114=B114) *
        (Transactions!$H$3:$H$114={"Cash Deposit","Crypto Deposit","Buy","Transfer Deposit","DRIP","Airdrop/Rewards"}) *
        Transactions!$I$3:$I$114
    )
    - SUMPRODUCT(
        (Transactions!$D$3:$D$114=B114) *
        (Transactions!$H$3:$H$114={"Sell","Transfer Send","Cash Withdrawal","Crypto Withdrawal"}) *
        Transactions!$I$3:$I$114
    )
)</f>
        <v>543.56054468000002</v>
      </c>
      <c r="H114" s="1" cm="1">
        <f t="array" ref="H114">IF(ISBLANK(B114), "",
    SUMPRODUCT(
        (Transactions!$D$3:$D$139=B114) *
        (Transactions!$H$3:$H$139={"Cash Deposit","Crypto Deposit","Buy","Transfer Deposit","DRIP","Airdrop/Rewards"}) *
        Transactions!$I$3:$I$139
    )
    - SUMPRODUCT(
        (Transactions!$D$3:$D$139=B114) *
        (Transactions!$H$3:$H$139={"Sell","Transfer Send","Cash Withdrawal","Crypto Withdrawal"}) *
        Transactions!$I$3:$I$139
    )
)</f>
        <v>543.56054468000002</v>
      </c>
      <c r="I114" s="1" cm="1">
        <f t="array" ref="I114">IF(ISBLANK(B114), "",
    SUMPRODUCT(
        (Transactions!$D$3:$D$165=B114) *
        (Transactions!$H$3:$H$165={"Cash Deposit","Crypto Deposit","Buy","Transfer Deposit","DRIP","Airdrop/Rewards"}) *
        Transactions!$I$3:$I$165
    )
    - SUMPRODUCT(
        (Transactions!$D$3:$D$165=B114) *
        (Transactions!$H$3:$H$165={"Sell","Transfer Send","Cash Withdrawal","Crypto Withdrawal"}) *
        Transactions!$I$3:$I$165
    )
)</f>
        <v>543.56054468000002</v>
      </c>
      <c r="J114" s="1" cm="1">
        <f t="array" ref="J114">IF(ISBLANK(B114), "",
    SUMPRODUCT(
        (Transactions!$D$3:$D$174=B114) *
        (Transactions!$H$3:$H$174={"Cash Deposit","Crypto Deposit","Buy","Transfer Deposit","DRIP","Airdrop/Rewards"}) *
        Transactions!$I$3:$I$174
    )
    - SUMPRODUCT(
        (Transactions!$D$3:$D$174=B114) *
        (Transactions!$H$3:$H$174={"Sell","Transfer Send","Cash Withdrawal","Crypto Withdrawal"}) *
        Transactions!$I$3:$I$174
    )
)</f>
        <v>543.56054468000002</v>
      </c>
      <c r="K114" s="1" cm="1">
        <f t="array" ref="K114">IF(ISBLANK(B114), "",
    SUMPRODUCT(
        (Transactions!$D$3:$D$181=B114) *
        (Transactions!$H$3:$H$181={"Cash Deposit","Crypto Deposit","Buy","Transfer Deposit","DRIP","Airdrop/Rewards"}) *
        Transactions!$I$3:$I$181
    )
    - SUMPRODUCT(
        (Transactions!$D$3:$D$181=B114) *
        (Transactions!$H$3:$H$181={"Sell","Transfer Send","Cash Withdrawal","Crypto Withdrawal"}) *
        Transactions!$I$3:$I$181
    )
)</f>
        <v>543.56054468000002</v>
      </c>
      <c r="L114" s="1" cm="1">
        <f t="array" ref="L114">IF(ISBLANK(B114), "",
    SUMPRODUCT(
        (Transactions!$D$3:$D$185=B114) *
        (Transactions!$H$3:$H$185={"Cash Deposit","Crypto Deposit","Buy","Transfer Deposit","DRIP","Airdrop/Rewards"}) *
        Transactions!$I$3:$I$185
    )
    - SUMPRODUCT(
        (Transactions!$D$3:$D$185=B114) *
        (Transactions!$H$3:$H$185={"Sell","Transfer Send","Cash Withdrawal","Crypto Withdrawal"}) *
        Transactions!$I$3:$I$185
    )
)</f>
        <v>543.56054468000002</v>
      </c>
      <c r="M114" s="1" cm="1">
        <f t="array" ref="M114">IF(ISBLANK(B114), "",
    SUMPRODUCT(
        (Transactions!$D$3:$D$194=B114) *
        (Transactions!$H$3:$H$194={"Cash Deposit","Crypto Deposit","Buy","Transfer Deposit","DRIP","Airdrop/Rewards"}) *
        Transactions!$I$3:$I$194
    )
    - SUMPRODUCT(
        (Transactions!$D$3:$D$194=B114) *
        (Transactions!$H$3:$H$194={"Sell","Transfer Send","Cash Withdrawal","Crypto Withdrawal"}) *
        Transactions!$I$3:$I$194
    )
)</f>
        <v>543.56054468000002</v>
      </c>
      <c r="N114" s="1" cm="1">
        <f t="array" ref="N114">IF(ISBLANK(B114), "",
    SUMPRODUCT(
        (Transactions!$D$3:$D$201=B114) *
        (Transactions!$H$3:$H$201={"Cash Deposit","Crypto Deposit","Buy","Transfer Deposit","DRIP","Airdrop/Rewards"}) *
        Transactions!$I$3:$I$201
    )
    - SUMPRODUCT(
        (Transactions!$D$3:$D$201=B114) *
        (Transactions!$H$3:$H$201={"Sell","Transfer Send","Cash Withdrawal","Crypto Withdrawal"}) *
        Transactions!$I$3:$I$201
    )
)</f>
        <v>543.56054468000002</v>
      </c>
      <c r="O114" s="1" cm="1">
        <f t="array" ref="O114">IF(ISBLANK(B114), "",
    SUMPRODUCT(
        (Transactions!$D$3:$D$229=B114) *
        (Transactions!$H$3:$H$229={"Cash Deposit","Crypto Deposit","Buy","Transfer Deposit","DRIP","Airdrop/Rewards"}) *
        Transactions!$I$3:$I$229
    )
    - SUMPRODUCT(
        (Transactions!$D$3:$D$229=B114) *
        (Transactions!$H$3:$H$229={"Sell","Transfer Send","Cash Withdrawal","Crypto Withdrawal"}) *
        Transactions!$I$3:$I$229
    )
)</f>
        <v>543.56054468000002</v>
      </c>
      <c r="P114" s="1" cm="1">
        <f t="array" ref="P114">IF(ISBLANK(B114), "",
    SUMPRODUCT(
        (Transactions!$D$3:$D$305=B114) *
        (Transactions!$H$3:$H$305={"Cash Deposit","Crypto Deposit","Buy","Transfer Deposit","DRIP","Airdrop/Rewards"}) *
        Transactions!$I$3:$I$305
    )
    - SUMPRODUCT(
        (Transactions!$D$3:$D$305=B114) *
        (Transactions!$H$3:$H$305={"Sell","Transfer Send","Cash Withdrawal","Crypto Withdrawal"}) *
        Transactions!$I$3:$I$305
    )
)</f>
        <v>543.56054468000002</v>
      </c>
      <c r="Q114" s="1" cm="1">
        <f t="array" ref="Q114">IF(ISBLANK(B114), "",
    SUMPRODUCT(
        (Transactions!$D$3:$D$376=B114) *
        (Transactions!$H$3:$H$376={"Cash Deposit","Crypto Deposit","Buy","Transfer Deposit","DRIP","Airdrop/Rewards"}) *
        Transactions!$I$3:$I$376
    )
    - SUMPRODUCT(
        (Transactions!$D$3:$D$376=B114) *
        (Transactions!$H$3:$H$376={"Sell","Transfer Send","Cash Withdrawal","Crypto Withdrawal"}) *
        Transactions!$I$3:$I$376
    )
)</f>
        <v>543.56054468000002</v>
      </c>
      <c r="R114" s="1" cm="1">
        <f t="array" ref="R114">IF(ISBLANK(B114), "",
    SUMPRODUCT(
        (Transactions!$D$3:$D$1007=B114) *
        (Transactions!$H$3:$H$1007={"Cash Deposit","Crypto Deposit","Buy","Transfer Deposit","DRIP","Airdrop/Rewards"}) *
        Transactions!$I$3:$I$1007
    )
    - SUMPRODUCT(
        (Transactions!$D$3:$D$1007=B114) *
        (Transactions!$H$3:$H$1007={"Sell","Transfer Send","Cash Withdrawal","Crypto Withdrawal"}) *
        Transactions!$I$3:$I$1007
    )
)</f>
        <v>543.56054468000002</v>
      </c>
    </row>
    <row r="115" spans="1:18">
      <c r="A115" s="1" t="str">
        <v>DESO</v>
      </c>
      <c r="B115" s="1" t="s">
        <v>393</v>
      </c>
      <c r="C115" s="1" cm="1">
        <f t="array" ref="C115">IF(ISBLANK(B115), "",
    SUMPRODUCT(
        (Transactions!$D$3:$D$74=B115) *
        (Transactions!$H$3:$H$74={"Cash Deposit","Crypto Deposit","Buy","Transfer Deposit","DRIP","Airdrop/Rewards"}) *
        Transactions!$I$3:$I$74
    )
    - SUMPRODUCT(
        (Transactions!$D$3:$D$74=B115) *
        (Transactions!$H$3:$H$74={"Sell","Transfer Send","Cash Withdrawal","Crypto Withdrawal"}) *
        Transactions!$I$3:$I$74
    )
)</f>
        <v>0</v>
      </c>
      <c r="D115" s="1" cm="1">
        <f t="array" ref="D115">IF(ISBLANK(B115), "",
    SUMPRODUCT(
        (Transactions!$D$3:$D$76=B115) *
        (Transactions!$H$3:$H$76={"Cash Deposit","Crypto Deposit","Buy","Transfer Deposit","DRIP","Airdrop/Rewards"}) *
        Transactions!$I$3:$I$76
    )
    - SUMPRODUCT(
        (Transactions!$D$3:$D$76=B115) *
        (Transactions!$H$3:$H$76={"Sell","Transfer Send","Cash Withdrawal","Crypto Withdrawal"}) *
        Transactions!$I$3:$I$76
    )
)</f>
        <v>0</v>
      </c>
      <c r="E115" s="1" cm="1">
        <f t="array" ref="E115">IF(ISBLANK(B115), "",
    SUMPRODUCT(
        (Transactions!$D$3:$D$83=B115) *
        (Transactions!$H$3:$H$83={"Cash Deposit","Crypto Deposit","Buy","Transfer Deposit","DRIP","Airdrop/Rewards"}) *
        Transactions!$I$3:$I$83
    )
    - SUMPRODUCT(
        (Transactions!$D$3:$D$83=B115) *
        (Transactions!$H$3:$H$83={"Sell","Transfer Send","Cash Withdrawal","Crypto Withdrawal"}) *
        Transactions!$I$3:$I$83
    )
)</f>
        <v>0</v>
      </c>
      <c r="F115" s="1" cm="1">
        <f t="array" ref="F115">IF(ISBLANK(B115), "",
    SUMPRODUCT(
        (Transactions!$D$3:$D$98=B115) *
        (Transactions!$H$3:$H$98={"Cash Deposit","Crypto Deposit","Buy","Transfer Deposit","DRIP","Airdrop/Rewards"}) *
        Transactions!$I$3:$I$98
    )
    - SUMPRODUCT(
        (Transactions!$D$3:$D$98=B115) *
        (Transactions!$H$3:$H$98={"Sell","Transfer Send","Cash Withdrawal","Crypto Withdrawal"}) *
        Transactions!$I$3:$I$98
    )
)</f>
        <v>0</v>
      </c>
      <c r="G115" s="1" cm="1">
        <f t="array" ref="G115">IF(ISBLANK(B115), "",
    SUMPRODUCT(
        (Transactions!$D$3:$D$114=B115) *
        (Transactions!$H$3:$H$114={"Cash Deposit","Crypto Deposit","Buy","Transfer Deposit","DRIP","Airdrop/Rewards"}) *
        Transactions!$I$3:$I$114
    )
    - SUMPRODUCT(
        (Transactions!$D$3:$D$114=B115) *
        (Transactions!$H$3:$H$114={"Sell","Transfer Send","Cash Withdrawal","Crypto Withdrawal"}) *
        Transactions!$I$3:$I$114
    )
)</f>
        <v>0</v>
      </c>
      <c r="H115" s="1" cm="1">
        <f t="array" ref="H115">IF(ISBLANK(B115), "",
    SUMPRODUCT(
        (Transactions!$D$3:$D$139=B115) *
        (Transactions!$H$3:$H$139={"Cash Deposit","Crypto Deposit","Buy","Transfer Deposit","DRIP","Airdrop/Rewards"}) *
        Transactions!$I$3:$I$139
    )
    - SUMPRODUCT(
        (Transactions!$D$3:$D$139=B115) *
        (Transactions!$H$3:$H$139={"Sell","Transfer Send","Cash Withdrawal","Crypto Withdrawal"}) *
        Transactions!$I$3:$I$139
    )
)</f>
        <v>0</v>
      </c>
      <c r="I115" s="1" cm="1">
        <f t="array" ref="I115">IF(ISBLANK(B115), "",
    SUMPRODUCT(
        (Transactions!$D$3:$D$165=B115) *
        (Transactions!$H$3:$H$165={"Cash Deposit","Crypto Deposit","Buy","Transfer Deposit","DRIP","Airdrop/Rewards"}) *
        Transactions!$I$3:$I$165
    )
    - SUMPRODUCT(
        (Transactions!$D$3:$D$165=B115) *
        (Transactions!$H$3:$H$165={"Sell","Transfer Send","Cash Withdrawal","Crypto Withdrawal"}) *
        Transactions!$I$3:$I$165
    )
)</f>
        <v>0</v>
      </c>
      <c r="J115" s="1" cm="1">
        <f t="array" ref="J115">IF(ISBLANK(B115), "",
    SUMPRODUCT(
        (Transactions!$D$3:$D$174=B115) *
        (Transactions!$H$3:$H$174={"Cash Deposit","Crypto Deposit","Buy","Transfer Deposit","DRIP","Airdrop/Rewards"}) *
        Transactions!$I$3:$I$174
    )
    - SUMPRODUCT(
        (Transactions!$D$3:$D$174=B115) *
        (Transactions!$H$3:$H$174={"Sell","Transfer Send","Cash Withdrawal","Crypto Withdrawal"}) *
        Transactions!$I$3:$I$174
    )
)</f>
        <v>0</v>
      </c>
      <c r="K115" s="1" cm="1">
        <f t="array" ref="K115">IF(ISBLANK(B115), "",
    SUMPRODUCT(
        (Transactions!$D$3:$D$181=B115) *
        (Transactions!$H$3:$H$181={"Cash Deposit","Crypto Deposit","Buy","Transfer Deposit","DRIP","Airdrop/Rewards"}) *
        Transactions!$I$3:$I$181
    )
    - SUMPRODUCT(
        (Transactions!$D$3:$D$181=B115) *
        (Transactions!$H$3:$H$181={"Sell","Transfer Send","Cash Withdrawal","Crypto Withdrawal"}) *
        Transactions!$I$3:$I$181
    )
)</f>
        <v>0</v>
      </c>
      <c r="L115" s="1" cm="1">
        <f t="array" ref="L115">IF(ISBLANK(B115), "",
    SUMPRODUCT(
        (Transactions!$D$3:$D$185=B115) *
        (Transactions!$H$3:$H$185={"Cash Deposit","Crypto Deposit","Buy","Transfer Deposit","DRIP","Airdrop/Rewards"}) *
        Transactions!$I$3:$I$185
    )
    - SUMPRODUCT(
        (Transactions!$D$3:$D$185=B115) *
        (Transactions!$H$3:$H$185={"Sell","Transfer Send","Cash Withdrawal","Crypto Withdrawal"}) *
        Transactions!$I$3:$I$185
    )
)</f>
        <v>0</v>
      </c>
      <c r="M115" s="1" cm="1">
        <f t="array" ref="M115">IF(ISBLANK(B115), "",
    SUMPRODUCT(
        (Transactions!$D$3:$D$194=B115) *
        (Transactions!$H$3:$H$194={"Cash Deposit","Crypto Deposit","Buy","Transfer Deposit","DRIP","Airdrop/Rewards"}) *
        Transactions!$I$3:$I$194
    )
    - SUMPRODUCT(
        (Transactions!$D$3:$D$194=B115) *
        (Transactions!$H$3:$H$194={"Sell","Transfer Send","Cash Withdrawal","Crypto Withdrawal"}) *
        Transactions!$I$3:$I$194
    )
)</f>
        <v>0</v>
      </c>
      <c r="N115" s="1" cm="1">
        <f t="array" ref="N115">IF(ISBLANK(B115), "",
    SUMPRODUCT(
        (Transactions!$D$3:$D$201=B115) *
        (Transactions!$H$3:$H$201={"Cash Deposit","Crypto Deposit","Buy","Transfer Deposit","DRIP","Airdrop/Rewards"}) *
        Transactions!$I$3:$I$201
    )
    - SUMPRODUCT(
        (Transactions!$D$3:$D$201=B115) *
        (Transactions!$H$3:$H$201={"Sell","Transfer Send","Cash Withdrawal","Crypto Withdrawal"}) *
        Transactions!$I$3:$I$201
    )
)</f>
        <v>0</v>
      </c>
      <c r="O115" s="1" cm="1">
        <f t="array" ref="O115">IF(ISBLANK(B115), "",
    SUMPRODUCT(
        (Transactions!$D$3:$D$229=B115) *
        (Transactions!$H$3:$H$229={"Cash Deposit","Crypto Deposit","Buy","Transfer Deposit","DRIP","Airdrop/Rewards"}) *
        Transactions!$I$3:$I$229
    )
    - SUMPRODUCT(
        (Transactions!$D$3:$D$229=B115) *
        (Transactions!$H$3:$H$229={"Sell","Transfer Send","Cash Withdrawal","Crypto Withdrawal"}) *
        Transactions!$I$3:$I$229
    )
)</f>
        <v>0</v>
      </c>
      <c r="P115" s="1" cm="1">
        <f t="array" ref="P115">IF(ISBLANK(B115), "",
    SUMPRODUCT(
        (Transactions!$D$3:$D$305=B115) *
        (Transactions!$H$3:$H$305={"Cash Deposit","Crypto Deposit","Buy","Transfer Deposit","DRIP","Airdrop/Rewards"}) *
        Transactions!$I$3:$I$305
    )
    - SUMPRODUCT(
        (Transactions!$D$3:$D$305=B115) *
        (Transactions!$H$3:$H$305={"Sell","Transfer Send","Cash Withdrawal","Crypto Withdrawal"}) *
        Transactions!$I$3:$I$305
    )
)</f>
        <v>2</v>
      </c>
      <c r="Q115" s="1" cm="1">
        <f t="array" ref="Q115">IF(ISBLANK(B115), "",
    SUMPRODUCT(
        (Transactions!$D$3:$D$376=B115) *
        (Transactions!$H$3:$H$376={"Cash Deposit","Crypto Deposit","Buy","Transfer Deposit","DRIP","Airdrop/Rewards"}) *
        Transactions!$I$3:$I$376
    )
    - SUMPRODUCT(
        (Transactions!$D$3:$D$376=B115) *
        (Transactions!$H$3:$H$376={"Sell","Transfer Send","Cash Withdrawal","Crypto Withdrawal"}) *
        Transactions!$I$3:$I$376
    )
)</f>
        <v>2</v>
      </c>
      <c r="R115" s="1" cm="1">
        <f t="array" ref="R115">IF(ISBLANK(B115), "",
    SUMPRODUCT(
        (Transactions!$D$3:$D$1007=B115) *
        (Transactions!$H$3:$H$1007={"Cash Deposit","Crypto Deposit","Buy","Transfer Deposit","DRIP","Airdrop/Rewards"}) *
        Transactions!$I$3:$I$1007
    )
    - SUMPRODUCT(
        (Transactions!$D$3:$D$1007=B115) *
        (Transactions!$H$3:$H$1007={"Sell","Transfer Send","Cash Withdrawal","Crypto Withdrawal"}) *
        Transactions!$I$3:$I$1007
    )
)</f>
        <v>2</v>
      </c>
    </row>
    <row r="116" spans="1:18">
      <c r="A116" s="1" t="str">
        <v>DOGE</v>
      </c>
      <c r="B116" s="1" t="s">
        <v>51</v>
      </c>
      <c r="C116" s="1" cm="1">
        <f t="array" ref="C116">IF(ISBLANK(B116), "",
    SUMPRODUCT(
        (Transactions!$D$3:$D$74=B116) *
        (Transactions!$H$3:$H$74={"Cash Deposit","Crypto Deposit","Buy","Transfer Deposit","DRIP","Airdrop/Rewards"}) *
        Transactions!$I$3:$I$74
    )
    - SUMPRODUCT(
        (Transactions!$D$3:$D$74=B116) *
        (Transactions!$H$3:$H$74={"Sell","Transfer Send","Cash Withdrawal","Crypto Withdrawal"}) *
        Transactions!$I$3:$I$74
    )
)</f>
        <v>2000</v>
      </c>
      <c r="D116" s="1" cm="1">
        <f t="array" ref="D116">IF(ISBLANK(B116), "",
    SUMPRODUCT(
        (Transactions!$D$3:$D$76=B116) *
        (Transactions!$H$3:$H$76={"Cash Deposit","Crypto Deposit","Buy","Transfer Deposit","DRIP","Airdrop/Rewards"}) *
        Transactions!$I$3:$I$76
    )
    - SUMPRODUCT(
        (Transactions!$D$3:$D$76=B116) *
        (Transactions!$H$3:$H$76={"Sell","Transfer Send","Cash Withdrawal","Crypto Withdrawal"}) *
        Transactions!$I$3:$I$76
    )
)</f>
        <v>2000</v>
      </c>
      <c r="E116" s="1" cm="1">
        <f t="array" ref="E116">IF(ISBLANK(B116), "",
    SUMPRODUCT(
        (Transactions!$D$3:$D$83=B116) *
        (Transactions!$H$3:$H$83={"Cash Deposit","Crypto Deposit","Buy","Transfer Deposit","DRIP","Airdrop/Rewards"}) *
        Transactions!$I$3:$I$83
    )
    - SUMPRODUCT(
        (Transactions!$D$3:$D$83=B116) *
        (Transactions!$H$3:$H$83={"Sell","Transfer Send","Cash Withdrawal","Crypto Withdrawal"}) *
        Transactions!$I$3:$I$83
    )
)</f>
        <v>2000</v>
      </c>
      <c r="F116" s="1" cm="1">
        <f t="array" ref="F116">IF(ISBLANK(B116), "",
    SUMPRODUCT(
        (Transactions!$D$3:$D$98=B116) *
        (Transactions!$H$3:$H$98={"Cash Deposit","Crypto Deposit","Buy","Transfer Deposit","DRIP","Airdrop/Rewards"}) *
        Transactions!$I$3:$I$98
    )
    - SUMPRODUCT(
        (Transactions!$D$3:$D$98=B116) *
        (Transactions!$H$3:$H$98={"Sell","Transfer Send","Cash Withdrawal","Crypto Withdrawal"}) *
        Transactions!$I$3:$I$98
    )
)</f>
        <v>2000</v>
      </c>
      <c r="G116" s="1" cm="1">
        <f t="array" ref="G116">IF(ISBLANK(B116), "",
    SUMPRODUCT(
        (Transactions!$D$3:$D$114=B116) *
        (Transactions!$H$3:$H$114={"Cash Deposit","Crypto Deposit","Buy","Transfer Deposit","DRIP","Airdrop/Rewards"}) *
        Transactions!$I$3:$I$114
    )
    - SUMPRODUCT(
        (Transactions!$D$3:$D$114=B116) *
        (Transactions!$H$3:$H$114={"Sell","Transfer Send","Cash Withdrawal","Crypto Withdrawal"}) *
        Transactions!$I$3:$I$114
    )
)</f>
        <v>2000</v>
      </c>
      <c r="H116" s="1" cm="1">
        <f t="array" ref="H116">IF(ISBLANK(B116), "",
    SUMPRODUCT(
        (Transactions!$D$3:$D$139=B116) *
        (Transactions!$H$3:$H$139={"Cash Deposit","Crypto Deposit","Buy","Transfer Deposit","DRIP","Airdrop/Rewards"}) *
        Transactions!$I$3:$I$139
    )
    - SUMPRODUCT(
        (Transactions!$D$3:$D$139=B116) *
        (Transactions!$H$3:$H$139={"Sell","Transfer Send","Cash Withdrawal","Crypto Withdrawal"}) *
        Transactions!$I$3:$I$139
    )
)</f>
        <v>2000</v>
      </c>
      <c r="I116" s="1" cm="1">
        <f t="array" ref="I116">IF(ISBLANK(B116), "",
    SUMPRODUCT(
        (Transactions!$D$3:$D$165=B116) *
        (Transactions!$H$3:$H$165={"Cash Deposit","Crypto Deposit","Buy","Transfer Deposit","DRIP","Airdrop/Rewards"}) *
        Transactions!$I$3:$I$165
    )
    - SUMPRODUCT(
        (Transactions!$D$3:$D$165=B116) *
        (Transactions!$H$3:$H$165={"Sell","Transfer Send","Cash Withdrawal","Crypto Withdrawal"}) *
        Transactions!$I$3:$I$165
    )
)</f>
        <v>2000</v>
      </c>
      <c r="J116" s="1" cm="1">
        <f t="array" ref="J116">IF(ISBLANK(B116), "",
    SUMPRODUCT(
        (Transactions!$D$3:$D$174=B116) *
        (Transactions!$H$3:$H$174={"Cash Deposit","Crypto Deposit","Buy","Transfer Deposit","DRIP","Airdrop/Rewards"}) *
        Transactions!$I$3:$I$174
    )
    - SUMPRODUCT(
        (Transactions!$D$3:$D$174=B116) *
        (Transactions!$H$3:$H$174={"Sell","Transfer Send","Cash Withdrawal","Crypto Withdrawal"}) *
        Transactions!$I$3:$I$174
    )
)</f>
        <v>2000</v>
      </c>
      <c r="K116" s="1" cm="1">
        <f t="array" ref="K116">IF(ISBLANK(B116), "",
    SUMPRODUCT(
        (Transactions!$D$3:$D$181=B116) *
        (Transactions!$H$3:$H$181={"Cash Deposit","Crypto Deposit","Buy","Transfer Deposit","DRIP","Airdrop/Rewards"}) *
        Transactions!$I$3:$I$181
    )
    - SUMPRODUCT(
        (Transactions!$D$3:$D$181=B116) *
        (Transactions!$H$3:$H$181={"Sell","Transfer Send","Cash Withdrawal","Crypto Withdrawal"}) *
        Transactions!$I$3:$I$181
    )
)</f>
        <v>2000</v>
      </c>
      <c r="L116" s="1" cm="1">
        <f t="array" ref="L116">IF(ISBLANK(B116), "",
    SUMPRODUCT(
        (Transactions!$D$3:$D$185=B116) *
        (Transactions!$H$3:$H$185={"Cash Deposit","Crypto Deposit","Buy","Transfer Deposit","DRIP","Airdrop/Rewards"}) *
        Transactions!$I$3:$I$185
    )
    - SUMPRODUCT(
        (Transactions!$D$3:$D$185=B116) *
        (Transactions!$H$3:$H$185={"Sell","Transfer Send","Cash Withdrawal","Crypto Withdrawal"}) *
        Transactions!$I$3:$I$185
    )
)</f>
        <v>2000</v>
      </c>
      <c r="M116" s="1" cm="1">
        <f t="array" ref="M116">IF(ISBLANK(B116), "",
    SUMPRODUCT(
        (Transactions!$D$3:$D$194=B116) *
        (Transactions!$H$3:$H$194={"Cash Deposit","Crypto Deposit","Buy","Transfer Deposit","DRIP","Airdrop/Rewards"}) *
        Transactions!$I$3:$I$194
    )
    - SUMPRODUCT(
        (Transactions!$D$3:$D$194=B116) *
        (Transactions!$H$3:$H$194={"Sell","Transfer Send","Cash Withdrawal","Crypto Withdrawal"}) *
        Transactions!$I$3:$I$194
    )
)</f>
        <v>2000</v>
      </c>
      <c r="N116" s="1" cm="1">
        <f t="array" ref="N116">IF(ISBLANK(B116), "",
    SUMPRODUCT(
        (Transactions!$D$3:$D$201=B116) *
        (Transactions!$H$3:$H$201={"Cash Deposit","Crypto Deposit","Buy","Transfer Deposit","DRIP","Airdrop/Rewards"}) *
        Transactions!$I$3:$I$201
    )
    - SUMPRODUCT(
        (Transactions!$D$3:$D$201=B116) *
        (Transactions!$H$3:$H$201={"Sell","Transfer Send","Cash Withdrawal","Crypto Withdrawal"}) *
        Transactions!$I$3:$I$201
    )
)</f>
        <v>2000</v>
      </c>
      <c r="O116" s="1" cm="1">
        <f t="array" ref="O116">IF(ISBLANK(B116), "",
    SUMPRODUCT(
        (Transactions!$D$3:$D$229=B116) *
        (Transactions!$H$3:$H$229={"Cash Deposit","Crypto Deposit","Buy","Transfer Deposit","DRIP","Airdrop/Rewards"}) *
        Transactions!$I$3:$I$229
    )
    - SUMPRODUCT(
        (Transactions!$D$3:$D$229=B116) *
        (Transactions!$H$3:$H$229={"Sell","Transfer Send","Cash Withdrawal","Crypto Withdrawal"}) *
        Transactions!$I$3:$I$229
    )
)</f>
        <v>2000</v>
      </c>
      <c r="P116" s="1" cm="1">
        <f t="array" ref="P116">IF(ISBLANK(B116), "",
    SUMPRODUCT(
        (Transactions!$D$3:$D$305=B116) *
        (Transactions!$H$3:$H$305={"Cash Deposit","Crypto Deposit","Buy","Transfer Deposit","DRIP","Airdrop/Rewards"}) *
        Transactions!$I$3:$I$305
    )
    - SUMPRODUCT(
        (Transactions!$D$3:$D$305=B116) *
        (Transactions!$H$3:$H$305={"Sell","Transfer Send","Cash Withdrawal","Crypto Withdrawal"}) *
        Transactions!$I$3:$I$305
    )
)</f>
        <v>2000</v>
      </c>
      <c r="Q116" s="1" cm="1">
        <f t="array" ref="Q116">IF(ISBLANK(B116), "",
    SUMPRODUCT(
        (Transactions!$D$3:$D$376=B116) *
        (Transactions!$H$3:$H$376={"Cash Deposit","Crypto Deposit","Buy","Transfer Deposit","DRIP","Airdrop/Rewards"}) *
        Transactions!$I$3:$I$376
    )
    - SUMPRODUCT(
        (Transactions!$D$3:$D$376=B116) *
        (Transactions!$H$3:$H$376={"Sell","Transfer Send","Cash Withdrawal","Crypto Withdrawal"}) *
        Transactions!$I$3:$I$376
    )
)</f>
        <v>2000</v>
      </c>
      <c r="R116" s="1" cm="1">
        <f t="array" ref="R116">IF(ISBLANK(B116), "",
    SUMPRODUCT(
        (Transactions!$D$3:$D$1007=B116) *
        (Transactions!$H$3:$H$1007={"Cash Deposit","Crypto Deposit","Buy","Transfer Deposit","DRIP","Airdrop/Rewards"}) *
        Transactions!$I$3:$I$1007
    )
    - SUMPRODUCT(
        (Transactions!$D$3:$D$1007=B116) *
        (Transactions!$H$3:$H$1007={"Sell","Transfer Send","Cash Withdrawal","Crypto Withdrawal"}) *
        Transactions!$I$3:$I$1007
    )
)</f>
        <v>2000</v>
      </c>
    </row>
    <row r="117" spans="1:18">
      <c r="A117" s="1" t="str">
        <v>DOT</v>
      </c>
      <c r="B117" s="1" t="s">
        <v>15</v>
      </c>
      <c r="C117" s="1" cm="1">
        <f t="array" ref="C117">IF(ISBLANK(B117), "",
    SUMPRODUCT(
        (Transactions!$D$3:$D$74=B117) *
        (Transactions!$H$3:$H$74={"Cash Deposit","Crypto Deposit","Buy","Transfer Deposit","DRIP","Airdrop/Rewards"}) *
        Transactions!$I$3:$I$74
    )
    - SUMPRODUCT(
        (Transactions!$D$3:$D$74=B117) *
        (Transactions!$H$3:$H$74={"Sell","Transfer Send","Cash Withdrawal","Crypto Withdrawal"}) *
        Transactions!$I$3:$I$74
    )
)</f>
        <v>5.0571941000000002</v>
      </c>
      <c r="D117" s="1" cm="1">
        <f t="array" ref="D117">IF(ISBLANK(B117), "",
    SUMPRODUCT(
        (Transactions!$D$3:$D$76=B117) *
        (Transactions!$H$3:$H$76={"Cash Deposit","Crypto Deposit","Buy","Transfer Deposit","DRIP","Airdrop/Rewards"}) *
        Transactions!$I$3:$I$76
    )
    - SUMPRODUCT(
        (Transactions!$D$3:$D$76=B117) *
        (Transactions!$H$3:$H$76={"Sell","Transfer Send","Cash Withdrawal","Crypto Withdrawal"}) *
        Transactions!$I$3:$I$76
    )
)</f>
        <v>5.0571941000000002</v>
      </c>
      <c r="E117" s="1" cm="1">
        <f t="array" ref="E117">IF(ISBLANK(B117), "",
    SUMPRODUCT(
        (Transactions!$D$3:$D$83=B117) *
        (Transactions!$H$3:$H$83={"Cash Deposit","Crypto Deposit","Buy","Transfer Deposit","DRIP","Airdrop/Rewards"}) *
        Transactions!$I$3:$I$83
    )
    - SUMPRODUCT(
        (Transactions!$D$3:$D$83=B117) *
        (Transactions!$H$3:$H$83={"Sell","Transfer Send","Cash Withdrawal","Crypto Withdrawal"}) *
        Transactions!$I$3:$I$83
    )
)</f>
        <v>5.0571941000000002</v>
      </c>
      <c r="F117" s="1" cm="1">
        <f t="array" ref="F117">IF(ISBLANK(B117), "",
    SUMPRODUCT(
        (Transactions!$D$3:$D$98=B117) *
        (Transactions!$H$3:$H$98={"Cash Deposit","Crypto Deposit","Buy","Transfer Deposit","DRIP","Airdrop/Rewards"}) *
        Transactions!$I$3:$I$98
    )
    - SUMPRODUCT(
        (Transactions!$D$3:$D$98=B117) *
        (Transactions!$H$3:$H$98={"Sell","Transfer Send","Cash Withdrawal","Crypto Withdrawal"}) *
        Transactions!$I$3:$I$98
    )
)</f>
        <v>5.0571941000000002</v>
      </c>
      <c r="G117" s="1" cm="1">
        <f t="array" ref="G117">IF(ISBLANK(B117), "",
    SUMPRODUCT(
        (Transactions!$D$3:$D$114=B117) *
        (Transactions!$H$3:$H$114={"Cash Deposit","Crypto Deposit","Buy","Transfer Deposit","DRIP","Airdrop/Rewards"}) *
        Transactions!$I$3:$I$114
    )
    - SUMPRODUCT(
        (Transactions!$D$3:$D$114=B117) *
        (Transactions!$H$3:$H$114={"Sell","Transfer Send","Cash Withdrawal","Crypto Withdrawal"}) *
        Transactions!$I$3:$I$114
    )
)</f>
        <v>5.0571941000000002</v>
      </c>
      <c r="H117" s="1" cm="1">
        <f t="array" ref="H117">IF(ISBLANK(B117), "",
    SUMPRODUCT(
        (Transactions!$D$3:$D$139=B117) *
        (Transactions!$H$3:$H$139={"Cash Deposit","Crypto Deposit","Buy","Transfer Deposit","DRIP","Airdrop/Rewards"}) *
        Transactions!$I$3:$I$139
    )
    - SUMPRODUCT(
        (Transactions!$D$3:$D$139=B117) *
        (Transactions!$H$3:$H$139={"Sell","Transfer Send","Cash Withdrawal","Crypto Withdrawal"}) *
        Transactions!$I$3:$I$139
    )
)</f>
        <v>5.0571941000000002</v>
      </c>
      <c r="I117" s="1" cm="1">
        <f t="array" ref="I117">IF(ISBLANK(B117), "",
    SUMPRODUCT(
        (Transactions!$D$3:$D$165=B117) *
        (Transactions!$H$3:$H$165={"Cash Deposit","Crypto Deposit","Buy","Transfer Deposit","DRIP","Airdrop/Rewards"}) *
        Transactions!$I$3:$I$165
    )
    - SUMPRODUCT(
        (Transactions!$D$3:$D$165=B117) *
        (Transactions!$H$3:$H$165={"Sell","Transfer Send","Cash Withdrawal","Crypto Withdrawal"}) *
        Transactions!$I$3:$I$165
    )
)</f>
        <v>5.0571941000000002</v>
      </c>
      <c r="J117" s="1" cm="1">
        <f t="array" ref="J117">IF(ISBLANK(B117), "",
    SUMPRODUCT(
        (Transactions!$D$3:$D$174=B117) *
        (Transactions!$H$3:$H$174={"Cash Deposit","Crypto Deposit","Buy","Transfer Deposit","DRIP","Airdrop/Rewards"}) *
        Transactions!$I$3:$I$174
    )
    - SUMPRODUCT(
        (Transactions!$D$3:$D$174=B117) *
        (Transactions!$H$3:$H$174={"Sell","Transfer Send","Cash Withdrawal","Crypto Withdrawal"}) *
        Transactions!$I$3:$I$174
    )
)</f>
        <v>5.0571941000000002</v>
      </c>
      <c r="K117" s="1" cm="1">
        <f t="array" ref="K117">IF(ISBLANK(B117), "",
    SUMPRODUCT(
        (Transactions!$D$3:$D$181=B117) *
        (Transactions!$H$3:$H$181={"Cash Deposit","Crypto Deposit","Buy","Transfer Deposit","DRIP","Airdrop/Rewards"}) *
        Transactions!$I$3:$I$181
    )
    - SUMPRODUCT(
        (Transactions!$D$3:$D$181=B117) *
        (Transactions!$H$3:$H$181={"Sell","Transfer Send","Cash Withdrawal","Crypto Withdrawal"}) *
        Transactions!$I$3:$I$181
    )
)</f>
        <v>5.0571941000000002</v>
      </c>
      <c r="L117" s="1" cm="1">
        <f t="array" ref="L117">IF(ISBLANK(B117), "",
    SUMPRODUCT(
        (Transactions!$D$3:$D$185=B117) *
        (Transactions!$H$3:$H$185={"Cash Deposit","Crypto Deposit","Buy","Transfer Deposit","DRIP","Airdrop/Rewards"}) *
        Transactions!$I$3:$I$185
    )
    - SUMPRODUCT(
        (Transactions!$D$3:$D$185=B117) *
        (Transactions!$H$3:$H$185={"Sell","Transfer Send","Cash Withdrawal","Crypto Withdrawal"}) *
        Transactions!$I$3:$I$185
    )
)</f>
        <v>5.0571941000000002</v>
      </c>
      <c r="M117" s="1" cm="1">
        <f t="array" ref="M117">IF(ISBLANK(B117), "",
    SUMPRODUCT(
        (Transactions!$D$3:$D$194=B117) *
        (Transactions!$H$3:$H$194={"Cash Deposit","Crypto Deposit","Buy","Transfer Deposit","DRIP","Airdrop/Rewards"}) *
        Transactions!$I$3:$I$194
    )
    - SUMPRODUCT(
        (Transactions!$D$3:$D$194=B117) *
        (Transactions!$H$3:$H$194={"Sell","Transfer Send","Cash Withdrawal","Crypto Withdrawal"}) *
        Transactions!$I$3:$I$194
    )
)</f>
        <v>5.0571941000000002</v>
      </c>
      <c r="N117" s="1" cm="1">
        <f t="array" ref="N117">IF(ISBLANK(B117), "",
    SUMPRODUCT(
        (Transactions!$D$3:$D$201=B117) *
        (Transactions!$H$3:$H$201={"Cash Deposit","Crypto Deposit","Buy","Transfer Deposit","DRIP","Airdrop/Rewards"}) *
        Transactions!$I$3:$I$201
    )
    - SUMPRODUCT(
        (Transactions!$D$3:$D$201=B117) *
        (Transactions!$H$3:$H$201={"Sell","Transfer Send","Cash Withdrawal","Crypto Withdrawal"}) *
        Transactions!$I$3:$I$201
    )
)</f>
        <v>5.0571941000000002</v>
      </c>
      <c r="O117" s="1" cm="1">
        <f t="array" ref="O117">IF(ISBLANK(B117), "",
    SUMPRODUCT(
        (Transactions!$D$3:$D$229=B117) *
        (Transactions!$H$3:$H$229={"Cash Deposit","Crypto Deposit","Buy","Transfer Deposit","DRIP","Airdrop/Rewards"}) *
        Transactions!$I$3:$I$229
    )
    - SUMPRODUCT(
        (Transactions!$D$3:$D$229=B117) *
        (Transactions!$H$3:$H$229={"Sell","Transfer Send","Cash Withdrawal","Crypto Withdrawal"}) *
        Transactions!$I$3:$I$229
    )
)</f>
        <v>5.0571941000000002</v>
      </c>
      <c r="P117" s="1" cm="1">
        <f t="array" ref="P117">IF(ISBLANK(B117), "",
    SUMPRODUCT(
        (Transactions!$D$3:$D$305=B117) *
        (Transactions!$H$3:$H$305={"Cash Deposit","Crypto Deposit","Buy","Transfer Deposit","DRIP","Airdrop/Rewards"}) *
        Transactions!$I$3:$I$305
    )
    - SUMPRODUCT(
        (Transactions!$D$3:$D$305=B117) *
        (Transactions!$H$3:$H$305={"Sell","Transfer Send","Cash Withdrawal","Crypto Withdrawal"}) *
        Transactions!$I$3:$I$305
    )
)</f>
        <v>5.0571941000000002</v>
      </c>
      <c r="Q117" s="1" cm="1">
        <f t="array" ref="Q117">IF(ISBLANK(B117), "",
    SUMPRODUCT(
        (Transactions!$D$3:$D$376=B117) *
        (Transactions!$H$3:$H$376={"Cash Deposit","Crypto Deposit","Buy","Transfer Deposit","DRIP","Airdrop/Rewards"}) *
        Transactions!$I$3:$I$376
    )
    - SUMPRODUCT(
        (Transactions!$D$3:$D$376=B117) *
        (Transactions!$H$3:$H$376={"Sell","Transfer Send","Cash Withdrawal","Crypto Withdrawal"}) *
        Transactions!$I$3:$I$376
    )
)</f>
        <v>5.0571941000000002</v>
      </c>
      <c r="R117" s="1" cm="1">
        <f t="array" ref="R117">IF(ISBLANK(B117), "",
    SUMPRODUCT(
        (Transactions!$D$3:$D$1007=B117) *
        (Transactions!$H$3:$H$1007={"Cash Deposit","Crypto Deposit","Buy","Transfer Deposit","DRIP","Airdrop/Rewards"}) *
        Transactions!$I$3:$I$1007
    )
    - SUMPRODUCT(
        (Transactions!$D$3:$D$1007=B117) *
        (Transactions!$H$3:$H$1007={"Sell","Transfer Send","Cash Withdrawal","Crypto Withdrawal"}) *
        Transactions!$I$3:$I$1007
    )
)</f>
        <v>5.0571941000000002</v>
      </c>
    </row>
    <row r="118" spans="1:18">
      <c r="A118" s="1" t="str">
        <v>DYM</v>
      </c>
      <c r="B118" s="1" t="s">
        <v>518</v>
      </c>
      <c r="C118" s="1" cm="1">
        <f t="array" ref="C118">IF(ISBLANK(B118), "",
    SUMPRODUCT(
        (Transactions!$D$3:$D$74=B118) *
        (Transactions!$H$3:$H$74={"Cash Deposit","Crypto Deposit","Buy","Transfer Deposit","DRIP","Airdrop/Rewards"}) *
        Transactions!$I$3:$I$74
    )
    - SUMPRODUCT(
        (Transactions!$D$3:$D$74=B118) *
        (Transactions!$H$3:$H$74={"Sell","Transfer Send","Cash Withdrawal","Crypto Withdrawal"}) *
        Transactions!$I$3:$I$74
    )
)</f>
        <v>0</v>
      </c>
      <c r="D118" s="1" cm="1">
        <f t="array" ref="D118">IF(ISBLANK(B118), "",
    SUMPRODUCT(
        (Transactions!$D$3:$D$76=B118) *
        (Transactions!$H$3:$H$76={"Cash Deposit","Crypto Deposit","Buy","Transfer Deposit","DRIP","Airdrop/Rewards"}) *
        Transactions!$I$3:$I$76
    )
    - SUMPRODUCT(
        (Transactions!$D$3:$D$76=B118) *
        (Transactions!$H$3:$H$76={"Sell","Transfer Send","Cash Withdrawal","Crypto Withdrawal"}) *
        Transactions!$I$3:$I$76
    )
)</f>
        <v>0</v>
      </c>
      <c r="E118" s="1" cm="1">
        <f t="array" ref="E118">IF(ISBLANK(B118), "",
    SUMPRODUCT(
        (Transactions!$D$3:$D$83=B118) *
        (Transactions!$H$3:$H$83={"Cash Deposit","Crypto Deposit","Buy","Transfer Deposit","DRIP","Airdrop/Rewards"}) *
        Transactions!$I$3:$I$83
    )
    - SUMPRODUCT(
        (Transactions!$D$3:$D$83=B118) *
        (Transactions!$H$3:$H$83={"Sell","Transfer Send","Cash Withdrawal","Crypto Withdrawal"}) *
        Transactions!$I$3:$I$83
    )
)</f>
        <v>0</v>
      </c>
      <c r="F118" s="1" cm="1">
        <f t="array" ref="F118">IF(ISBLANK(B118), "",
    SUMPRODUCT(
        (Transactions!$D$3:$D$98=B118) *
        (Transactions!$H$3:$H$98={"Cash Deposit","Crypto Deposit","Buy","Transfer Deposit","DRIP","Airdrop/Rewards"}) *
        Transactions!$I$3:$I$98
    )
    - SUMPRODUCT(
        (Transactions!$D$3:$D$98=B118) *
        (Transactions!$H$3:$H$98={"Sell","Transfer Send","Cash Withdrawal","Crypto Withdrawal"}) *
        Transactions!$I$3:$I$98
    )
)</f>
        <v>0</v>
      </c>
      <c r="G118" s="1" cm="1">
        <f t="array" ref="G118">IF(ISBLANK(B118), "",
    SUMPRODUCT(
        (Transactions!$D$3:$D$114=B118) *
        (Transactions!$H$3:$H$114={"Cash Deposit","Crypto Deposit","Buy","Transfer Deposit","DRIP","Airdrop/Rewards"}) *
        Transactions!$I$3:$I$114
    )
    - SUMPRODUCT(
        (Transactions!$D$3:$D$114=B118) *
        (Transactions!$H$3:$H$114={"Sell","Transfer Send","Cash Withdrawal","Crypto Withdrawal"}) *
        Transactions!$I$3:$I$114
    )
)</f>
        <v>0</v>
      </c>
      <c r="H118" s="1" cm="1">
        <f t="array" ref="H118">IF(ISBLANK(B118), "",
    SUMPRODUCT(
        (Transactions!$D$3:$D$139=B118) *
        (Transactions!$H$3:$H$139={"Cash Deposit","Crypto Deposit","Buy","Transfer Deposit","DRIP","Airdrop/Rewards"}) *
        Transactions!$I$3:$I$139
    )
    - SUMPRODUCT(
        (Transactions!$D$3:$D$139=B118) *
        (Transactions!$H$3:$H$139={"Sell","Transfer Send","Cash Withdrawal","Crypto Withdrawal"}) *
        Transactions!$I$3:$I$139
    )
)</f>
        <v>0</v>
      </c>
      <c r="I118" s="1" cm="1">
        <f t="array" ref="I118">IF(ISBLANK(B118), "",
    SUMPRODUCT(
        (Transactions!$D$3:$D$165=B118) *
        (Transactions!$H$3:$H$165={"Cash Deposit","Crypto Deposit","Buy","Transfer Deposit","DRIP","Airdrop/Rewards"}) *
        Transactions!$I$3:$I$165
    )
    - SUMPRODUCT(
        (Transactions!$D$3:$D$165=B118) *
        (Transactions!$H$3:$H$165={"Sell","Transfer Send","Cash Withdrawal","Crypto Withdrawal"}) *
        Transactions!$I$3:$I$165
    )
)</f>
        <v>0</v>
      </c>
      <c r="J118" s="1" cm="1">
        <f t="array" ref="J118">IF(ISBLANK(B118), "",
    SUMPRODUCT(
        (Transactions!$D$3:$D$174=B118) *
        (Transactions!$H$3:$H$174={"Cash Deposit","Crypto Deposit","Buy","Transfer Deposit","DRIP","Airdrop/Rewards"}) *
        Transactions!$I$3:$I$174
    )
    - SUMPRODUCT(
        (Transactions!$D$3:$D$174=B118) *
        (Transactions!$H$3:$H$174={"Sell","Transfer Send","Cash Withdrawal","Crypto Withdrawal"}) *
        Transactions!$I$3:$I$174
    )
)</f>
        <v>0</v>
      </c>
      <c r="K118" s="1" cm="1">
        <f t="array" ref="K118">IF(ISBLANK(B118), "",
    SUMPRODUCT(
        (Transactions!$D$3:$D$181=B118) *
        (Transactions!$H$3:$H$181={"Cash Deposit","Crypto Deposit","Buy","Transfer Deposit","DRIP","Airdrop/Rewards"}) *
        Transactions!$I$3:$I$181
    )
    - SUMPRODUCT(
        (Transactions!$D$3:$D$181=B118) *
        (Transactions!$H$3:$H$181={"Sell","Transfer Send","Cash Withdrawal","Crypto Withdrawal"}) *
        Transactions!$I$3:$I$181
    )
)</f>
        <v>0</v>
      </c>
      <c r="L118" s="1" cm="1">
        <f t="array" ref="L118">IF(ISBLANK(B118), "",
    SUMPRODUCT(
        (Transactions!$D$3:$D$185=B118) *
        (Transactions!$H$3:$H$185={"Cash Deposit","Crypto Deposit","Buy","Transfer Deposit","DRIP","Airdrop/Rewards"}) *
        Transactions!$I$3:$I$185
    )
    - SUMPRODUCT(
        (Transactions!$D$3:$D$185=B118) *
        (Transactions!$H$3:$H$185={"Sell","Transfer Send","Cash Withdrawal","Crypto Withdrawal"}) *
        Transactions!$I$3:$I$185
    )
)</f>
        <v>0</v>
      </c>
      <c r="M118" s="1" cm="1">
        <f t="array" ref="M118">IF(ISBLANK(B118), "",
    SUMPRODUCT(
        (Transactions!$D$3:$D$194=B118) *
        (Transactions!$H$3:$H$194={"Cash Deposit","Crypto Deposit","Buy","Transfer Deposit","DRIP","Airdrop/Rewards"}) *
        Transactions!$I$3:$I$194
    )
    - SUMPRODUCT(
        (Transactions!$D$3:$D$194=B118) *
        (Transactions!$H$3:$H$194={"Sell","Transfer Send","Cash Withdrawal","Crypto Withdrawal"}) *
        Transactions!$I$3:$I$194
    )
)</f>
        <v>0</v>
      </c>
      <c r="N118" s="1" cm="1">
        <f t="array" ref="N118">IF(ISBLANK(B118), "",
    SUMPRODUCT(
        (Transactions!$D$3:$D$201=B118) *
        (Transactions!$H$3:$H$201={"Cash Deposit","Crypto Deposit","Buy","Transfer Deposit","DRIP","Airdrop/Rewards"}) *
        Transactions!$I$3:$I$201
    )
    - SUMPRODUCT(
        (Transactions!$D$3:$D$201=B118) *
        (Transactions!$H$3:$H$201={"Sell","Transfer Send","Cash Withdrawal","Crypto Withdrawal"}) *
        Transactions!$I$3:$I$201
    )
)</f>
        <v>0</v>
      </c>
      <c r="O118" s="1" cm="1">
        <f t="array" ref="O118">IF(ISBLANK(B118), "",
    SUMPRODUCT(
        (Transactions!$D$3:$D$229=B118) *
        (Transactions!$H$3:$H$229={"Cash Deposit","Crypto Deposit","Buy","Transfer Deposit","DRIP","Airdrop/Rewards"}) *
        Transactions!$I$3:$I$229
    )
    - SUMPRODUCT(
        (Transactions!$D$3:$D$229=B118) *
        (Transactions!$H$3:$H$229={"Sell","Transfer Send","Cash Withdrawal","Crypto Withdrawal"}) *
        Transactions!$I$3:$I$229
    )
)</f>
        <v>0</v>
      </c>
      <c r="P118" s="1" cm="1">
        <f t="array" ref="P118">IF(ISBLANK(B118), "",
    SUMPRODUCT(
        (Transactions!$D$3:$D$305=B118) *
        (Transactions!$H$3:$H$305={"Cash Deposit","Crypto Deposit","Buy","Transfer Deposit","DRIP","Airdrop/Rewards"}) *
        Transactions!$I$3:$I$305
    )
    - SUMPRODUCT(
        (Transactions!$D$3:$D$305=B118) *
        (Transactions!$H$3:$H$305={"Sell","Transfer Send","Cash Withdrawal","Crypto Withdrawal"}) *
        Transactions!$I$3:$I$305
    )
)</f>
        <v>0</v>
      </c>
      <c r="Q118" s="1" cm="1">
        <f t="array" ref="Q118">IF(ISBLANK(B118), "",
    SUMPRODUCT(
        (Transactions!$D$3:$D$376=B118) *
        (Transactions!$H$3:$H$376={"Cash Deposit","Crypto Deposit","Buy","Transfer Deposit","DRIP","Airdrop/Rewards"}) *
        Transactions!$I$3:$I$376
    )
    - SUMPRODUCT(
        (Transactions!$D$3:$D$376=B118) *
        (Transactions!$H$3:$H$376={"Sell","Transfer Send","Cash Withdrawal","Crypto Withdrawal"}) *
        Transactions!$I$3:$I$376
    )
)</f>
        <v>107</v>
      </c>
      <c r="R118" s="1" cm="1">
        <f t="array" ref="R118">IF(ISBLANK(B118), "",
    SUMPRODUCT(
        (Transactions!$D$3:$D$1007=B118) *
        (Transactions!$H$3:$H$1007={"Cash Deposit","Crypto Deposit","Buy","Transfer Deposit","DRIP","Airdrop/Rewards"}) *
        Transactions!$I$3:$I$1007
    )
    - SUMPRODUCT(
        (Transactions!$D$3:$D$1007=B118) *
        (Transactions!$H$3:$H$1007={"Sell","Transfer Send","Cash Withdrawal","Crypto Withdrawal"}) *
        Transactions!$I$3:$I$1007
    )
)</f>
        <v>107</v>
      </c>
    </row>
    <row r="119" spans="1:18">
      <c r="A119" s="1" t="str">
        <v>ETH</v>
      </c>
      <c r="B119" s="1" t="s">
        <v>23</v>
      </c>
      <c r="C119" s="1" cm="1">
        <f t="array" ref="C119">IF(ISBLANK(B119), "",
    SUMPRODUCT(
        (Transactions!$D$3:$D$74=B119) *
        (Transactions!$H$3:$H$74={"Cash Deposit","Crypto Deposit","Buy","Transfer Deposit","DRIP","Airdrop/Rewards"}) *
        Transactions!$I$3:$I$74
    )
    - SUMPRODUCT(
        (Transactions!$D$3:$D$74=B119) *
        (Transactions!$H$3:$H$74={"Sell","Transfer Send","Cash Withdrawal","Crypto Withdrawal"}) *
        Transactions!$I$3:$I$74
    )
)</f>
        <v>9.8580111200000005</v>
      </c>
      <c r="D119" s="1" cm="1">
        <f t="array" ref="D119">IF(ISBLANK(B119), "",
    SUMPRODUCT(
        (Transactions!$D$3:$D$76=B119) *
        (Transactions!$H$3:$H$76={"Cash Deposit","Crypto Deposit","Buy","Transfer Deposit","DRIP","Airdrop/Rewards"}) *
        Transactions!$I$3:$I$76
    )
    - SUMPRODUCT(
        (Transactions!$D$3:$D$76=B119) *
        (Transactions!$H$3:$H$76={"Sell","Transfer Send","Cash Withdrawal","Crypto Withdrawal"}) *
        Transactions!$I$3:$I$76
    )
)</f>
        <v>9.8580111200000005</v>
      </c>
      <c r="E119" s="1" cm="1">
        <f t="array" ref="E119">IF(ISBLANK(B119), "",
    SUMPRODUCT(
        (Transactions!$D$3:$D$83=B119) *
        (Transactions!$H$3:$H$83={"Cash Deposit","Crypto Deposit","Buy","Transfer Deposit","DRIP","Airdrop/Rewards"}) *
        Transactions!$I$3:$I$83
    )
    - SUMPRODUCT(
        (Transactions!$D$3:$D$83=B119) *
        (Transactions!$H$3:$H$83={"Sell","Transfer Send","Cash Withdrawal","Crypto Withdrawal"}) *
        Transactions!$I$3:$I$83
    )
)</f>
        <v>9.8580111200000005</v>
      </c>
      <c r="F119" s="1" cm="1">
        <f t="array" ref="F119">IF(ISBLANK(B119), "",
    SUMPRODUCT(
        (Transactions!$D$3:$D$98=B119) *
        (Transactions!$H$3:$H$98={"Cash Deposit","Crypto Deposit","Buy","Transfer Deposit","DRIP","Airdrop/Rewards"}) *
        Transactions!$I$3:$I$98
    )
    - SUMPRODUCT(
        (Transactions!$D$3:$D$98=B119) *
        (Transactions!$H$3:$H$98={"Sell","Transfer Send","Cash Withdrawal","Crypto Withdrawal"}) *
        Transactions!$I$3:$I$98
    )
)</f>
        <v>9.8580111200000005</v>
      </c>
      <c r="G119" s="1" cm="1">
        <f t="array" ref="G119">IF(ISBLANK(B119), "",
    SUMPRODUCT(
        (Transactions!$D$3:$D$114=B119) *
        (Transactions!$H$3:$H$114={"Cash Deposit","Crypto Deposit","Buy","Transfer Deposit","DRIP","Airdrop/Rewards"}) *
        Transactions!$I$3:$I$114
    )
    - SUMPRODUCT(
        (Transactions!$D$3:$D$114=B119) *
        (Transactions!$H$3:$H$114={"Sell","Transfer Send","Cash Withdrawal","Crypto Withdrawal"}) *
        Transactions!$I$3:$I$114
    )
)</f>
        <v>9.8580111200000005</v>
      </c>
      <c r="H119" s="1" cm="1">
        <f t="array" ref="H119">IF(ISBLANK(B119), "",
    SUMPRODUCT(
        (Transactions!$D$3:$D$139=B119) *
        (Transactions!$H$3:$H$139={"Cash Deposit","Crypto Deposit","Buy","Transfer Deposit","DRIP","Airdrop/Rewards"}) *
        Transactions!$I$3:$I$139
    )
    - SUMPRODUCT(
        (Transactions!$D$3:$D$139=B119) *
        (Transactions!$H$3:$H$139={"Sell","Transfer Send","Cash Withdrawal","Crypto Withdrawal"}) *
        Transactions!$I$3:$I$139
    )
)</f>
        <v>9.8580111200000005</v>
      </c>
      <c r="I119" s="1" cm="1">
        <f t="array" ref="I119">IF(ISBLANK(B119), "",
    SUMPRODUCT(
        (Transactions!$D$3:$D$165=B119) *
        (Transactions!$H$3:$H$165={"Cash Deposit","Crypto Deposit","Buy","Transfer Deposit","DRIP","Airdrop/Rewards"}) *
        Transactions!$I$3:$I$165
    )
    - SUMPRODUCT(
        (Transactions!$D$3:$D$165=B119) *
        (Transactions!$H$3:$H$165={"Sell","Transfer Send","Cash Withdrawal","Crypto Withdrawal"}) *
        Transactions!$I$3:$I$165
    )
)</f>
        <v>9.9707611200000006</v>
      </c>
      <c r="J119" s="1" cm="1">
        <f t="array" ref="J119">IF(ISBLANK(B119), "",
    SUMPRODUCT(
        (Transactions!$D$3:$D$174=B119) *
        (Transactions!$H$3:$H$174={"Cash Deposit","Crypto Deposit","Buy","Transfer Deposit","DRIP","Airdrop/Rewards"}) *
        Transactions!$I$3:$I$174
    )
    - SUMPRODUCT(
        (Transactions!$D$3:$D$174=B119) *
        (Transactions!$H$3:$H$174={"Sell","Transfer Send","Cash Withdrawal","Crypto Withdrawal"}) *
        Transactions!$I$3:$I$174
    )
)</f>
        <v>9.9707611200000006</v>
      </c>
      <c r="K119" s="1" cm="1">
        <f t="array" ref="K119">IF(ISBLANK(B119), "",
    SUMPRODUCT(
        (Transactions!$D$3:$D$181=B119) *
        (Transactions!$H$3:$H$181={"Cash Deposit","Crypto Deposit","Buy","Transfer Deposit","DRIP","Airdrop/Rewards"}) *
        Transactions!$I$3:$I$181
    )
    - SUMPRODUCT(
        (Transactions!$D$3:$D$181=B119) *
        (Transactions!$H$3:$H$181={"Sell","Transfer Send","Cash Withdrawal","Crypto Withdrawal"}) *
        Transactions!$I$3:$I$181
    )
)</f>
        <v>9.9707611200000006</v>
      </c>
      <c r="L119" s="1" cm="1">
        <f t="array" ref="L119">IF(ISBLANK(B119), "",
    SUMPRODUCT(
        (Transactions!$D$3:$D$185=B119) *
        (Transactions!$H$3:$H$185={"Cash Deposit","Crypto Deposit","Buy","Transfer Deposit","DRIP","Airdrop/Rewards"}) *
        Transactions!$I$3:$I$185
    )
    - SUMPRODUCT(
        (Transactions!$D$3:$D$185=B119) *
        (Transactions!$H$3:$H$185={"Sell","Transfer Send","Cash Withdrawal","Crypto Withdrawal"}) *
        Transactions!$I$3:$I$185
    )
)</f>
        <v>9.9707611200000006</v>
      </c>
      <c r="M119" s="1" cm="1">
        <f t="array" ref="M119">IF(ISBLANK(B119), "",
    SUMPRODUCT(
        (Transactions!$D$3:$D$194=B119) *
        (Transactions!$H$3:$H$194={"Cash Deposit","Crypto Deposit","Buy","Transfer Deposit","DRIP","Airdrop/Rewards"}) *
        Transactions!$I$3:$I$194
    )
    - SUMPRODUCT(
        (Transactions!$D$3:$D$194=B119) *
        (Transactions!$H$3:$H$194={"Sell","Transfer Send","Cash Withdrawal","Crypto Withdrawal"}) *
        Transactions!$I$3:$I$194
    )
)</f>
        <v>9.9707611200000006</v>
      </c>
      <c r="N119" s="1" cm="1">
        <f t="array" ref="N119">IF(ISBLANK(B119), "",
    SUMPRODUCT(
        (Transactions!$D$3:$D$201=B119) *
        (Transactions!$H$3:$H$201={"Cash Deposit","Crypto Deposit","Buy","Transfer Deposit","DRIP","Airdrop/Rewards"}) *
        Transactions!$I$3:$I$201
    )
    - SUMPRODUCT(
        (Transactions!$D$3:$D$201=B119) *
        (Transactions!$H$3:$H$201={"Sell","Transfer Send","Cash Withdrawal","Crypto Withdrawal"}) *
        Transactions!$I$3:$I$201
    )
)</f>
        <v>9.9707611200000006</v>
      </c>
      <c r="O119" s="1" cm="1">
        <f t="array" ref="O119">IF(ISBLANK(B119), "",
    SUMPRODUCT(
        (Transactions!$D$3:$D$229=B119) *
        (Transactions!$H$3:$H$229={"Cash Deposit","Crypto Deposit","Buy","Transfer Deposit","DRIP","Airdrop/Rewards"}) *
        Transactions!$I$3:$I$229
    )
    - SUMPRODUCT(
        (Transactions!$D$3:$D$229=B119) *
        (Transactions!$H$3:$H$229={"Sell","Transfer Send","Cash Withdrawal","Crypto Withdrawal"}) *
        Transactions!$I$3:$I$229
    )
)</f>
        <v>10.07714112</v>
      </c>
      <c r="P119" s="1" cm="1">
        <f t="array" ref="P119">IF(ISBLANK(B119), "",
    SUMPRODUCT(
        (Transactions!$D$3:$D$305=B119) *
        (Transactions!$H$3:$H$305={"Cash Deposit","Crypto Deposit","Buy","Transfer Deposit","DRIP","Airdrop/Rewards"}) *
        Transactions!$I$3:$I$305
    )
    - SUMPRODUCT(
        (Transactions!$D$3:$D$305=B119) *
        (Transactions!$H$3:$H$305={"Sell","Transfer Send","Cash Withdrawal","Crypto Withdrawal"}) *
        Transactions!$I$3:$I$305
    )
)</f>
        <v>10.215451120000001</v>
      </c>
      <c r="Q119" s="1" cm="1">
        <f t="array" ref="Q119">IF(ISBLANK(B119), "",
    SUMPRODUCT(
        (Transactions!$D$3:$D$376=B119) *
        (Transactions!$H$3:$H$376={"Cash Deposit","Crypto Deposit","Buy","Transfer Deposit","DRIP","Airdrop/Rewards"}) *
        Transactions!$I$3:$I$376
    )
    - SUMPRODUCT(
        (Transactions!$D$3:$D$376=B119) *
        (Transactions!$H$3:$H$376={"Sell","Transfer Send","Cash Withdrawal","Crypto Withdrawal"}) *
        Transactions!$I$3:$I$376
    )
)</f>
        <v>10.427943702608806</v>
      </c>
      <c r="R119" s="1" cm="1">
        <f t="array" ref="R119">IF(ISBLANK(B119), "",
    SUMPRODUCT(
        (Transactions!$D$3:$D$1007=B119) *
        (Transactions!$H$3:$H$1007={"Cash Deposit","Crypto Deposit","Buy","Transfer Deposit","DRIP","Airdrop/Rewards"}) *
        Transactions!$I$3:$I$1007
    )
    - SUMPRODUCT(
        (Transactions!$D$3:$D$1007=B119) *
        (Transactions!$H$3:$H$1007={"Sell","Transfer Send","Cash Withdrawal","Crypto Withdrawal"}) *
        Transactions!$I$3:$I$1007
    )
)</f>
        <v>10.47406211649793</v>
      </c>
    </row>
    <row r="120" spans="1:18">
      <c r="A120" s="1" t="str">
        <v>FIL</v>
      </c>
      <c r="B120" s="1" t="s">
        <v>12</v>
      </c>
      <c r="C120" s="1" cm="1">
        <f t="array" ref="C120">IF(ISBLANK(B120), "",
    SUMPRODUCT(
        (Transactions!$D$3:$D$74=B120) *
        (Transactions!$H$3:$H$74={"Cash Deposit","Crypto Deposit","Buy","Transfer Deposit","DRIP","Airdrop/Rewards"}) *
        Transactions!$I$3:$I$74
    )
    - SUMPRODUCT(
        (Transactions!$D$3:$D$74=B120) *
        (Transactions!$H$3:$H$74={"Sell","Transfer Send","Cash Withdrawal","Crypto Withdrawal"}) *
        Transactions!$I$3:$I$74
    )
)</f>
        <v>13</v>
      </c>
      <c r="D120" s="1" cm="1">
        <f t="array" ref="D120">IF(ISBLANK(B120), "",
    SUMPRODUCT(
        (Transactions!$D$3:$D$76=B120) *
        (Transactions!$H$3:$H$76={"Cash Deposit","Crypto Deposit","Buy","Transfer Deposit","DRIP","Airdrop/Rewards"}) *
        Transactions!$I$3:$I$76
    )
    - SUMPRODUCT(
        (Transactions!$D$3:$D$76=B120) *
        (Transactions!$H$3:$H$76={"Sell","Transfer Send","Cash Withdrawal","Crypto Withdrawal"}) *
        Transactions!$I$3:$I$76
    )
)</f>
        <v>13</v>
      </c>
      <c r="E120" s="1" cm="1">
        <f t="array" ref="E120">IF(ISBLANK(B120), "",
    SUMPRODUCT(
        (Transactions!$D$3:$D$83=B120) *
        (Transactions!$H$3:$H$83={"Cash Deposit","Crypto Deposit","Buy","Transfer Deposit","DRIP","Airdrop/Rewards"}) *
        Transactions!$I$3:$I$83
    )
    - SUMPRODUCT(
        (Transactions!$D$3:$D$83=B120) *
        (Transactions!$H$3:$H$83={"Sell","Transfer Send","Cash Withdrawal","Crypto Withdrawal"}) *
        Transactions!$I$3:$I$83
    )
)</f>
        <v>13</v>
      </c>
      <c r="F120" s="1" cm="1">
        <f t="array" ref="F120">IF(ISBLANK(B120), "",
    SUMPRODUCT(
        (Transactions!$D$3:$D$98=B120) *
        (Transactions!$H$3:$H$98={"Cash Deposit","Crypto Deposit","Buy","Transfer Deposit","DRIP","Airdrop/Rewards"}) *
        Transactions!$I$3:$I$98
    )
    - SUMPRODUCT(
        (Transactions!$D$3:$D$98=B120) *
        (Transactions!$H$3:$H$98={"Sell","Transfer Send","Cash Withdrawal","Crypto Withdrawal"}) *
        Transactions!$I$3:$I$98
    )
)</f>
        <v>13</v>
      </c>
      <c r="G120" s="1" cm="1">
        <f t="array" ref="G120">IF(ISBLANK(B120), "",
    SUMPRODUCT(
        (Transactions!$D$3:$D$114=B120) *
        (Transactions!$H$3:$H$114={"Cash Deposit","Crypto Deposit","Buy","Transfer Deposit","DRIP","Airdrop/Rewards"}) *
        Transactions!$I$3:$I$114
    )
    - SUMPRODUCT(
        (Transactions!$D$3:$D$114=B120) *
        (Transactions!$H$3:$H$114={"Sell","Transfer Send","Cash Withdrawal","Crypto Withdrawal"}) *
        Transactions!$I$3:$I$114
    )
)</f>
        <v>13</v>
      </c>
      <c r="H120" s="1" cm="1">
        <f t="array" ref="H120">IF(ISBLANK(B120), "",
    SUMPRODUCT(
        (Transactions!$D$3:$D$139=B120) *
        (Transactions!$H$3:$H$139={"Cash Deposit","Crypto Deposit","Buy","Transfer Deposit","DRIP","Airdrop/Rewards"}) *
        Transactions!$I$3:$I$139
    )
    - SUMPRODUCT(
        (Transactions!$D$3:$D$139=B120) *
        (Transactions!$H$3:$H$139={"Sell","Transfer Send","Cash Withdrawal","Crypto Withdrawal"}) *
        Transactions!$I$3:$I$139
    )
)</f>
        <v>13</v>
      </c>
      <c r="I120" s="1" cm="1">
        <f t="array" ref="I120">IF(ISBLANK(B120), "",
    SUMPRODUCT(
        (Transactions!$D$3:$D$165=B120) *
        (Transactions!$H$3:$H$165={"Cash Deposit","Crypto Deposit","Buy","Transfer Deposit","DRIP","Airdrop/Rewards"}) *
        Transactions!$I$3:$I$165
    )
    - SUMPRODUCT(
        (Transactions!$D$3:$D$165=B120) *
        (Transactions!$H$3:$H$165={"Sell","Transfer Send","Cash Withdrawal","Crypto Withdrawal"}) *
        Transactions!$I$3:$I$165
    )
)</f>
        <v>13</v>
      </c>
      <c r="J120" s="1" cm="1">
        <f t="array" ref="J120">IF(ISBLANK(B120), "",
    SUMPRODUCT(
        (Transactions!$D$3:$D$174=B120) *
        (Transactions!$H$3:$H$174={"Cash Deposit","Crypto Deposit","Buy","Transfer Deposit","DRIP","Airdrop/Rewards"}) *
        Transactions!$I$3:$I$174
    )
    - SUMPRODUCT(
        (Transactions!$D$3:$D$174=B120) *
        (Transactions!$H$3:$H$174={"Sell","Transfer Send","Cash Withdrawal","Crypto Withdrawal"}) *
        Transactions!$I$3:$I$174
    )
)</f>
        <v>13</v>
      </c>
      <c r="K120" s="1" cm="1">
        <f t="array" ref="K120">IF(ISBLANK(B120), "",
    SUMPRODUCT(
        (Transactions!$D$3:$D$181=B120) *
        (Transactions!$H$3:$H$181={"Cash Deposit","Crypto Deposit","Buy","Transfer Deposit","DRIP","Airdrop/Rewards"}) *
        Transactions!$I$3:$I$181
    )
    - SUMPRODUCT(
        (Transactions!$D$3:$D$181=B120) *
        (Transactions!$H$3:$H$181={"Sell","Transfer Send","Cash Withdrawal","Crypto Withdrawal"}) *
        Transactions!$I$3:$I$181
    )
)</f>
        <v>13</v>
      </c>
      <c r="L120" s="1" cm="1">
        <f t="array" ref="L120">IF(ISBLANK(B120), "",
    SUMPRODUCT(
        (Transactions!$D$3:$D$185=B120) *
        (Transactions!$H$3:$H$185={"Cash Deposit","Crypto Deposit","Buy","Transfer Deposit","DRIP","Airdrop/Rewards"}) *
        Transactions!$I$3:$I$185
    )
    - SUMPRODUCT(
        (Transactions!$D$3:$D$185=B120) *
        (Transactions!$H$3:$H$185={"Sell","Transfer Send","Cash Withdrawal","Crypto Withdrawal"}) *
        Transactions!$I$3:$I$185
    )
)</f>
        <v>13</v>
      </c>
      <c r="M120" s="1" cm="1">
        <f t="array" ref="M120">IF(ISBLANK(B120), "",
    SUMPRODUCT(
        (Transactions!$D$3:$D$194=B120) *
        (Transactions!$H$3:$H$194={"Cash Deposit","Crypto Deposit","Buy","Transfer Deposit","DRIP","Airdrop/Rewards"}) *
        Transactions!$I$3:$I$194
    )
    - SUMPRODUCT(
        (Transactions!$D$3:$D$194=B120) *
        (Transactions!$H$3:$H$194={"Sell","Transfer Send","Cash Withdrawal","Crypto Withdrawal"}) *
        Transactions!$I$3:$I$194
    )
)</f>
        <v>13</v>
      </c>
      <c r="N120" s="1" cm="1">
        <f t="array" ref="N120">IF(ISBLANK(B120), "",
    SUMPRODUCT(
        (Transactions!$D$3:$D$201=B120) *
        (Transactions!$H$3:$H$201={"Cash Deposit","Crypto Deposit","Buy","Transfer Deposit","DRIP","Airdrop/Rewards"}) *
        Transactions!$I$3:$I$201
    )
    - SUMPRODUCT(
        (Transactions!$D$3:$D$201=B120) *
        (Transactions!$H$3:$H$201={"Sell","Transfer Send","Cash Withdrawal","Crypto Withdrawal"}) *
        Transactions!$I$3:$I$201
    )
)</f>
        <v>13</v>
      </c>
      <c r="O120" s="1" cm="1">
        <f t="array" ref="O120">IF(ISBLANK(B120), "",
    SUMPRODUCT(
        (Transactions!$D$3:$D$229=B120) *
        (Transactions!$H$3:$H$229={"Cash Deposit","Crypto Deposit","Buy","Transfer Deposit","DRIP","Airdrop/Rewards"}) *
        Transactions!$I$3:$I$229
    )
    - SUMPRODUCT(
        (Transactions!$D$3:$D$229=B120) *
        (Transactions!$H$3:$H$229={"Sell","Transfer Send","Cash Withdrawal","Crypto Withdrawal"}) *
        Transactions!$I$3:$I$229
    )
)</f>
        <v>13</v>
      </c>
      <c r="P120" s="1" cm="1">
        <f t="array" ref="P120">IF(ISBLANK(B120), "",
    SUMPRODUCT(
        (Transactions!$D$3:$D$305=B120) *
        (Transactions!$H$3:$H$305={"Cash Deposit","Crypto Deposit","Buy","Transfer Deposit","DRIP","Airdrop/Rewards"}) *
        Transactions!$I$3:$I$305
    )
    - SUMPRODUCT(
        (Transactions!$D$3:$D$305=B120) *
        (Transactions!$H$3:$H$305={"Sell","Transfer Send","Cash Withdrawal","Crypto Withdrawal"}) *
        Transactions!$I$3:$I$305
    )
)</f>
        <v>13</v>
      </c>
      <c r="Q120" s="1" cm="1">
        <f t="array" ref="Q120">IF(ISBLANK(B120), "",
    SUMPRODUCT(
        (Transactions!$D$3:$D$376=B120) *
        (Transactions!$H$3:$H$376={"Cash Deposit","Crypto Deposit","Buy","Transfer Deposit","DRIP","Airdrop/Rewards"}) *
        Transactions!$I$3:$I$376
    )
    - SUMPRODUCT(
        (Transactions!$D$3:$D$376=B120) *
        (Transactions!$H$3:$H$376={"Sell","Transfer Send","Cash Withdrawal","Crypto Withdrawal"}) *
        Transactions!$I$3:$I$376
    )
)</f>
        <v>40</v>
      </c>
      <c r="R120" s="1" cm="1">
        <f t="array" ref="R120">IF(ISBLANK(B120), "",
    SUMPRODUCT(
        (Transactions!$D$3:$D$1007=B120) *
        (Transactions!$H$3:$H$1007={"Cash Deposit","Crypto Deposit","Buy","Transfer Deposit","DRIP","Airdrop/Rewards"}) *
        Transactions!$I$3:$I$1007
    )
    - SUMPRODUCT(
        (Transactions!$D$3:$D$1007=B120) *
        (Transactions!$H$3:$H$1007={"Sell","Transfer Send","Cash Withdrawal","Crypto Withdrawal"}) *
        Transactions!$I$3:$I$1007
    )
)</f>
        <v>40</v>
      </c>
    </row>
    <row r="121" spans="1:18">
      <c r="A121" s="1" t="str">
        <v>FTM</v>
      </c>
      <c r="B121" s="1" t="s">
        <v>72</v>
      </c>
      <c r="C121" s="1" cm="1">
        <f t="array" ref="C121">IF(ISBLANK(B121), "",
    SUMPRODUCT(
        (Transactions!$D$3:$D$74=B121) *
        (Transactions!$H$3:$H$74={"Cash Deposit","Crypto Deposit","Buy","Transfer Deposit","DRIP","Airdrop/Rewards"}) *
        Transactions!$I$3:$I$74
    )
    - SUMPRODUCT(
        (Transactions!$D$3:$D$74=B121) *
        (Transactions!$H$3:$H$74={"Sell","Transfer Send","Cash Withdrawal","Crypto Withdrawal"}) *
        Transactions!$I$3:$I$74
    )
)</f>
        <v>95.65</v>
      </c>
      <c r="D121" s="1" cm="1">
        <f t="array" ref="D121">IF(ISBLANK(B121), "",
    SUMPRODUCT(
        (Transactions!$D$3:$D$76=B121) *
        (Transactions!$H$3:$H$76={"Cash Deposit","Crypto Deposit","Buy","Transfer Deposit","DRIP","Airdrop/Rewards"}) *
        Transactions!$I$3:$I$76
    )
    - SUMPRODUCT(
        (Transactions!$D$3:$D$76=B121) *
        (Transactions!$H$3:$H$76={"Sell","Transfer Send","Cash Withdrawal","Crypto Withdrawal"}) *
        Transactions!$I$3:$I$76
    )
)</f>
        <v>95.65</v>
      </c>
      <c r="E121" s="1" cm="1">
        <f t="array" ref="E121">IF(ISBLANK(B121), "",
    SUMPRODUCT(
        (Transactions!$D$3:$D$83=B121) *
        (Transactions!$H$3:$H$83={"Cash Deposit","Crypto Deposit","Buy","Transfer Deposit","DRIP","Airdrop/Rewards"}) *
        Transactions!$I$3:$I$83
    )
    - SUMPRODUCT(
        (Transactions!$D$3:$D$83=B121) *
        (Transactions!$H$3:$H$83={"Sell","Transfer Send","Cash Withdrawal","Crypto Withdrawal"}) *
        Transactions!$I$3:$I$83
    )
)</f>
        <v>95.65</v>
      </c>
      <c r="F121" s="1" cm="1">
        <f t="array" ref="F121">IF(ISBLANK(B121), "",
    SUMPRODUCT(
        (Transactions!$D$3:$D$98=B121) *
        (Transactions!$H$3:$H$98={"Cash Deposit","Crypto Deposit","Buy","Transfer Deposit","DRIP","Airdrop/Rewards"}) *
        Transactions!$I$3:$I$98
    )
    - SUMPRODUCT(
        (Transactions!$D$3:$D$98=B121) *
        (Transactions!$H$3:$H$98={"Sell","Transfer Send","Cash Withdrawal","Crypto Withdrawal"}) *
        Transactions!$I$3:$I$98
    )
)</f>
        <v>95.65</v>
      </c>
      <c r="G121" s="1" cm="1">
        <f t="array" ref="G121">IF(ISBLANK(B121), "",
    SUMPRODUCT(
        (Transactions!$D$3:$D$114=B121) *
        (Transactions!$H$3:$H$114={"Cash Deposit","Crypto Deposit","Buy","Transfer Deposit","DRIP","Airdrop/Rewards"}) *
        Transactions!$I$3:$I$114
    )
    - SUMPRODUCT(
        (Transactions!$D$3:$D$114=B121) *
        (Transactions!$H$3:$H$114={"Sell","Transfer Send","Cash Withdrawal","Crypto Withdrawal"}) *
        Transactions!$I$3:$I$114
    )
)</f>
        <v>95.65</v>
      </c>
      <c r="H121" s="1" cm="1">
        <f t="array" ref="H121">IF(ISBLANK(B121), "",
    SUMPRODUCT(
        (Transactions!$D$3:$D$139=B121) *
        (Transactions!$H$3:$H$139={"Cash Deposit","Crypto Deposit","Buy","Transfer Deposit","DRIP","Airdrop/Rewards"}) *
        Transactions!$I$3:$I$139
    )
    - SUMPRODUCT(
        (Transactions!$D$3:$D$139=B121) *
        (Transactions!$H$3:$H$139={"Sell","Transfer Send","Cash Withdrawal","Crypto Withdrawal"}) *
        Transactions!$I$3:$I$139
    )
)</f>
        <v>95.65</v>
      </c>
      <c r="I121" s="1" cm="1">
        <f t="array" ref="I121">IF(ISBLANK(B121), "",
    SUMPRODUCT(
        (Transactions!$D$3:$D$165=B121) *
        (Transactions!$H$3:$H$165={"Cash Deposit","Crypto Deposit","Buy","Transfer Deposit","DRIP","Airdrop/Rewards"}) *
        Transactions!$I$3:$I$165
    )
    - SUMPRODUCT(
        (Transactions!$D$3:$D$165=B121) *
        (Transactions!$H$3:$H$165={"Sell","Transfer Send","Cash Withdrawal","Crypto Withdrawal"}) *
        Transactions!$I$3:$I$165
    )
)</f>
        <v>95.65</v>
      </c>
      <c r="J121" s="1" cm="1">
        <f t="array" ref="J121">IF(ISBLANK(B121), "",
    SUMPRODUCT(
        (Transactions!$D$3:$D$174=B121) *
        (Transactions!$H$3:$H$174={"Cash Deposit","Crypto Deposit","Buy","Transfer Deposit","DRIP","Airdrop/Rewards"}) *
        Transactions!$I$3:$I$174
    )
    - SUMPRODUCT(
        (Transactions!$D$3:$D$174=B121) *
        (Transactions!$H$3:$H$174={"Sell","Transfer Send","Cash Withdrawal","Crypto Withdrawal"}) *
        Transactions!$I$3:$I$174
    )
)</f>
        <v>95.65</v>
      </c>
      <c r="K121" s="1" cm="1">
        <f t="array" ref="K121">IF(ISBLANK(B121), "",
    SUMPRODUCT(
        (Transactions!$D$3:$D$181=B121) *
        (Transactions!$H$3:$H$181={"Cash Deposit","Crypto Deposit","Buy","Transfer Deposit","DRIP","Airdrop/Rewards"}) *
        Transactions!$I$3:$I$181
    )
    - SUMPRODUCT(
        (Transactions!$D$3:$D$181=B121) *
        (Transactions!$H$3:$H$181={"Sell","Transfer Send","Cash Withdrawal","Crypto Withdrawal"}) *
        Transactions!$I$3:$I$181
    )
)</f>
        <v>95.65</v>
      </c>
      <c r="L121" s="1" cm="1">
        <f t="array" ref="L121">IF(ISBLANK(B121), "",
    SUMPRODUCT(
        (Transactions!$D$3:$D$185=B121) *
        (Transactions!$H$3:$H$185={"Cash Deposit","Crypto Deposit","Buy","Transfer Deposit","DRIP","Airdrop/Rewards"}) *
        Transactions!$I$3:$I$185
    )
    - SUMPRODUCT(
        (Transactions!$D$3:$D$185=B121) *
        (Transactions!$H$3:$H$185={"Sell","Transfer Send","Cash Withdrawal","Crypto Withdrawal"}) *
        Transactions!$I$3:$I$185
    )
)</f>
        <v>95.65</v>
      </c>
      <c r="M121" s="1" cm="1">
        <f t="array" ref="M121">IF(ISBLANK(B121), "",
    SUMPRODUCT(
        (Transactions!$D$3:$D$194=B121) *
        (Transactions!$H$3:$H$194={"Cash Deposit","Crypto Deposit","Buy","Transfer Deposit","DRIP","Airdrop/Rewards"}) *
        Transactions!$I$3:$I$194
    )
    - SUMPRODUCT(
        (Transactions!$D$3:$D$194=B121) *
        (Transactions!$H$3:$H$194={"Sell","Transfer Send","Cash Withdrawal","Crypto Withdrawal"}) *
        Transactions!$I$3:$I$194
    )
)</f>
        <v>95.65</v>
      </c>
      <c r="N121" s="1" cm="1">
        <f t="array" ref="N121">IF(ISBLANK(B121), "",
    SUMPRODUCT(
        (Transactions!$D$3:$D$201=B121) *
        (Transactions!$H$3:$H$201={"Cash Deposit","Crypto Deposit","Buy","Transfer Deposit","DRIP","Airdrop/Rewards"}) *
        Transactions!$I$3:$I$201
    )
    - SUMPRODUCT(
        (Transactions!$D$3:$D$201=B121) *
        (Transactions!$H$3:$H$201={"Sell","Transfer Send","Cash Withdrawal","Crypto Withdrawal"}) *
        Transactions!$I$3:$I$201
    )
)</f>
        <v>95.65</v>
      </c>
      <c r="O121" s="1" cm="1">
        <f t="array" ref="O121">IF(ISBLANK(B121), "",
    SUMPRODUCT(
        (Transactions!$D$3:$D$229=B121) *
        (Transactions!$H$3:$H$229={"Cash Deposit","Crypto Deposit","Buy","Transfer Deposit","DRIP","Airdrop/Rewards"}) *
        Transactions!$I$3:$I$229
    )
    - SUMPRODUCT(
        (Transactions!$D$3:$D$229=B121) *
        (Transactions!$H$3:$H$229={"Sell","Transfer Send","Cash Withdrawal","Crypto Withdrawal"}) *
        Transactions!$I$3:$I$229
    )
)</f>
        <v>95.65</v>
      </c>
      <c r="P121" s="1" cm="1">
        <f t="array" ref="P121">IF(ISBLANK(B121), "",
    SUMPRODUCT(
        (Transactions!$D$3:$D$305=B121) *
        (Transactions!$H$3:$H$305={"Cash Deposit","Crypto Deposit","Buy","Transfer Deposit","DRIP","Airdrop/Rewards"}) *
        Transactions!$I$3:$I$305
    )
    - SUMPRODUCT(
        (Transactions!$D$3:$D$305=B121) *
        (Transactions!$H$3:$H$305={"Sell","Transfer Send","Cash Withdrawal","Crypto Withdrawal"}) *
        Transactions!$I$3:$I$305
    )
)</f>
        <v>95.65</v>
      </c>
      <c r="Q121" s="1" cm="1">
        <f t="array" ref="Q121">IF(ISBLANK(B121), "",
    SUMPRODUCT(
        (Transactions!$D$3:$D$376=B121) *
        (Transactions!$H$3:$H$376={"Cash Deposit","Crypto Deposit","Buy","Transfer Deposit","DRIP","Airdrop/Rewards"}) *
        Transactions!$I$3:$I$376
    )
    - SUMPRODUCT(
        (Transactions!$D$3:$D$376=B121) *
        (Transactions!$H$3:$H$376={"Sell","Transfer Send","Cash Withdrawal","Crypto Withdrawal"}) *
        Transactions!$I$3:$I$376
    )
)</f>
        <v>95.65</v>
      </c>
      <c r="R121" s="1" cm="1">
        <f t="array" ref="R121">IF(ISBLANK(B121), "",
    SUMPRODUCT(
        (Transactions!$D$3:$D$1007=B121) *
        (Transactions!$H$3:$H$1007={"Cash Deposit","Crypto Deposit","Buy","Transfer Deposit","DRIP","Airdrop/Rewards"}) *
        Transactions!$I$3:$I$1007
    )
    - SUMPRODUCT(
        (Transactions!$D$3:$D$1007=B121) *
        (Transactions!$H$3:$H$1007={"Sell","Transfer Send","Cash Withdrawal","Crypto Withdrawal"}) *
        Transactions!$I$3:$I$1007
    )
)</f>
        <v>95.65</v>
      </c>
    </row>
    <row r="122" spans="1:18">
      <c r="A122" s="1" t="str">
        <v>GALA</v>
      </c>
      <c r="B122" s="1" t="s">
        <v>14</v>
      </c>
      <c r="C122" s="1" cm="1">
        <f t="array" ref="C122">IF(ISBLANK(B122), "",
    SUMPRODUCT(
        (Transactions!$D$3:$D$74=B122) *
        (Transactions!$H$3:$H$74={"Cash Deposit","Crypto Deposit","Buy","Transfer Deposit","DRIP","Airdrop/Rewards"}) *
        Transactions!$I$3:$I$74
    )
    - SUMPRODUCT(
        (Transactions!$D$3:$D$74=B122) *
        (Transactions!$H$3:$H$74={"Sell","Transfer Send","Cash Withdrawal","Crypto Withdrawal"}) *
        Transactions!$I$3:$I$74
    )
)</f>
        <v>1811</v>
      </c>
      <c r="D122" s="1" cm="1">
        <f t="array" ref="D122">IF(ISBLANK(B122), "",
    SUMPRODUCT(
        (Transactions!$D$3:$D$76=B122) *
        (Transactions!$H$3:$H$76={"Cash Deposit","Crypto Deposit","Buy","Transfer Deposit","DRIP","Airdrop/Rewards"}) *
        Transactions!$I$3:$I$76
    )
    - SUMPRODUCT(
        (Transactions!$D$3:$D$76=B122) *
        (Transactions!$H$3:$H$76={"Sell","Transfer Send","Cash Withdrawal","Crypto Withdrawal"}) *
        Transactions!$I$3:$I$76
    )
)</f>
        <v>1811</v>
      </c>
      <c r="E122" s="1" cm="1">
        <f t="array" ref="E122">IF(ISBLANK(B122), "",
    SUMPRODUCT(
        (Transactions!$D$3:$D$83=B122) *
        (Transactions!$H$3:$H$83={"Cash Deposit","Crypto Deposit","Buy","Transfer Deposit","DRIP","Airdrop/Rewards"}) *
        Transactions!$I$3:$I$83
    )
    - SUMPRODUCT(
        (Transactions!$D$3:$D$83=B122) *
        (Transactions!$H$3:$H$83={"Sell","Transfer Send","Cash Withdrawal","Crypto Withdrawal"}) *
        Transactions!$I$3:$I$83
    )
)</f>
        <v>1811</v>
      </c>
      <c r="F122" s="1" cm="1">
        <f t="array" ref="F122">IF(ISBLANK(B122), "",
    SUMPRODUCT(
        (Transactions!$D$3:$D$98=B122) *
        (Transactions!$H$3:$H$98={"Cash Deposit","Crypto Deposit","Buy","Transfer Deposit","DRIP","Airdrop/Rewards"}) *
        Transactions!$I$3:$I$98
    )
    - SUMPRODUCT(
        (Transactions!$D$3:$D$98=B122) *
        (Transactions!$H$3:$H$98={"Sell","Transfer Send","Cash Withdrawal","Crypto Withdrawal"}) *
        Transactions!$I$3:$I$98
    )
)</f>
        <v>1811</v>
      </c>
      <c r="G122" s="1" cm="1">
        <f t="array" ref="G122">IF(ISBLANK(B122), "",
    SUMPRODUCT(
        (Transactions!$D$3:$D$114=B122) *
        (Transactions!$H$3:$H$114={"Cash Deposit","Crypto Deposit","Buy","Transfer Deposit","DRIP","Airdrop/Rewards"}) *
        Transactions!$I$3:$I$114
    )
    - SUMPRODUCT(
        (Transactions!$D$3:$D$114=B122) *
        (Transactions!$H$3:$H$114={"Sell","Transfer Send","Cash Withdrawal","Crypto Withdrawal"}) *
        Transactions!$I$3:$I$114
    )
)</f>
        <v>1811</v>
      </c>
      <c r="H122" s="1" cm="1">
        <f t="array" ref="H122">IF(ISBLANK(B122), "",
    SUMPRODUCT(
        (Transactions!$D$3:$D$139=B122) *
        (Transactions!$H$3:$H$139={"Cash Deposit","Crypto Deposit","Buy","Transfer Deposit","DRIP","Airdrop/Rewards"}) *
        Transactions!$I$3:$I$139
    )
    - SUMPRODUCT(
        (Transactions!$D$3:$D$139=B122) *
        (Transactions!$H$3:$H$139={"Sell","Transfer Send","Cash Withdrawal","Crypto Withdrawal"}) *
        Transactions!$I$3:$I$139
    )
)</f>
        <v>1811</v>
      </c>
      <c r="I122" s="1" cm="1">
        <f t="array" ref="I122">IF(ISBLANK(B122), "",
    SUMPRODUCT(
        (Transactions!$D$3:$D$165=B122) *
        (Transactions!$H$3:$H$165={"Cash Deposit","Crypto Deposit","Buy","Transfer Deposit","DRIP","Airdrop/Rewards"}) *
        Transactions!$I$3:$I$165
    )
    - SUMPRODUCT(
        (Transactions!$D$3:$D$165=B122) *
        (Transactions!$H$3:$H$165={"Sell","Transfer Send","Cash Withdrawal","Crypto Withdrawal"}) *
        Transactions!$I$3:$I$165
    )
)</f>
        <v>1811</v>
      </c>
      <c r="J122" s="1" cm="1">
        <f t="array" ref="J122">IF(ISBLANK(B122), "",
    SUMPRODUCT(
        (Transactions!$D$3:$D$174=B122) *
        (Transactions!$H$3:$H$174={"Cash Deposit","Crypto Deposit","Buy","Transfer Deposit","DRIP","Airdrop/Rewards"}) *
        Transactions!$I$3:$I$174
    )
    - SUMPRODUCT(
        (Transactions!$D$3:$D$174=B122) *
        (Transactions!$H$3:$H$174={"Sell","Transfer Send","Cash Withdrawal","Crypto Withdrawal"}) *
        Transactions!$I$3:$I$174
    )
)</f>
        <v>1811</v>
      </c>
      <c r="K122" s="1" cm="1">
        <f t="array" ref="K122">IF(ISBLANK(B122), "",
    SUMPRODUCT(
        (Transactions!$D$3:$D$181=B122) *
        (Transactions!$H$3:$H$181={"Cash Deposit","Crypto Deposit","Buy","Transfer Deposit","DRIP","Airdrop/Rewards"}) *
        Transactions!$I$3:$I$181
    )
    - SUMPRODUCT(
        (Transactions!$D$3:$D$181=B122) *
        (Transactions!$H$3:$H$181={"Sell","Transfer Send","Cash Withdrawal","Crypto Withdrawal"}) *
        Transactions!$I$3:$I$181
    )
)</f>
        <v>1811</v>
      </c>
      <c r="L122" s="1" cm="1">
        <f t="array" ref="L122">IF(ISBLANK(B122), "",
    SUMPRODUCT(
        (Transactions!$D$3:$D$185=B122) *
        (Transactions!$H$3:$H$185={"Cash Deposit","Crypto Deposit","Buy","Transfer Deposit","DRIP","Airdrop/Rewards"}) *
        Transactions!$I$3:$I$185
    )
    - SUMPRODUCT(
        (Transactions!$D$3:$D$185=B122) *
        (Transactions!$H$3:$H$185={"Sell","Transfer Send","Cash Withdrawal","Crypto Withdrawal"}) *
        Transactions!$I$3:$I$185
    )
)</f>
        <v>1811</v>
      </c>
      <c r="M122" s="1" cm="1">
        <f t="array" ref="M122">IF(ISBLANK(B122), "",
    SUMPRODUCT(
        (Transactions!$D$3:$D$194=B122) *
        (Transactions!$H$3:$H$194={"Cash Deposit","Crypto Deposit","Buy","Transfer Deposit","DRIP","Airdrop/Rewards"}) *
        Transactions!$I$3:$I$194
    )
    - SUMPRODUCT(
        (Transactions!$D$3:$D$194=B122) *
        (Transactions!$H$3:$H$194={"Sell","Transfer Send","Cash Withdrawal","Crypto Withdrawal"}) *
        Transactions!$I$3:$I$194
    )
)</f>
        <v>1811</v>
      </c>
      <c r="N122" s="1" cm="1">
        <f t="array" ref="N122">IF(ISBLANK(B122), "",
    SUMPRODUCT(
        (Transactions!$D$3:$D$201=B122) *
        (Transactions!$H$3:$H$201={"Cash Deposit","Crypto Deposit","Buy","Transfer Deposit","DRIP","Airdrop/Rewards"}) *
        Transactions!$I$3:$I$201
    )
    - SUMPRODUCT(
        (Transactions!$D$3:$D$201=B122) *
        (Transactions!$H$3:$H$201={"Sell","Transfer Send","Cash Withdrawal","Crypto Withdrawal"}) *
        Transactions!$I$3:$I$201
    )
)</f>
        <v>1811</v>
      </c>
      <c r="O122" s="1" cm="1">
        <f t="array" ref="O122">IF(ISBLANK(B122), "",
    SUMPRODUCT(
        (Transactions!$D$3:$D$229=B122) *
        (Transactions!$H$3:$H$229={"Cash Deposit","Crypto Deposit","Buy","Transfer Deposit","DRIP","Airdrop/Rewards"}) *
        Transactions!$I$3:$I$229
    )
    - SUMPRODUCT(
        (Transactions!$D$3:$D$229=B122) *
        (Transactions!$H$3:$H$229={"Sell","Transfer Send","Cash Withdrawal","Crypto Withdrawal"}) *
        Transactions!$I$3:$I$229
    )
)</f>
        <v>1811</v>
      </c>
      <c r="P122" s="1" cm="1">
        <f t="array" ref="P122">IF(ISBLANK(B122), "",
    SUMPRODUCT(
        (Transactions!$D$3:$D$305=B122) *
        (Transactions!$H$3:$H$305={"Cash Deposit","Crypto Deposit","Buy","Transfer Deposit","DRIP","Airdrop/Rewards"}) *
        Transactions!$I$3:$I$305
    )
    - SUMPRODUCT(
        (Transactions!$D$3:$D$305=B122) *
        (Transactions!$H$3:$H$305={"Sell","Transfer Send","Cash Withdrawal","Crypto Withdrawal"}) *
        Transactions!$I$3:$I$305
    )
)</f>
        <v>1811</v>
      </c>
      <c r="Q122" s="1" cm="1">
        <f t="array" ref="Q122">IF(ISBLANK(B122), "",
    SUMPRODUCT(
        (Transactions!$D$3:$D$376=B122) *
        (Transactions!$H$3:$H$376={"Cash Deposit","Crypto Deposit","Buy","Transfer Deposit","DRIP","Airdrop/Rewards"}) *
        Transactions!$I$3:$I$376
    )
    - SUMPRODUCT(
        (Transactions!$D$3:$D$376=B122) *
        (Transactions!$H$3:$H$376={"Sell","Transfer Send","Cash Withdrawal","Crypto Withdrawal"}) *
        Transactions!$I$3:$I$376
    )
)</f>
        <v>1811</v>
      </c>
      <c r="R122" s="1" cm="1">
        <f t="array" ref="R122">IF(ISBLANK(B122), "",
    SUMPRODUCT(
        (Transactions!$D$3:$D$1007=B122) *
        (Transactions!$H$3:$H$1007={"Cash Deposit","Crypto Deposit","Buy","Transfer Deposit","DRIP","Airdrop/Rewards"}) *
        Transactions!$I$3:$I$1007
    )
    - SUMPRODUCT(
        (Transactions!$D$3:$D$1007=B122) *
        (Transactions!$H$3:$H$1007={"Sell","Transfer Send","Cash Withdrawal","Crypto Withdrawal"}) *
        Transactions!$I$3:$I$1007
    )
)</f>
        <v>1811</v>
      </c>
    </row>
    <row r="123" spans="1:18">
      <c r="A123" s="1" t="str">
        <v>gDAI</v>
      </c>
      <c r="B123" s="1" t="s">
        <v>88</v>
      </c>
      <c r="C123" s="1" cm="1">
        <f t="array" ref="C123">IF(ISBLANK(B123), "",
    SUMPRODUCT(
        (Transactions!$D$3:$D$74=B123) *
        (Transactions!$H$3:$H$74={"Cash Deposit","Crypto Deposit","Buy","Transfer Deposit","DRIP","Airdrop/Rewards"}) *
        Transactions!$I$3:$I$74
    )
    - SUMPRODUCT(
        (Transactions!$D$3:$D$74=B123) *
        (Transactions!$H$3:$H$74={"Sell","Transfer Send","Cash Withdrawal","Crypto Withdrawal"}) *
        Transactions!$I$3:$I$74
    )
)</f>
        <v>0</v>
      </c>
      <c r="D123" s="1" cm="1">
        <f t="array" ref="D123">IF(ISBLANK(B123), "",
    SUMPRODUCT(
        (Transactions!$D$3:$D$76=B123) *
        (Transactions!$H$3:$H$76={"Cash Deposit","Crypto Deposit","Buy","Transfer Deposit","DRIP","Airdrop/Rewards"}) *
        Transactions!$I$3:$I$76
    )
    - SUMPRODUCT(
        (Transactions!$D$3:$D$76=B123) *
        (Transactions!$H$3:$H$76={"Sell","Transfer Send","Cash Withdrawal","Crypto Withdrawal"}) *
        Transactions!$I$3:$I$76
    )
)</f>
        <v>0</v>
      </c>
      <c r="E123" s="1" cm="1">
        <f t="array" ref="E123">IF(ISBLANK(B123), "",
    SUMPRODUCT(
        (Transactions!$D$3:$D$83=B123) *
        (Transactions!$H$3:$H$83={"Cash Deposit","Crypto Deposit","Buy","Transfer Deposit","DRIP","Airdrop/Rewards"}) *
        Transactions!$I$3:$I$83
    )
    - SUMPRODUCT(
        (Transactions!$D$3:$D$83=B123) *
        (Transactions!$H$3:$H$83={"Sell","Transfer Send","Cash Withdrawal","Crypto Withdrawal"}) *
        Transactions!$I$3:$I$83
    )
)</f>
        <v>0</v>
      </c>
      <c r="F123" s="1" cm="1">
        <f t="array" ref="F123">IF(ISBLANK(B123), "",
    SUMPRODUCT(
        (Transactions!$D$3:$D$98=B123) *
        (Transactions!$H$3:$H$98={"Cash Deposit","Crypto Deposit","Buy","Transfer Deposit","DRIP","Airdrop/Rewards"}) *
        Transactions!$I$3:$I$98
    )
    - SUMPRODUCT(
        (Transactions!$D$3:$D$98=B123) *
        (Transactions!$H$3:$H$98={"Sell","Transfer Send","Cash Withdrawal","Crypto Withdrawal"}) *
        Transactions!$I$3:$I$98
    )
)</f>
        <v>0</v>
      </c>
      <c r="G123" s="1" cm="1">
        <f t="array" ref="G123">IF(ISBLANK(B123), "",
    SUMPRODUCT(
        (Transactions!$D$3:$D$114=B123) *
        (Transactions!$H$3:$H$114={"Cash Deposit","Crypto Deposit","Buy","Transfer Deposit","DRIP","Airdrop/Rewards"}) *
        Transactions!$I$3:$I$114
    )
    - SUMPRODUCT(
        (Transactions!$D$3:$D$114=B123) *
        (Transactions!$H$3:$H$114={"Sell","Transfer Send","Cash Withdrawal","Crypto Withdrawal"}) *
        Transactions!$I$3:$I$114
    )
)</f>
        <v>0</v>
      </c>
      <c r="H123" s="1" cm="1">
        <f t="array" ref="H123">IF(ISBLANK(B123), "",
    SUMPRODUCT(
        (Transactions!$D$3:$D$139=B123) *
        (Transactions!$H$3:$H$139={"Cash Deposit","Crypto Deposit","Buy","Transfer Deposit","DRIP","Airdrop/Rewards"}) *
        Transactions!$I$3:$I$139
    )
    - SUMPRODUCT(
        (Transactions!$D$3:$D$139=B123) *
        (Transactions!$H$3:$H$139={"Sell","Transfer Send","Cash Withdrawal","Crypto Withdrawal"}) *
        Transactions!$I$3:$I$139
    )
)</f>
        <v>0</v>
      </c>
      <c r="I123" s="1" cm="1">
        <f t="array" ref="I123">IF(ISBLANK(B123), "",
    SUMPRODUCT(
        (Transactions!$D$3:$D$165=B123) *
        (Transactions!$H$3:$H$165={"Cash Deposit","Crypto Deposit","Buy","Transfer Deposit","DRIP","Airdrop/Rewards"}) *
        Transactions!$I$3:$I$165
    )
    - SUMPRODUCT(
        (Transactions!$D$3:$D$165=B123) *
        (Transactions!$H$3:$H$165={"Sell","Transfer Send","Cash Withdrawal","Crypto Withdrawal"}) *
        Transactions!$I$3:$I$165
    )
)</f>
        <v>0</v>
      </c>
      <c r="J123" s="1" cm="1">
        <f t="array" ref="J123">IF(ISBLANK(B123), "",
    SUMPRODUCT(
        (Transactions!$D$3:$D$174=B123) *
        (Transactions!$H$3:$H$174={"Cash Deposit","Crypto Deposit","Buy","Transfer Deposit","DRIP","Airdrop/Rewards"}) *
        Transactions!$I$3:$I$174
    )
    - SUMPRODUCT(
        (Transactions!$D$3:$D$174=B123) *
        (Transactions!$H$3:$H$174={"Sell","Transfer Send","Cash Withdrawal","Crypto Withdrawal"}) *
        Transactions!$I$3:$I$174
    )
)</f>
        <v>0</v>
      </c>
      <c r="K123" s="1" cm="1">
        <f t="array" ref="K123">IF(ISBLANK(B123), "",
    SUMPRODUCT(
        (Transactions!$D$3:$D$181=B123) *
        (Transactions!$H$3:$H$181={"Cash Deposit","Crypto Deposit","Buy","Transfer Deposit","DRIP","Airdrop/Rewards"}) *
        Transactions!$I$3:$I$181
    )
    - SUMPRODUCT(
        (Transactions!$D$3:$D$181=B123) *
        (Transactions!$H$3:$H$181={"Sell","Transfer Send","Cash Withdrawal","Crypto Withdrawal"}) *
        Transactions!$I$3:$I$181
    )
)</f>
        <v>0</v>
      </c>
      <c r="L123" s="1" cm="1">
        <f t="array" ref="L123">IF(ISBLANK(B123), "",
    SUMPRODUCT(
        (Transactions!$D$3:$D$185=B123) *
        (Transactions!$H$3:$H$185={"Cash Deposit","Crypto Deposit","Buy","Transfer Deposit","DRIP","Airdrop/Rewards"}) *
        Transactions!$I$3:$I$185
    )
    - SUMPRODUCT(
        (Transactions!$D$3:$D$185=B123) *
        (Transactions!$H$3:$H$185={"Sell","Transfer Send","Cash Withdrawal","Crypto Withdrawal"}) *
        Transactions!$I$3:$I$185
    )
)</f>
        <v>0</v>
      </c>
      <c r="M123" s="1" cm="1">
        <f t="array" ref="M123">IF(ISBLANK(B123), "",
    SUMPRODUCT(
        (Transactions!$D$3:$D$194=B123) *
        (Transactions!$H$3:$H$194={"Cash Deposit","Crypto Deposit","Buy","Transfer Deposit","DRIP","Airdrop/Rewards"}) *
        Transactions!$I$3:$I$194
    )
    - SUMPRODUCT(
        (Transactions!$D$3:$D$194=B123) *
        (Transactions!$H$3:$H$194={"Sell","Transfer Send","Cash Withdrawal","Crypto Withdrawal"}) *
        Transactions!$I$3:$I$194
    )
)</f>
        <v>0</v>
      </c>
      <c r="N123" s="1" cm="1">
        <f t="array" ref="N123">IF(ISBLANK(B123), "",
    SUMPRODUCT(
        (Transactions!$D$3:$D$201=B123) *
        (Transactions!$H$3:$H$201={"Cash Deposit","Crypto Deposit","Buy","Transfer Deposit","DRIP","Airdrop/Rewards"}) *
        Transactions!$I$3:$I$201
    )
    - SUMPRODUCT(
        (Transactions!$D$3:$D$201=B123) *
        (Transactions!$H$3:$H$201={"Sell","Transfer Send","Cash Withdrawal","Crypto Withdrawal"}) *
        Transactions!$I$3:$I$201
    )
)</f>
        <v>0</v>
      </c>
      <c r="O123" s="1" cm="1">
        <f t="array" ref="O123">IF(ISBLANK(B123), "",
    SUMPRODUCT(
        (Transactions!$D$3:$D$229=B123) *
        (Transactions!$H$3:$H$229={"Cash Deposit","Crypto Deposit","Buy","Transfer Deposit","DRIP","Airdrop/Rewards"}) *
        Transactions!$I$3:$I$229
    )
    - SUMPRODUCT(
        (Transactions!$D$3:$D$229=B123) *
        (Transactions!$H$3:$H$229={"Sell","Transfer Send","Cash Withdrawal","Crypto Withdrawal"}) *
        Transactions!$I$3:$I$229
    )
)</f>
        <v>0</v>
      </c>
      <c r="P123" s="1" cm="1">
        <f t="array" ref="P123">IF(ISBLANK(B123), "",
    SUMPRODUCT(
        (Transactions!$D$3:$D$305=B123) *
        (Transactions!$H$3:$H$305={"Cash Deposit","Crypto Deposit","Buy","Transfer Deposit","DRIP","Airdrop/Rewards"}) *
        Transactions!$I$3:$I$305
    )
    - SUMPRODUCT(
        (Transactions!$D$3:$D$305=B123) *
        (Transactions!$H$3:$H$305={"Sell","Transfer Send","Cash Withdrawal","Crypto Withdrawal"}) *
        Transactions!$I$3:$I$305
    )
)</f>
        <v>746.79</v>
      </c>
      <c r="Q123" s="1" cm="1">
        <f t="array" ref="Q123">IF(ISBLANK(B123), "",
    SUMPRODUCT(
        (Transactions!$D$3:$D$376=B123) *
        (Transactions!$H$3:$H$376={"Cash Deposit","Crypto Deposit","Buy","Transfer Deposit","DRIP","Airdrop/Rewards"}) *
        Transactions!$I$3:$I$376
    )
    - SUMPRODUCT(
        (Transactions!$D$3:$D$376=B123) *
        (Transactions!$H$3:$H$376={"Sell","Transfer Send","Cash Withdrawal","Crypto Withdrawal"}) *
        Transactions!$I$3:$I$376
    )
)</f>
        <v>746.79</v>
      </c>
      <c r="R123" s="1" cm="1">
        <f t="array" ref="R123">IF(ISBLANK(B123), "",
    SUMPRODUCT(
        (Transactions!$D$3:$D$1007=B123) *
        (Transactions!$H$3:$H$1007={"Cash Deposit","Crypto Deposit","Buy","Transfer Deposit","DRIP","Airdrop/Rewards"}) *
        Transactions!$I$3:$I$1007
    )
    - SUMPRODUCT(
        (Transactions!$D$3:$D$1007=B123) *
        (Transactions!$H$3:$H$1007={"Sell","Transfer Send","Cash Withdrawal","Crypto Withdrawal"}) *
        Transactions!$I$3:$I$1007
    )
)</f>
        <v>746.79</v>
      </c>
    </row>
    <row r="124" spans="1:18">
      <c r="A124" s="1" t="str">
        <v>GLP</v>
      </c>
      <c r="B124" s="1" t="s">
        <v>93</v>
      </c>
      <c r="C124" s="1" cm="1">
        <f t="array" ref="C124">IF(ISBLANK(B124), "",
    SUMPRODUCT(
        (Transactions!$D$3:$D$74=B124) *
        (Transactions!$H$3:$H$74={"Cash Deposit","Crypto Deposit","Buy","Transfer Deposit","DRIP","Airdrop/Rewards"}) *
        Transactions!$I$3:$I$74
    )
    - SUMPRODUCT(
        (Transactions!$D$3:$D$74=B124) *
        (Transactions!$H$3:$H$74={"Sell","Transfer Send","Cash Withdrawal","Crypto Withdrawal"}) *
        Transactions!$I$3:$I$74
    )
)</f>
        <v>0</v>
      </c>
      <c r="D124" s="1" cm="1">
        <f t="array" ref="D124">IF(ISBLANK(B124), "",
    SUMPRODUCT(
        (Transactions!$D$3:$D$76=B124) *
        (Transactions!$H$3:$H$76={"Cash Deposit","Crypto Deposit","Buy","Transfer Deposit","DRIP","Airdrop/Rewards"}) *
        Transactions!$I$3:$I$76
    )
    - SUMPRODUCT(
        (Transactions!$D$3:$D$76=B124) *
        (Transactions!$H$3:$H$76={"Sell","Transfer Send","Cash Withdrawal","Crypto Withdrawal"}) *
        Transactions!$I$3:$I$76
    )
)</f>
        <v>0</v>
      </c>
      <c r="E124" s="1" cm="1">
        <f t="array" ref="E124">IF(ISBLANK(B124), "",
    SUMPRODUCT(
        (Transactions!$D$3:$D$83=B124) *
        (Transactions!$H$3:$H$83={"Cash Deposit","Crypto Deposit","Buy","Transfer Deposit","DRIP","Airdrop/Rewards"}) *
        Transactions!$I$3:$I$83
    )
    - SUMPRODUCT(
        (Transactions!$D$3:$D$83=B124) *
        (Transactions!$H$3:$H$83={"Sell","Transfer Send","Cash Withdrawal","Crypto Withdrawal"}) *
        Transactions!$I$3:$I$83
    )
)</f>
        <v>0</v>
      </c>
      <c r="F124" s="1" cm="1">
        <f t="array" ref="F124">IF(ISBLANK(B124), "",
    SUMPRODUCT(
        (Transactions!$D$3:$D$98=B124) *
        (Transactions!$H$3:$H$98={"Cash Deposit","Crypto Deposit","Buy","Transfer Deposit","DRIP","Airdrop/Rewards"}) *
        Transactions!$I$3:$I$98
    )
    - SUMPRODUCT(
        (Transactions!$D$3:$D$98=B124) *
        (Transactions!$H$3:$H$98={"Sell","Transfer Send","Cash Withdrawal","Crypto Withdrawal"}) *
        Transactions!$I$3:$I$98
    )
)</f>
        <v>0</v>
      </c>
      <c r="G124" s="1" cm="1">
        <f t="array" ref="G124">IF(ISBLANK(B124), "",
    SUMPRODUCT(
        (Transactions!$D$3:$D$114=B124) *
        (Transactions!$H$3:$H$114={"Cash Deposit","Crypto Deposit","Buy","Transfer Deposit","DRIP","Airdrop/Rewards"}) *
        Transactions!$I$3:$I$114
    )
    - SUMPRODUCT(
        (Transactions!$D$3:$D$114=B124) *
        (Transactions!$H$3:$H$114={"Sell","Transfer Send","Cash Withdrawal","Crypto Withdrawal"}) *
        Transactions!$I$3:$I$114
    )
)</f>
        <v>0</v>
      </c>
      <c r="H124" s="1" cm="1">
        <f t="array" ref="H124">IF(ISBLANK(B124), "",
    SUMPRODUCT(
        (Transactions!$D$3:$D$139=B124) *
        (Transactions!$H$3:$H$139={"Cash Deposit","Crypto Deposit","Buy","Transfer Deposit","DRIP","Airdrop/Rewards"}) *
        Transactions!$I$3:$I$139
    )
    - SUMPRODUCT(
        (Transactions!$D$3:$D$139=B124) *
        (Transactions!$H$3:$H$139={"Sell","Transfer Send","Cash Withdrawal","Crypto Withdrawal"}) *
        Transactions!$I$3:$I$139
    )
)</f>
        <v>0</v>
      </c>
      <c r="I124" s="1" cm="1">
        <f t="array" ref="I124">IF(ISBLANK(B124), "",
    SUMPRODUCT(
        (Transactions!$D$3:$D$165=B124) *
        (Transactions!$H$3:$H$165={"Cash Deposit","Crypto Deposit","Buy","Transfer Deposit","DRIP","Airdrop/Rewards"}) *
        Transactions!$I$3:$I$165
    )
    - SUMPRODUCT(
        (Transactions!$D$3:$D$165=B124) *
        (Transactions!$H$3:$H$165={"Sell","Transfer Send","Cash Withdrawal","Crypto Withdrawal"}) *
        Transactions!$I$3:$I$165
    )
)</f>
        <v>0</v>
      </c>
      <c r="J124" s="1" cm="1">
        <f t="array" ref="J124">IF(ISBLANK(B124), "",
    SUMPRODUCT(
        (Transactions!$D$3:$D$174=B124) *
        (Transactions!$H$3:$H$174={"Cash Deposit","Crypto Deposit","Buy","Transfer Deposit","DRIP","Airdrop/Rewards"}) *
        Transactions!$I$3:$I$174
    )
    - SUMPRODUCT(
        (Transactions!$D$3:$D$174=B124) *
        (Transactions!$H$3:$H$174={"Sell","Transfer Send","Cash Withdrawal","Crypto Withdrawal"}) *
        Transactions!$I$3:$I$174
    )
)</f>
        <v>0</v>
      </c>
      <c r="K124" s="1" cm="1">
        <f t="array" ref="K124">IF(ISBLANK(B124), "",
    SUMPRODUCT(
        (Transactions!$D$3:$D$181=B124) *
        (Transactions!$H$3:$H$181={"Cash Deposit","Crypto Deposit","Buy","Transfer Deposit","DRIP","Airdrop/Rewards"}) *
        Transactions!$I$3:$I$181
    )
    - SUMPRODUCT(
        (Transactions!$D$3:$D$181=B124) *
        (Transactions!$H$3:$H$181={"Sell","Transfer Send","Cash Withdrawal","Crypto Withdrawal"}) *
        Transactions!$I$3:$I$181
    )
)</f>
        <v>0</v>
      </c>
      <c r="L124" s="1" cm="1">
        <f t="array" ref="L124">IF(ISBLANK(B124), "",
    SUMPRODUCT(
        (Transactions!$D$3:$D$185=B124) *
        (Transactions!$H$3:$H$185={"Cash Deposit","Crypto Deposit","Buy","Transfer Deposit","DRIP","Airdrop/Rewards"}) *
        Transactions!$I$3:$I$185
    )
    - SUMPRODUCT(
        (Transactions!$D$3:$D$185=B124) *
        (Transactions!$H$3:$H$185={"Sell","Transfer Send","Cash Withdrawal","Crypto Withdrawal"}) *
        Transactions!$I$3:$I$185
    )
)</f>
        <v>0</v>
      </c>
      <c r="M124" s="1" cm="1">
        <f t="array" ref="M124">IF(ISBLANK(B124), "",
    SUMPRODUCT(
        (Transactions!$D$3:$D$194=B124) *
        (Transactions!$H$3:$H$194={"Cash Deposit","Crypto Deposit","Buy","Transfer Deposit","DRIP","Airdrop/Rewards"}) *
        Transactions!$I$3:$I$194
    )
    - SUMPRODUCT(
        (Transactions!$D$3:$D$194=B124) *
        (Transactions!$H$3:$H$194={"Sell","Transfer Send","Cash Withdrawal","Crypto Withdrawal"}) *
        Transactions!$I$3:$I$194
    )
)</f>
        <v>2779.13</v>
      </c>
      <c r="N124" s="1" cm="1">
        <f t="array" ref="N124">IF(ISBLANK(B124), "",
    SUMPRODUCT(
        (Transactions!$D$3:$D$201=B124) *
        (Transactions!$H$3:$H$201={"Cash Deposit","Crypto Deposit","Buy","Transfer Deposit","DRIP","Airdrop/Rewards"}) *
        Transactions!$I$3:$I$201
    )
    - SUMPRODUCT(
        (Transactions!$D$3:$D$201=B124) *
        (Transactions!$H$3:$H$201={"Sell","Transfer Send","Cash Withdrawal","Crypto Withdrawal"}) *
        Transactions!$I$3:$I$201
    )
)</f>
        <v>2779.13</v>
      </c>
      <c r="O124" s="1" cm="1">
        <f t="array" ref="O124">IF(ISBLANK(B124), "",
    SUMPRODUCT(
        (Transactions!$D$3:$D$229=B124) *
        (Transactions!$H$3:$H$229={"Cash Deposit","Crypto Deposit","Buy","Transfer Deposit","DRIP","Airdrop/Rewards"}) *
        Transactions!$I$3:$I$229
    )
    - SUMPRODUCT(
        (Transactions!$D$3:$D$229=B124) *
        (Transactions!$H$3:$H$229={"Sell","Transfer Send","Cash Withdrawal","Crypto Withdrawal"}) *
        Transactions!$I$3:$I$229
    )
)</f>
        <v>2779.13</v>
      </c>
      <c r="P124" s="1" cm="1">
        <f t="array" ref="P124">IF(ISBLANK(B124), "",
    SUMPRODUCT(
        (Transactions!$D$3:$D$305=B124) *
        (Transactions!$H$3:$H$305={"Cash Deposit","Crypto Deposit","Buy","Transfer Deposit","DRIP","Airdrop/Rewards"}) *
        Transactions!$I$3:$I$305
    )
    - SUMPRODUCT(
        (Transactions!$D$3:$D$305=B124) *
        (Transactions!$H$3:$H$305={"Sell","Transfer Send","Cash Withdrawal","Crypto Withdrawal"}) *
        Transactions!$I$3:$I$305
    )
)</f>
        <v>2779.13</v>
      </c>
      <c r="Q124" s="1" cm="1">
        <f t="array" ref="Q124">IF(ISBLANK(B124), "",
    SUMPRODUCT(
        (Transactions!$D$3:$D$376=B124) *
        (Transactions!$H$3:$H$376={"Cash Deposit","Crypto Deposit","Buy","Transfer Deposit","DRIP","Airdrop/Rewards"}) *
        Transactions!$I$3:$I$376
    )
    - SUMPRODUCT(
        (Transactions!$D$3:$D$376=B124) *
        (Transactions!$H$3:$H$376={"Sell","Transfer Send","Cash Withdrawal","Crypto Withdrawal"}) *
        Transactions!$I$3:$I$376
    )
)</f>
        <v>2779.13</v>
      </c>
      <c r="R124" s="1" cm="1">
        <f t="array" ref="R124">IF(ISBLANK(B124), "",
    SUMPRODUCT(
        (Transactions!$D$3:$D$1007=B124) *
        (Transactions!$H$3:$H$1007={"Cash Deposit","Crypto Deposit","Buy","Transfer Deposit","DRIP","Airdrop/Rewards"}) *
        Transactions!$I$3:$I$1007
    )
    - SUMPRODUCT(
        (Transactions!$D$3:$D$1007=B124) *
        (Transactions!$H$3:$H$1007={"Sell","Transfer Send","Cash Withdrawal","Crypto Withdrawal"}) *
        Transactions!$I$3:$I$1007
    )
)</f>
        <v>2779.13</v>
      </c>
    </row>
    <row r="125" spans="1:18">
      <c r="A125" s="1" t="str">
        <v>HIGH</v>
      </c>
      <c r="B125" s="1" t="s">
        <v>9</v>
      </c>
      <c r="C125" s="1" cm="1">
        <f t="array" ref="C125">IF(ISBLANK(B125), "",
    SUMPRODUCT(
        (Transactions!$D$3:$D$74=B125) *
        (Transactions!$H$3:$H$74={"Cash Deposit","Crypto Deposit","Buy","Transfer Deposit","DRIP","Airdrop/Rewards"}) *
        Transactions!$I$3:$I$74
    )
    - SUMPRODUCT(
        (Transactions!$D$3:$D$74=B125) *
        (Transactions!$H$3:$H$74={"Sell","Transfer Send","Cash Withdrawal","Crypto Withdrawal"}) *
        Transactions!$I$3:$I$74
    )
)</f>
        <v>49.968211029999999</v>
      </c>
      <c r="D125" s="1" cm="1">
        <f t="array" ref="D125">IF(ISBLANK(B125), "",
    SUMPRODUCT(
        (Transactions!$D$3:$D$76=B125) *
        (Transactions!$H$3:$H$76={"Cash Deposit","Crypto Deposit","Buy","Transfer Deposit","DRIP","Airdrop/Rewards"}) *
        Transactions!$I$3:$I$76
    )
    - SUMPRODUCT(
        (Transactions!$D$3:$D$76=B125) *
        (Transactions!$H$3:$H$76={"Sell","Transfer Send","Cash Withdrawal","Crypto Withdrawal"}) *
        Transactions!$I$3:$I$76
    )
)</f>
        <v>49.968211029999999</v>
      </c>
      <c r="E125" s="1" cm="1">
        <f t="array" ref="E125">IF(ISBLANK(B125), "",
    SUMPRODUCT(
        (Transactions!$D$3:$D$83=B125) *
        (Transactions!$H$3:$H$83={"Cash Deposit","Crypto Deposit","Buy","Transfer Deposit","DRIP","Airdrop/Rewards"}) *
        Transactions!$I$3:$I$83
    )
    - SUMPRODUCT(
        (Transactions!$D$3:$D$83=B125) *
        (Transactions!$H$3:$H$83={"Sell","Transfer Send","Cash Withdrawal","Crypto Withdrawal"}) *
        Transactions!$I$3:$I$83
    )
)</f>
        <v>49.968211029999999</v>
      </c>
      <c r="F125" s="1" cm="1">
        <f t="array" ref="F125">IF(ISBLANK(B125), "",
    SUMPRODUCT(
        (Transactions!$D$3:$D$98=B125) *
        (Transactions!$H$3:$H$98={"Cash Deposit","Crypto Deposit","Buy","Transfer Deposit","DRIP","Airdrop/Rewards"}) *
        Transactions!$I$3:$I$98
    )
    - SUMPRODUCT(
        (Transactions!$D$3:$D$98=B125) *
        (Transactions!$H$3:$H$98={"Sell","Transfer Send","Cash Withdrawal","Crypto Withdrawal"}) *
        Transactions!$I$3:$I$98
    )
)</f>
        <v>49.968211029999999</v>
      </c>
      <c r="G125" s="1" cm="1">
        <f t="array" ref="G125">IF(ISBLANK(B125), "",
    SUMPRODUCT(
        (Transactions!$D$3:$D$114=B125) *
        (Transactions!$H$3:$H$114={"Cash Deposit","Crypto Deposit","Buy","Transfer Deposit","DRIP","Airdrop/Rewards"}) *
        Transactions!$I$3:$I$114
    )
    - SUMPRODUCT(
        (Transactions!$D$3:$D$114=B125) *
        (Transactions!$H$3:$H$114={"Sell","Transfer Send","Cash Withdrawal","Crypto Withdrawal"}) *
        Transactions!$I$3:$I$114
    )
)</f>
        <v>49.968211029999999</v>
      </c>
      <c r="H125" s="1" cm="1">
        <f t="array" ref="H125">IF(ISBLANK(B125), "",
    SUMPRODUCT(
        (Transactions!$D$3:$D$139=B125) *
        (Transactions!$H$3:$H$139={"Cash Deposit","Crypto Deposit","Buy","Transfer Deposit","DRIP","Airdrop/Rewards"}) *
        Transactions!$I$3:$I$139
    )
    - SUMPRODUCT(
        (Transactions!$D$3:$D$139=B125) *
        (Transactions!$H$3:$H$139={"Sell","Transfer Send","Cash Withdrawal","Crypto Withdrawal"}) *
        Transactions!$I$3:$I$139
    )
)</f>
        <v>49.968211029999999</v>
      </c>
      <c r="I125" s="1" cm="1">
        <f t="array" ref="I125">IF(ISBLANK(B125), "",
    SUMPRODUCT(
        (Transactions!$D$3:$D$165=B125) *
        (Transactions!$H$3:$H$165={"Cash Deposit","Crypto Deposit","Buy","Transfer Deposit","DRIP","Airdrop/Rewards"}) *
        Transactions!$I$3:$I$165
    )
    - SUMPRODUCT(
        (Transactions!$D$3:$D$165=B125) *
        (Transactions!$H$3:$H$165={"Sell","Transfer Send","Cash Withdrawal","Crypto Withdrawal"}) *
        Transactions!$I$3:$I$165
    )
)</f>
        <v>49.968211029999999</v>
      </c>
      <c r="J125" s="1" cm="1">
        <f t="array" ref="J125">IF(ISBLANK(B125), "",
    SUMPRODUCT(
        (Transactions!$D$3:$D$174=B125) *
        (Transactions!$H$3:$H$174={"Cash Deposit","Crypto Deposit","Buy","Transfer Deposit","DRIP","Airdrop/Rewards"}) *
        Transactions!$I$3:$I$174
    )
    - SUMPRODUCT(
        (Transactions!$D$3:$D$174=B125) *
        (Transactions!$H$3:$H$174={"Sell","Transfer Send","Cash Withdrawal","Crypto Withdrawal"}) *
        Transactions!$I$3:$I$174
    )
)</f>
        <v>49.968211029999999</v>
      </c>
      <c r="K125" s="1" cm="1">
        <f t="array" ref="K125">IF(ISBLANK(B125), "",
    SUMPRODUCT(
        (Transactions!$D$3:$D$181=B125) *
        (Transactions!$H$3:$H$181={"Cash Deposit","Crypto Deposit","Buy","Transfer Deposit","DRIP","Airdrop/Rewards"}) *
        Transactions!$I$3:$I$181
    )
    - SUMPRODUCT(
        (Transactions!$D$3:$D$181=B125) *
        (Transactions!$H$3:$H$181={"Sell","Transfer Send","Cash Withdrawal","Crypto Withdrawal"}) *
        Transactions!$I$3:$I$181
    )
)</f>
        <v>49.968211029999999</v>
      </c>
      <c r="L125" s="1" cm="1">
        <f t="array" ref="L125">IF(ISBLANK(B125), "",
    SUMPRODUCT(
        (Transactions!$D$3:$D$185=B125) *
        (Transactions!$H$3:$H$185={"Cash Deposit","Crypto Deposit","Buy","Transfer Deposit","DRIP","Airdrop/Rewards"}) *
        Transactions!$I$3:$I$185
    )
    - SUMPRODUCT(
        (Transactions!$D$3:$D$185=B125) *
        (Transactions!$H$3:$H$185={"Sell","Transfer Send","Cash Withdrawal","Crypto Withdrawal"}) *
        Transactions!$I$3:$I$185
    )
)</f>
        <v>49.968211029999999</v>
      </c>
      <c r="M125" s="1" cm="1">
        <f t="array" ref="M125">IF(ISBLANK(B125), "",
    SUMPRODUCT(
        (Transactions!$D$3:$D$194=B125) *
        (Transactions!$H$3:$H$194={"Cash Deposit","Crypto Deposit","Buy","Transfer Deposit","DRIP","Airdrop/Rewards"}) *
        Transactions!$I$3:$I$194
    )
    - SUMPRODUCT(
        (Transactions!$D$3:$D$194=B125) *
        (Transactions!$H$3:$H$194={"Sell","Transfer Send","Cash Withdrawal","Crypto Withdrawal"}) *
        Transactions!$I$3:$I$194
    )
)</f>
        <v>49.968211029999999</v>
      </c>
      <c r="N125" s="1" cm="1">
        <f t="array" ref="N125">IF(ISBLANK(B125), "",
    SUMPRODUCT(
        (Transactions!$D$3:$D$201=B125) *
        (Transactions!$H$3:$H$201={"Cash Deposit","Crypto Deposit","Buy","Transfer Deposit","DRIP","Airdrop/Rewards"}) *
        Transactions!$I$3:$I$201
    )
    - SUMPRODUCT(
        (Transactions!$D$3:$D$201=B125) *
        (Transactions!$H$3:$H$201={"Sell","Transfer Send","Cash Withdrawal","Crypto Withdrawal"}) *
        Transactions!$I$3:$I$201
    )
)</f>
        <v>49.968211029999999</v>
      </c>
      <c r="O125" s="1" cm="1">
        <f t="array" ref="O125">IF(ISBLANK(B125), "",
    SUMPRODUCT(
        (Transactions!$D$3:$D$229=B125) *
        (Transactions!$H$3:$H$229={"Cash Deposit","Crypto Deposit","Buy","Transfer Deposit","DRIP","Airdrop/Rewards"}) *
        Transactions!$I$3:$I$229
    )
    - SUMPRODUCT(
        (Transactions!$D$3:$D$229=B125) *
        (Transactions!$H$3:$H$229={"Sell","Transfer Send","Cash Withdrawal","Crypto Withdrawal"}) *
        Transactions!$I$3:$I$229
    )
)</f>
        <v>49.968211029999999</v>
      </c>
      <c r="P125" s="1" cm="1">
        <f t="array" ref="P125">IF(ISBLANK(B125), "",
    SUMPRODUCT(
        (Transactions!$D$3:$D$305=B125) *
        (Transactions!$H$3:$H$305={"Cash Deposit","Crypto Deposit","Buy","Transfer Deposit","DRIP","Airdrop/Rewards"}) *
        Transactions!$I$3:$I$305
    )
    - SUMPRODUCT(
        (Transactions!$D$3:$D$305=B125) *
        (Transactions!$H$3:$H$305={"Sell","Transfer Send","Cash Withdrawal","Crypto Withdrawal"}) *
        Transactions!$I$3:$I$305
    )
)</f>
        <v>49.968211029999999</v>
      </c>
      <c r="Q125" s="1" cm="1">
        <f t="array" ref="Q125">IF(ISBLANK(B125), "",
    SUMPRODUCT(
        (Transactions!$D$3:$D$376=B125) *
        (Transactions!$H$3:$H$376={"Cash Deposit","Crypto Deposit","Buy","Transfer Deposit","DRIP","Airdrop/Rewards"}) *
        Transactions!$I$3:$I$376
    )
    - SUMPRODUCT(
        (Transactions!$D$3:$D$376=B125) *
        (Transactions!$H$3:$H$376={"Sell","Transfer Send","Cash Withdrawal","Crypto Withdrawal"}) *
        Transactions!$I$3:$I$376
    )
)</f>
        <v>49.968211029999999</v>
      </c>
      <c r="R125" s="1" cm="1">
        <f t="array" ref="R125">IF(ISBLANK(B125), "",
    SUMPRODUCT(
        (Transactions!$D$3:$D$1007=B125) *
        (Transactions!$H$3:$H$1007={"Cash Deposit","Crypto Deposit","Buy","Transfer Deposit","DRIP","Airdrop/Rewards"}) *
        Transactions!$I$3:$I$1007
    )
    - SUMPRODUCT(
        (Transactions!$D$3:$D$1007=B125) *
        (Transactions!$H$3:$H$1007={"Sell","Transfer Send","Cash Withdrawal","Crypto Withdrawal"}) *
        Transactions!$I$3:$I$1007
    )
)</f>
        <v>49.968211029999999</v>
      </c>
    </row>
    <row r="126" spans="1:18">
      <c r="A126" s="1" t="str">
        <v>ICP</v>
      </c>
      <c r="B126" s="1" t="s">
        <v>372</v>
      </c>
      <c r="C126" s="1" cm="1">
        <f t="array" ref="C126">IF(ISBLANK(B126), "",
    SUMPRODUCT(
        (Transactions!$D$3:$D$74=B126) *
        (Transactions!$H$3:$H$74={"Cash Deposit","Crypto Deposit","Buy","Transfer Deposit","DRIP","Airdrop/Rewards"}) *
        Transactions!$I$3:$I$74
    )
    - SUMPRODUCT(
        (Transactions!$D$3:$D$74=B126) *
        (Transactions!$H$3:$H$74={"Sell","Transfer Send","Cash Withdrawal","Crypto Withdrawal"}) *
        Transactions!$I$3:$I$74
    )
)</f>
        <v>0</v>
      </c>
      <c r="D126" s="1" cm="1">
        <f t="array" ref="D126">IF(ISBLANK(B126), "",
    SUMPRODUCT(
        (Transactions!$D$3:$D$76=B126) *
        (Transactions!$H$3:$H$76={"Cash Deposit","Crypto Deposit","Buy","Transfer Deposit","DRIP","Airdrop/Rewards"}) *
        Transactions!$I$3:$I$76
    )
    - SUMPRODUCT(
        (Transactions!$D$3:$D$76=B126) *
        (Transactions!$H$3:$H$76={"Sell","Transfer Send","Cash Withdrawal","Crypto Withdrawal"}) *
        Transactions!$I$3:$I$76
    )
)</f>
        <v>0</v>
      </c>
      <c r="E126" s="1" cm="1">
        <f t="array" ref="E126">IF(ISBLANK(B126), "",
    SUMPRODUCT(
        (Transactions!$D$3:$D$83=B126) *
        (Transactions!$H$3:$H$83={"Cash Deposit","Crypto Deposit","Buy","Transfer Deposit","DRIP","Airdrop/Rewards"}) *
        Transactions!$I$3:$I$83
    )
    - SUMPRODUCT(
        (Transactions!$D$3:$D$83=B126) *
        (Transactions!$H$3:$H$83={"Sell","Transfer Send","Cash Withdrawal","Crypto Withdrawal"}) *
        Transactions!$I$3:$I$83
    )
)</f>
        <v>0</v>
      </c>
      <c r="F126" s="1" cm="1">
        <f t="array" ref="F126">IF(ISBLANK(B126), "",
    SUMPRODUCT(
        (Transactions!$D$3:$D$98=B126) *
        (Transactions!$H$3:$H$98={"Cash Deposit","Crypto Deposit","Buy","Transfer Deposit","DRIP","Airdrop/Rewards"}) *
        Transactions!$I$3:$I$98
    )
    - SUMPRODUCT(
        (Transactions!$D$3:$D$98=B126) *
        (Transactions!$H$3:$H$98={"Sell","Transfer Send","Cash Withdrawal","Crypto Withdrawal"}) *
        Transactions!$I$3:$I$98
    )
)</f>
        <v>0</v>
      </c>
      <c r="G126" s="1" cm="1">
        <f t="array" ref="G126">IF(ISBLANK(B126), "",
    SUMPRODUCT(
        (Transactions!$D$3:$D$114=B126) *
        (Transactions!$H$3:$H$114={"Cash Deposit","Crypto Deposit","Buy","Transfer Deposit","DRIP","Airdrop/Rewards"}) *
        Transactions!$I$3:$I$114
    )
    - SUMPRODUCT(
        (Transactions!$D$3:$D$114=B126) *
        (Transactions!$H$3:$H$114={"Sell","Transfer Send","Cash Withdrawal","Crypto Withdrawal"}) *
        Transactions!$I$3:$I$114
    )
)</f>
        <v>0</v>
      </c>
      <c r="H126" s="1" cm="1">
        <f t="array" ref="H126">IF(ISBLANK(B126), "",
    SUMPRODUCT(
        (Transactions!$D$3:$D$139=B126) *
        (Transactions!$H$3:$H$139={"Cash Deposit","Crypto Deposit","Buy","Transfer Deposit","DRIP","Airdrop/Rewards"}) *
        Transactions!$I$3:$I$139
    )
    - SUMPRODUCT(
        (Transactions!$D$3:$D$139=B126) *
        (Transactions!$H$3:$H$139={"Sell","Transfer Send","Cash Withdrawal","Crypto Withdrawal"}) *
        Transactions!$I$3:$I$139
    )
)</f>
        <v>0</v>
      </c>
      <c r="I126" s="1" cm="1">
        <f t="array" ref="I126">IF(ISBLANK(B126), "",
    SUMPRODUCT(
        (Transactions!$D$3:$D$165=B126) *
        (Transactions!$H$3:$H$165={"Cash Deposit","Crypto Deposit","Buy","Transfer Deposit","DRIP","Airdrop/Rewards"}) *
        Transactions!$I$3:$I$165
    )
    - SUMPRODUCT(
        (Transactions!$D$3:$D$165=B126) *
        (Transactions!$H$3:$H$165={"Sell","Transfer Send","Cash Withdrawal","Crypto Withdrawal"}) *
        Transactions!$I$3:$I$165
    )
)</f>
        <v>0</v>
      </c>
      <c r="J126" s="1" cm="1">
        <f t="array" ref="J126">IF(ISBLANK(B126), "",
    SUMPRODUCT(
        (Transactions!$D$3:$D$174=B126) *
        (Transactions!$H$3:$H$174={"Cash Deposit","Crypto Deposit","Buy","Transfer Deposit","DRIP","Airdrop/Rewards"}) *
        Transactions!$I$3:$I$174
    )
    - SUMPRODUCT(
        (Transactions!$D$3:$D$174=B126) *
        (Transactions!$H$3:$H$174={"Sell","Transfer Send","Cash Withdrawal","Crypto Withdrawal"}) *
        Transactions!$I$3:$I$174
    )
)</f>
        <v>0</v>
      </c>
      <c r="K126" s="1" cm="1">
        <f t="array" ref="K126">IF(ISBLANK(B126), "",
    SUMPRODUCT(
        (Transactions!$D$3:$D$181=B126) *
        (Transactions!$H$3:$H$181={"Cash Deposit","Crypto Deposit","Buy","Transfer Deposit","DRIP","Airdrop/Rewards"}) *
        Transactions!$I$3:$I$181
    )
    - SUMPRODUCT(
        (Transactions!$D$3:$D$181=B126) *
        (Transactions!$H$3:$H$181={"Sell","Transfer Send","Cash Withdrawal","Crypto Withdrawal"}) *
        Transactions!$I$3:$I$181
    )
)</f>
        <v>0</v>
      </c>
      <c r="L126" s="1" cm="1">
        <f t="array" ref="L126">IF(ISBLANK(B126), "",
    SUMPRODUCT(
        (Transactions!$D$3:$D$185=B126) *
        (Transactions!$H$3:$H$185={"Cash Deposit","Crypto Deposit","Buy","Transfer Deposit","DRIP","Airdrop/Rewards"}) *
        Transactions!$I$3:$I$185
    )
    - SUMPRODUCT(
        (Transactions!$D$3:$D$185=B126) *
        (Transactions!$H$3:$H$185={"Sell","Transfer Send","Cash Withdrawal","Crypto Withdrawal"}) *
        Transactions!$I$3:$I$185
    )
)</f>
        <v>0</v>
      </c>
      <c r="M126" s="1" cm="1">
        <f t="array" ref="M126">IF(ISBLANK(B126), "",
    SUMPRODUCT(
        (Transactions!$D$3:$D$194=B126) *
        (Transactions!$H$3:$H$194={"Cash Deposit","Crypto Deposit","Buy","Transfer Deposit","DRIP","Airdrop/Rewards"}) *
        Transactions!$I$3:$I$194
    )
    - SUMPRODUCT(
        (Transactions!$D$3:$D$194=B126) *
        (Transactions!$H$3:$H$194={"Sell","Transfer Send","Cash Withdrawal","Crypto Withdrawal"}) *
        Transactions!$I$3:$I$194
    )
)</f>
        <v>0</v>
      </c>
      <c r="N126" s="1" cm="1">
        <f t="array" ref="N126">IF(ISBLANK(B126), "",
    SUMPRODUCT(
        (Transactions!$D$3:$D$201=B126) *
        (Transactions!$H$3:$H$201={"Cash Deposit","Crypto Deposit","Buy","Transfer Deposit","DRIP","Airdrop/Rewards"}) *
        Transactions!$I$3:$I$201
    )
    - SUMPRODUCT(
        (Transactions!$D$3:$D$201=B126) *
        (Transactions!$H$3:$H$201={"Sell","Transfer Send","Cash Withdrawal","Crypto Withdrawal"}) *
        Transactions!$I$3:$I$201
    )
)</f>
        <v>0</v>
      </c>
      <c r="O126" s="1" cm="1">
        <f t="array" ref="O126">IF(ISBLANK(B126), "",
    SUMPRODUCT(
        (Transactions!$D$3:$D$229=B126) *
        (Transactions!$H$3:$H$229={"Cash Deposit","Crypto Deposit","Buy","Transfer Deposit","DRIP","Airdrop/Rewards"}) *
        Transactions!$I$3:$I$229
    )
    - SUMPRODUCT(
        (Transactions!$D$3:$D$229=B126) *
        (Transactions!$H$3:$H$229={"Sell","Transfer Send","Cash Withdrawal","Crypto Withdrawal"}) *
        Transactions!$I$3:$I$229
    )
)</f>
        <v>0</v>
      </c>
      <c r="P126" s="1" cm="1">
        <f t="array" ref="P126">IF(ISBLANK(B126), "",
    SUMPRODUCT(
        (Transactions!$D$3:$D$305=B126) *
        (Transactions!$H$3:$H$305={"Cash Deposit","Crypto Deposit","Buy","Transfer Deposit","DRIP","Airdrop/Rewards"}) *
        Transactions!$I$3:$I$305
    )
    - SUMPRODUCT(
        (Transactions!$D$3:$D$305=B126) *
        (Transactions!$H$3:$H$305={"Sell","Transfer Send","Cash Withdrawal","Crypto Withdrawal"}) *
        Transactions!$I$3:$I$305
    )
)</f>
        <v>9.99</v>
      </c>
      <c r="Q126" s="1" cm="1">
        <f t="array" ref="Q126">IF(ISBLANK(B126), "",
    SUMPRODUCT(
        (Transactions!$D$3:$D$376=B126) *
        (Transactions!$H$3:$H$376={"Cash Deposit","Crypto Deposit","Buy","Transfer Deposit","DRIP","Airdrop/Rewards"}) *
        Transactions!$I$3:$I$376
    )
    - SUMPRODUCT(
        (Transactions!$D$3:$D$376=B126) *
        (Transactions!$H$3:$H$376={"Sell","Transfer Send","Cash Withdrawal","Crypto Withdrawal"}) *
        Transactions!$I$3:$I$376
    )
)</f>
        <v>20.009999999999998</v>
      </c>
      <c r="R126" s="1" cm="1">
        <f t="array" ref="R126">IF(ISBLANK(B126), "",
    SUMPRODUCT(
        (Transactions!$D$3:$D$1007=B126) *
        (Transactions!$H$3:$H$1007={"Cash Deposit","Crypto Deposit","Buy","Transfer Deposit","DRIP","Airdrop/Rewards"}) *
        Transactions!$I$3:$I$1007
    )
    - SUMPRODUCT(
        (Transactions!$D$3:$D$1007=B126) *
        (Transactions!$H$3:$H$1007={"Sell","Transfer Send","Cash Withdrawal","Crypto Withdrawal"}) *
        Transactions!$I$3:$I$1007
    )
)</f>
        <v>20.009999999999998</v>
      </c>
    </row>
    <row r="127" spans="1:18">
      <c r="A127" s="1" t="str">
        <v>LINK</v>
      </c>
      <c r="B127" s="1" t="s">
        <v>49</v>
      </c>
      <c r="C127" s="1" cm="1">
        <f t="array" ref="C127">IF(ISBLANK(B127), "",
    SUMPRODUCT(
        (Transactions!$D$3:$D$74=B127) *
        (Transactions!$H$3:$H$74={"Cash Deposit","Crypto Deposit","Buy","Transfer Deposit","DRIP","Airdrop/Rewards"}) *
        Transactions!$I$3:$I$74
    )
    - SUMPRODUCT(
        (Transactions!$D$3:$D$74=B127) *
        (Transactions!$H$3:$H$74={"Sell","Transfer Send","Cash Withdrawal","Crypto Withdrawal"}) *
        Transactions!$I$3:$I$74
    )
)</f>
        <v>30.30181</v>
      </c>
      <c r="D127" s="1" cm="1">
        <f t="array" ref="D127">IF(ISBLANK(B127), "",
    SUMPRODUCT(
        (Transactions!$D$3:$D$76=B127) *
        (Transactions!$H$3:$H$76={"Cash Deposit","Crypto Deposit","Buy","Transfer Deposit","DRIP","Airdrop/Rewards"}) *
        Transactions!$I$3:$I$76
    )
    - SUMPRODUCT(
        (Transactions!$D$3:$D$76=B127) *
        (Transactions!$H$3:$H$76={"Sell","Transfer Send","Cash Withdrawal","Crypto Withdrawal"}) *
        Transactions!$I$3:$I$76
    )
)</f>
        <v>30.30181</v>
      </c>
      <c r="E127" s="1" cm="1">
        <f t="array" ref="E127">IF(ISBLANK(B127), "",
    SUMPRODUCT(
        (Transactions!$D$3:$D$83=B127) *
        (Transactions!$H$3:$H$83={"Cash Deposit","Crypto Deposit","Buy","Transfer Deposit","DRIP","Airdrop/Rewards"}) *
        Transactions!$I$3:$I$83
    )
    - SUMPRODUCT(
        (Transactions!$D$3:$D$83=B127) *
        (Transactions!$H$3:$H$83={"Sell","Transfer Send","Cash Withdrawal","Crypto Withdrawal"}) *
        Transactions!$I$3:$I$83
    )
)</f>
        <v>30.30181</v>
      </c>
      <c r="F127" s="1" cm="1">
        <f t="array" ref="F127">IF(ISBLANK(B127), "",
    SUMPRODUCT(
        (Transactions!$D$3:$D$98=B127) *
        (Transactions!$H$3:$H$98={"Cash Deposit","Crypto Deposit","Buy","Transfer Deposit","DRIP","Airdrop/Rewards"}) *
        Transactions!$I$3:$I$98
    )
    - SUMPRODUCT(
        (Transactions!$D$3:$D$98=B127) *
        (Transactions!$H$3:$H$98={"Sell","Transfer Send","Cash Withdrawal","Crypto Withdrawal"}) *
        Transactions!$I$3:$I$98
    )
)</f>
        <v>30.30181</v>
      </c>
      <c r="G127" s="1" cm="1">
        <f t="array" ref="G127">IF(ISBLANK(B127), "",
    SUMPRODUCT(
        (Transactions!$D$3:$D$114=B127) *
        (Transactions!$H$3:$H$114={"Cash Deposit","Crypto Deposit","Buy","Transfer Deposit","DRIP","Airdrop/Rewards"}) *
        Transactions!$I$3:$I$114
    )
    - SUMPRODUCT(
        (Transactions!$D$3:$D$114=B127) *
        (Transactions!$H$3:$H$114={"Sell","Transfer Send","Cash Withdrawal","Crypto Withdrawal"}) *
        Transactions!$I$3:$I$114
    )
)</f>
        <v>30.30181</v>
      </c>
      <c r="H127" s="1" cm="1">
        <f t="array" ref="H127">IF(ISBLANK(B127), "",
    SUMPRODUCT(
        (Transactions!$D$3:$D$139=B127) *
        (Transactions!$H$3:$H$139={"Cash Deposit","Crypto Deposit","Buy","Transfer Deposit","DRIP","Airdrop/Rewards"}) *
        Transactions!$I$3:$I$139
    )
    - SUMPRODUCT(
        (Transactions!$D$3:$D$139=B127) *
        (Transactions!$H$3:$H$139={"Sell","Transfer Send","Cash Withdrawal","Crypto Withdrawal"}) *
        Transactions!$I$3:$I$139
    )
)</f>
        <v>30.30181</v>
      </c>
      <c r="I127" s="1" cm="1">
        <f t="array" ref="I127">IF(ISBLANK(B127), "",
    SUMPRODUCT(
        (Transactions!$D$3:$D$165=B127) *
        (Transactions!$H$3:$H$165={"Cash Deposit","Crypto Deposit","Buy","Transfer Deposit","DRIP","Airdrop/Rewards"}) *
        Transactions!$I$3:$I$165
    )
    - SUMPRODUCT(
        (Transactions!$D$3:$D$165=B127) *
        (Transactions!$H$3:$H$165={"Sell","Transfer Send","Cash Withdrawal","Crypto Withdrawal"}) *
        Transactions!$I$3:$I$165
    )
)</f>
        <v>30.30181</v>
      </c>
      <c r="J127" s="1" cm="1">
        <f t="array" ref="J127">IF(ISBLANK(B127), "",
    SUMPRODUCT(
        (Transactions!$D$3:$D$174=B127) *
        (Transactions!$H$3:$H$174={"Cash Deposit","Crypto Deposit","Buy","Transfer Deposit","DRIP","Airdrop/Rewards"}) *
        Transactions!$I$3:$I$174
    )
    - SUMPRODUCT(
        (Transactions!$D$3:$D$174=B127) *
        (Transactions!$H$3:$H$174={"Sell","Transfer Send","Cash Withdrawal","Crypto Withdrawal"}) *
        Transactions!$I$3:$I$174
    )
)</f>
        <v>30.30181</v>
      </c>
      <c r="K127" s="1" cm="1">
        <f t="array" ref="K127">IF(ISBLANK(B127), "",
    SUMPRODUCT(
        (Transactions!$D$3:$D$181=B127) *
        (Transactions!$H$3:$H$181={"Cash Deposit","Crypto Deposit","Buy","Transfer Deposit","DRIP","Airdrop/Rewards"}) *
        Transactions!$I$3:$I$181
    )
    - SUMPRODUCT(
        (Transactions!$D$3:$D$181=B127) *
        (Transactions!$H$3:$H$181={"Sell","Transfer Send","Cash Withdrawal","Crypto Withdrawal"}) *
        Transactions!$I$3:$I$181
    )
)</f>
        <v>30.30181</v>
      </c>
      <c r="L127" s="1" cm="1">
        <f t="array" ref="L127">IF(ISBLANK(B127), "",
    SUMPRODUCT(
        (Transactions!$D$3:$D$185=B127) *
        (Transactions!$H$3:$H$185={"Cash Deposit","Crypto Deposit","Buy","Transfer Deposit","DRIP","Airdrop/Rewards"}) *
        Transactions!$I$3:$I$185
    )
    - SUMPRODUCT(
        (Transactions!$D$3:$D$185=B127) *
        (Transactions!$H$3:$H$185={"Sell","Transfer Send","Cash Withdrawal","Crypto Withdrawal"}) *
        Transactions!$I$3:$I$185
    )
)</f>
        <v>30.30181</v>
      </c>
      <c r="M127" s="1" cm="1">
        <f t="array" ref="M127">IF(ISBLANK(B127), "",
    SUMPRODUCT(
        (Transactions!$D$3:$D$194=B127) *
        (Transactions!$H$3:$H$194={"Cash Deposit","Crypto Deposit","Buy","Transfer Deposit","DRIP","Airdrop/Rewards"}) *
        Transactions!$I$3:$I$194
    )
    - SUMPRODUCT(
        (Transactions!$D$3:$D$194=B127) *
        (Transactions!$H$3:$H$194={"Sell","Transfer Send","Cash Withdrawal","Crypto Withdrawal"}) *
        Transactions!$I$3:$I$194
    )
)</f>
        <v>30.30181</v>
      </c>
      <c r="N127" s="1" cm="1">
        <f t="array" ref="N127">IF(ISBLANK(B127), "",
    SUMPRODUCT(
        (Transactions!$D$3:$D$201=B127) *
        (Transactions!$H$3:$H$201={"Cash Deposit","Crypto Deposit","Buy","Transfer Deposit","DRIP","Airdrop/Rewards"}) *
        Transactions!$I$3:$I$201
    )
    - SUMPRODUCT(
        (Transactions!$D$3:$D$201=B127) *
        (Transactions!$H$3:$H$201={"Sell","Transfer Send","Cash Withdrawal","Crypto Withdrawal"}) *
        Transactions!$I$3:$I$201
    )
)</f>
        <v>30.30181</v>
      </c>
      <c r="O127" s="1" cm="1">
        <f t="array" ref="O127">IF(ISBLANK(B127), "",
    SUMPRODUCT(
        (Transactions!$D$3:$D$229=B127) *
        (Transactions!$H$3:$H$229={"Cash Deposit","Crypto Deposit","Buy","Transfer Deposit","DRIP","Airdrop/Rewards"}) *
        Transactions!$I$3:$I$229
    )
    - SUMPRODUCT(
        (Transactions!$D$3:$D$229=B127) *
        (Transactions!$H$3:$H$229={"Sell","Transfer Send","Cash Withdrawal","Crypto Withdrawal"}) *
        Transactions!$I$3:$I$229
    )
)</f>
        <v>30.30181</v>
      </c>
      <c r="P127" s="1" cm="1">
        <f t="array" ref="P127">IF(ISBLANK(B127), "",
    SUMPRODUCT(
        (Transactions!$D$3:$D$305=B127) *
        (Transactions!$H$3:$H$305={"Cash Deposit","Crypto Deposit","Buy","Transfer Deposit","DRIP","Airdrop/Rewards"}) *
        Transactions!$I$3:$I$305
    )
    - SUMPRODUCT(
        (Transactions!$D$3:$D$305=B127) *
        (Transactions!$H$3:$H$305={"Sell","Transfer Send","Cash Withdrawal","Crypto Withdrawal"}) *
        Transactions!$I$3:$I$305
    )
)</f>
        <v>49.981810000000003</v>
      </c>
      <c r="Q127" s="1" cm="1">
        <f t="array" ref="Q127">IF(ISBLANK(B127), "",
    SUMPRODUCT(
        (Transactions!$D$3:$D$376=B127) *
        (Transactions!$H$3:$H$376={"Cash Deposit","Crypto Deposit","Buy","Transfer Deposit","DRIP","Airdrop/Rewards"}) *
        Transactions!$I$3:$I$376
    )
    - SUMPRODUCT(
        (Transactions!$D$3:$D$376=B127) *
        (Transactions!$H$3:$H$376={"Sell","Transfer Send","Cash Withdrawal","Crypto Withdrawal"}) *
        Transactions!$I$3:$I$376
    )
)</f>
        <v>70.46181</v>
      </c>
      <c r="R127" s="1" cm="1">
        <f t="array" ref="R127">IF(ISBLANK(B127), "",
    SUMPRODUCT(
        (Transactions!$D$3:$D$1007=B127) *
        (Transactions!$H$3:$H$1007={"Cash Deposit","Crypto Deposit","Buy","Transfer Deposit","DRIP","Airdrop/Rewards"}) *
        Transactions!$I$3:$I$1007
    )
    - SUMPRODUCT(
        (Transactions!$D$3:$D$1007=B127) *
        (Transactions!$H$3:$H$1007={"Sell","Transfer Send","Cash Withdrawal","Crypto Withdrawal"}) *
        Transactions!$I$3:$I$1007
    )
)</f>
        <v>70.46181</v>
      </c>
    </row>
    <row r="128" spans="1:18">
      <c r="A128" s="1" t="str">
        <v>liveTHE</v>
      </c>
      <c r="B128" s="1" t="s">
        <v>365</v>
      </c>
      <c r="C128" s="1" cm="1">
        <f t="array" ref="C128">IF(ISBLANK(B128), "",
    SUMPRODUCT(
        (Transactions!$D$3:$D$74=B128) *
        (Transactions!$H$3:$H$74={"Cash Deposit","Crypto Deposit","Buy","Transfer Deposit","DRIP","Airdrop/Rewards"}) *
        Transactions!$I$3:$I$74
    )
    - SUMPRODUCT(
        (Transactions!$D$3:$D$74=B128) *
        (Transactions!$H$3:$H$74={"Sell","Transfer Send","Cash Withdrawal","Crypto Withdrawal"}) *
        Transactions!$I$3:$I$74
    )
)</f>
        <v>0</v>
      </c>
      <c r="D128" s="1" cm="1">
        <f t="array" ref="D128">IF(ISBLANK(B128), "",
    SUMPRODUCT(
        (Transactions!$D$3:$D$76=B128) *
        (Transactions!$H$3:$H$76={"Cash Deposit","Crypto Deposit","Buy","Transfer Deposit","DRIP","Airdrop/Rewards"}) *
        Transactions!$I$3:$I$76
    )
    - SUMPRODUCT(
        (Transactions!$D$3:$D$76=B128) *
        (Transactions!$H$3:$H$76={"Sell","Transfer Send","Cash Withdrawal","Crypto Withdrawal"}) *
        Transactions!$I$3:$I$76
    )
)</f>
        <v>0</v>
      </c>
      <c r="E128" s="1" cm="1">
        <f t="array" ref="E128">IF(ISBLANK(B128), "",
    SUMPRODUCT(
        (Transactions!$D$3:$D$83=B128) *
        (Transactions!$H$3:$H$83={"Cash Deposit","Crypto Deposit","Buy","Transfer Deposit","DRIP","Airdrop/Rewards"}) *
        Transactions!$I$3:$I$83
    )
    - SUMPRODUCT(
        (Transactions!$D$3:$D$83=B128) *
        (Transactions!$H$3:$H$83={"Sell","Transfer Send","Cash Withdrawal","Crypto Withdrawal"}) *
        Transactions!$I$3:$I$83
    )
)</f>
        <v>0</v>
      </c>
      <c r="F128" s="1" cm="1">
        <f t="array" ref="F128">IF(ISBLANK(B128), "",
    SUMPRODUCT(
        (Transactions!$D$3:$D$98=B128) *
        (Transactions!$H$3:$H$98={"Cash Deposit","Crypto Deposit","Buy","Transfer Deposit","DRIP","Airdrop/Rewards"}) *
        Transactions!$I$3:$I$98
    )
    - SUMPRODUCT(
        (Transactions!$D$3:$D$98=B128) *
        (Transactions!$H$3:$H$98={"Sell","Transfer Send","Cash Withdrawal","Crypto Withdrawal"}) *
        Transactions!$I$3:$I$98
    )
)</f>
        <v>0</v>
      </c>
      <c r="G128" s="1" cm="1">
        <f t="array" ref="G128">IF(ISBLANK(B128), "",
    SUMPRODUCT(
        (Transactions!$D$3:$D$114=B128) *
        (Transactions!$H$3:$H$114={"Cash Deposit","Crypto Deposit","Buy","Transfer Deposit","DRIP","Airdrop/Rewards"}) *
        Transactions!$I$3:$I$114
    )
    - SUMPRODUCT(
        (Transactions!$D$3:$D$114=B128) *
        (Transactions!$H$3:$H$114={"Sell","Transfer Send","Cash Withdrawal","Crypto Withdrawal"}) *
        Transactions!$I$3:$I$114
    )
)</f>
        <v>0</v>
      </c>
      <c r="H128" s="1" cm="1">
        <f t="array" ref="H128">IF(ISBLANK(B128), "",
    SUMPRODUCT(
        (Transactions!$D$3:$D$139=B128) *
        (Transactions!$H$3:$H$139={"Cash Deposit","Crypto Deposit","Buy","Transfer Deposit","DRIP","Airdrop/Rewards"}) *
        Transactions!$I$3:$I$139
    )
    - SUMPRODUCT(
        (Transactions!$D$3:$D$139=B128) *
        (Transactions!$H$3:$H$139={"Sell","Transfer Send","Cash Withdrawal","Crypto Withdrawal"}) *
        Transactions!$I$3:$I$139
    )
)</f>
        <v>0</v>
      </c>
      <c r="I128" s="1" cm="1">
        <f t="array" ref="I128">IF(ISBLANK(B128), "",
    SUMPRODUCT(
        (Transactions!$D$3:$D$165=B128) *
        (Transactions!$H$3:$H$165={"Cash Deposit","Crypto Deposit","Buy","Transfer Deposit","DRIP","Airdrop/Rewards"}) *
        Transactions!$I$3:$I$165
    )
    - SUMPRODUCT(
        (Transactions!$D$3:$D$165=B128) *
        (Transactions!$H$3:$H$165={"Sell","Transfer Send","Cash Withdrawal","Crypto Withdrawal"}) *
        Transactions!$I$3:$I$165
    )
)</f>
        <v>0</v>
      </c>
      <c r="J128" s="1" cm="1">
        <f t="array" ref="J128">IF(ISBLANK(B128), "",
    SUMPRODUCT(
        (Transactions!$D$3:$D$174=B128) *
        (Transactions!$H$3:$H$174={"Cash Deposit","Crypto Deposit","Buy","Transfer Deposit","DRIP","Airdrop/Rewards"}) *
        Transactions!$I$3:$I$174
    )
    - SUMPRODUCT(
        (Transactions!$D$3:$D$174=B128) *
        (Transactions!$H$3:$H$174={"Sell","Transfer Send","Cash Withdrawal","Crypto Withdrawal"}) *
        Transactions!$I$3:$I$174
    )
)</f>
        <v>0</v>
      </c>
      <c r="K128" s="1" cm="1">
        <f t="array" ref="K128">IF(ISBLANK(B128), "",
    SUMPRODUCT(
        (Transactions!$D$3:$D$181=B128) *
        (Transactions!$H$3:$H$181={"Cash Deposit","Crypto Deposit","Buy","Transfer Deposit","DRIP","Airdrop/Rewards"}) *
        Transactions!$I$3:$I$181
    )
    - SUMPRODUCT(
        (Transactions!$D$3:$D$181=B128) *
        (Transactions!$H$3:$H$181={"Sell","Transfer Send","Cash Withdrawal","Crypto Withdrawal"}) *
        Transactions!$I$3:$I$181
    )
)</f>
        <v>0</v>
      </c>
      <c r="L128" s="1" cm="1">
        <f t="array" ref="L128">IF(ISBLANK(B128), "",
    SUMPRODUCT(
        (Transactions!$D$3:$D$185=B128) *
        (Transactions!$H$3:$H$185={"Cash Deposit","Crypto Deposit","Buy","Transfer Deposit","DRIP","Airdrop/Rewards"}) *
        Transactions!$I$3:$I$185
    )
    - SUMPRODUCT(
        (Transactions!$D$3:$D$185=B128) *
        (Transactions!$H$3:$H$185={"Sell","Transfer Send","Cash Withdrawal","Crypto Withdrawal"}) *
        Transactions!$I$3:$I$185
    )
)</f>
        <v>0</v>
      </c>
      <c r="M128" s="1" cm="1">
        <f t="array" ref="M128">IF(ISBLANK(B128), "",
    SUMPRODUCT(
        (Transactions!$D$3:$D$194=B128) *
        (Transactions!$H$3:$H$194={"Cash Deposit","Crypto Deposit","Buy","Transfer Deposit","DRIP","Airdrop/Rewards"}) *
        Transactions!$I$3:$I$194
    )
    - SUMPRODUCT(
        (Transactions!$D$3:$D$194=B128) *
        (Transactions!$H$3:$H$194={"Sell","Transfer Send","Cash Withdrawal","Crypto Withdrawal"}) *
        Transactions!$I$3:$I$194
    )
)</f>
        <v>1516.68</v>
      </c>
      <c r="N128" s="1" cm="1">
        <f t="array" ref="N128">IF(ISBLANK(B128), "",
    SUMPRODUCT(
        (Transactions!$D$3:$D$201=B128) *
        (Transactions!$H$3:$H$201={"Cash Deposit","Crypto Deposit","Buy","Transfer Deposit","DRIP","Airdrop/Rewards"}) *
        Transactions!$I$3:$I$201
    )
    - SUMPRODUCT(
        (Transactions!$D$3:$D$201=B128) *
        (Transactions!$H$3:$H$201={"Sell","Transfer Send","Cash Withdrawal","Crypto Withdrawal"}) *
        Transactions!$I$3:$I$201
    )
)</f>
        <v>1516.68</v>
      </c>
      <c r="O128" s="1" cm="1">
        <f t="array" ref="O128">IF(ISBLANK(B128), "",
    SUMPRODUCT(
        (Transactions!$D$3:$D$229=B128) *
        (Transactions!$H$3:$H$229={"Cash Deposit","Crypto Deposit","Buy","Transfer Deposit","DRIP","Airdrop/Rewards"}) *
        Transactions!$I$3:$I$229
    )
    - SUMPRODUCT(
        (Transactions!$D$3:$D$229=B128) *
        (Transactions!$H$3:$H$229={"Sell","Transfer Send","Cash Withdrawal","Crypto Withdrawal"}) *
        Transactions!$I$3:$I$229
    )
)</f>
        <v>1516.68</v>
      </c>
      <c r="P128" s="1" cm="1">
        <f t="array" ref="P128">IF(ISBLANK(B128), "",
    SUMPRODUCT(
        (Transactions!$D$3:$D$305=B128) *
        (Transactions!$H$3:$H$305={"Cash Deposit","Crypto Deposit","Buy","Transfer Deposit","DRIP","Airdrop/Rewards"}) *
        Transactions!$I$3:$I$305
    )
    - SUMPRODUCT(
        (Transactions!$D$3:$D$305=B128) *
        (Transactions!$H$3:$H$305={"Sell","Transfer Send","Cash Withdrawal","Crypto Withdrawal"}) *
        Transactions!$I$3:$I$305
    )
)</f>
        <v>1516.68</v>
      </c>
      <c r="Q128" s="1" cm="1">
        <f t="array" ref="Q128">IF(ISBLANK(B128), "",
    SUMPRODUCT(
        (Transactions!$D$3:$D$376=B128) *
        (Transactions!$H$3:$H$376={"Cash Deposit","Crypto Deposit","Buy","Transfer Deposit","DRIP","Airdrop/Rewards"}) *
        Transactions!$I$3:$I$376
    )
    - SUMPRODUCT(
        (Transactions!$D$3:$D$376=B128) *
        (Transactions!$H$3:$H$376={"Sell","Transfer Send","Cash Withdrawal","Crypto Withdrawal"}) *
        Transactions!$I$3:$I$376
    )
)</f>
        <v>1516.68</v>
      </c>
      <c r="R128" s="1" cm="1">
        <f t="array" ref="R128">IF(ISBLANK(B128), "",
    SUMPRODUCT(
        (Transactions!$D$3:$D$1007=B128) *
        (Transactions!$H$3:$H$1007={"Cash Deposit","Crypto Deposit","Buy","Transfer Deposit","DRIP","Airdrop/Rewards"}) *
        Transactions!$I$3:$I$1007
    )
    - SUMPRODUCT(
        (Transactions!$D$3:$D$1007=B128) *
        (Transactions!$H$3:$H$1007={"Sell","Transfer Send","Cash Withdrawal","Crypto Withdrawal"}) *
        Transactions!$I$3:$I$1007
    )
)</f>
        <v>1516.68</v>
      </c>
    </row>
    <row r="129" spans="1:18">
      <c r="A129" s="1" t="str">
        <v>MAGIC</v>
      </c>
      <c r="B129" s="1" t="s">
        <v>54</v>
      </c>
      <c r="C129" s="1" cm="1">
        <f t="array" ref="C129">IF(ISBLANK(B129), "",
    SUMPRODUCT(
        (Transactions!$D$3:$D$74=B129) *
        (Transactions!$H$3:$H$74={"Cash Deposit","Crypto Deposit","Buy","Transfer Deposit","DRIP","Airdrop/Rewards"}) *
        Transactions!$I$3:$I$74
    )
    - SUMPRODUCT(
        (Transactions!$D$3:$D$74=B129) *
        (Transactions!$H$3:$H$74={"Sell","Transfer Send","Cash Withdrawal","Crypto Withdrawal"}) *
        Transactions!$I$3:$I$74
    )
)</f>
        <v>99.9</v>
      </c>
      <c r="D129" s="1" cm="1">
        <f t="array" ref="D129">IF(ISBLANK(B129), "",
    SUMPRODUCT(
        (Transactions!$D$3:$D$76=B129) *
        (Transactions!$H$3:$H$76={"Cash Deposit","Crypto Deposit","Buy","Transfer Deposit","DRIP","Airdrop/Rewards"}) *
        Transactions!$I$3:$I$76
    )
    - SUMPRODUCT(
        (Transactions!$D$3:$D$76=B129) *
        (Transactions!$H$3:$H$76={"Sell","Transfer Send","Cash Withdrawal","Crypto Withdrawal"}) *
        Transactions!$I$3:$I$76
    )
)</f>
        <v>99.9</v>
      </c>
      <c r="E129" s="1" cm="1">
        <f t="array" ref="E129">IF(ISBLANK(B129), "",
    SUMPRODUCT(
        (Transactions!$D$3:$D$83=B129) *
        (Transactions!$H$3:$H$83={"Cash Deposit","Crypto Deposit","Buy","Transfer Deposit","DRIP","Airdrop/Rewards"}) *
        Transactions!$I$3:$I$83
    )
    - SUMPRODUCT(
        (Transactions!$D$3:$D$83=B129) *
        (Transactions!$H$3:$H$83={"Sell","Transfer Send","Cash Withdrawal","Crypto Withdrawal"}) *
        Transactions!$I$3:$I$83
    )
)</f>
        <v>99.9</v>
      </c>
      <c r="F129" s="1" cm="1">
        <f t="array" ref="F129">IF(ISBLANK(B129), "",
    SUMPRODUCT(
        (Transactions!$D$3:$D$98=B129) *
        (Transactions!$H$3:$H$98={"Cash Deposit","Crypto Deposit","Buy","Transfer Deposit","DRIP","Airdrop/Rewards"}) *
        Transactions!$I$3:$I$98
    )
    - SUMPRODUCT(
        (Transactions!$D$3:$D$98=B129) *
        (Transactions!$H$3:$H$98={"Sell","Transfer Send","Cash Withdrawal","Crypto Withdrawal"}) *
        Transactions!$I$3:$I$98
    )
)</f>
        <v>99.9</v>
      </c>
      <c r="G129" s="1" cm="1">
        <f t="array" ref="G129">IF(ISBLANK(B129), "",
    SUMPRODUCT(
        (Transactions!$D$3:$D$114=B129) *
        (Transactions!$H$3:$H$114={"Cash Deposit","Crypto Deposit","Buy","Transfer Deposit","DRIP","Airdrop/Rewards"}) *
        Transactions!$I$3:$I$114
    )
    - SUMPRODUCT(
        (Transactions!$D$3:$D$114=B129) *
        (Transactions!$H$3:$H$114={"Sell","Transfer Send","Cash Withdrawal","Crypto Withdrawal"}) *
        Transactions!$I$3:$I$114
    )
)</f>
        <v>99.9</v>
      </c>
      <c r="H129" s="1" cm="1">
        <f t="array" ref="H129">IF(ISBLANK(B129), "",
    SUMPRODUCT(
        (Transactions!$D$3:$D$139=B129) *
        (Transactions!$H$3:$H$139={"Cash Deposit","Crypto Deposit","Buy","Transfer Deposit","DRIP","Airdrop/Rewards"}) *
        Transactions!$I$3:$I$139
    )
    - SUMPRODUCT(
        (Transactions!$D$3:$D$139=B129) *
        (Transactions!$H$3:$H$139={"Sell","Transfer Send","Cash Withdrawal","Crypto Withdrawal"}) *
        Transactions!$I$3:$I$139
    )
)</f>
        <v>99.9</v>
      </c>
      <c r="I129" s="1" cm="1">
        <f t="array" ref="I129">IF(ISBLANK(B129), "",
    SUMPRODUCT(
        (Transactions!$D$3:$D$165=B129) *
        (Transactions!$H$3:$H$165={"Cash Deposit","Crypto Deposit","Buy","Transfer Deposit","DRIP","Airdrop/Rewards"}) *
        Transactions!$I$3:$I$165
    )
    - SUMPRODUCT(
        (Transactions!$D$3:$D$165=B129) *
        (Transactions!$H$3:$H$165={"Sell","Transfer Send","Cash Withdrawal","Crypto Withdrawal"}) *
        Transactions!$I$3:$I$165
    )
)</f>
        <v>99.9</v>
      </c>
      <c r="J129" s="1" cm="1">
        <f t="array" ref="J129">IF(ISBLANK(B129), "",
    SUMPRODUCT(
        (Transactions!$D$3:$D$174=B129) *
        (Transactions!$H$3:$H$174={"Cash Deposit","Crypto Deposit","Buy","Transfer Deposit","DRIP","Airdrop/Rewards"}) *
        Transactions!$I$3:$I$174
    )
    - SUMPRODUCT(
        (Transactions!$D$3:$D$174=B129) *
        (Transactions!$H$3:$H$174={"Sell","Transfer Send","Cash Withdrawal","Crypto Withdrawal"}) *
        Transactions!$I$3:$I$174
    )
)</f>
        <v>99.9</v>
      </c>
      <c r="K129" s="1" cm="1">
        <f t="array" ref="K129">IF(ISBLANK(B129), "",
    SUMPRODUCT(
        (Transactions!$D$3:$D$181=B129) *
        (Transactions!$H$3:$H$181={"Cash Deposit","Crypto Deposit","Buy","Transfer Deposit","DRIP","Airdrop/Rewards"}) *
        Transactions!$I$3:$I$181
    )
    - SUMPRODUCT(
        (Transactions!$D$3:$D$181=B129) *
        (Transactions!$H$3:$H$181={"Sell","Transfer Send","Cash Withdrawal","Crypto Withdrawal"}) *
        Transactions!$I$3:$I$181
    )
)</f>
        <v>99.9</v>
      </c>
      <c r="L129" s="1" cm="1">
        <f t="array" ref="L129">IF(ISBLANK(B129), "",
    SUMPRODUCT(
        (Transactions!$D$3:$D$185=B129) *
        (Transactions!$H$3:$H$185={"Cash Deposit","Crypto Deposit","Buy","Transfer Deposit","DRIP","Airdrop/Rewards"}) *
        Transactions!$I$3:$I$185
    )
    - SUMPRODUCT(
        (Transactions!$D$3:$D$185=B129) *
        (Transactions!$H$3:$H$185={"Sell","Transfer Send","Cash Withdrawal","Crypto Withdrawal"}) *
        Transactions!$I$3:$I$185
    )
)</f>
        <v>99.9</v>
      </c>
      <c r="M129" s="1" cm="1">
        <f t="array" ref="M129">IF(ISBLANK(B129), "",
    SUMPRODUCT(
        (Transactions!$D$3:$D$194=B129) *
        (Transactions!$H$3:$H$194={"Cash Deposit","Crypto Deposit","Buy","Transfer Deposit","DRIP","Airdrop/Rewards"}) *
        Transactions!$I$3:$I$194
    )
    - SUMPRODUCT(
        (Transactions!$D$3:$D$194=B129) *
        (Transactions!$H$3:$H$194={"Sell","Transfer Send","Cash Withdrawal","Crypto Withdrawal"}) *
        Transactions!$I$3:$I$194
    )
)</f>
        <v>99.9</v>
      </c>
      <c r="N129" s="1" cm="1">
        <f t="array" ref="N129">IF(ISBLANK(B129), "",
    SUMPRODUCT(
        (Transactions!$D$3:$D$201=B129) *
        (Transactions!$H$3:$H$201={"Cash Deposit","Crypto Deposit","Buy","Transfer Deposit","DRIP","Airdrop/Rewards"}) *
        Transactions!$I$3:$I$201
    )
    - SUMPRODUCT(
        (Transactions!$D$3:$D$201=B129) *
        (Transactions!$H$3:$H$201={"Sell","Transfer Send","Cash Withdrawal","Crypto Withdrawal"}) *
        Transactions!$I$3:$I$201
    )
)</f>
        <v>99.9</v>
      </c>
      <c r="O129" s="1" cm="1">
        <f t="array" ref="O129">IF(ISBLANK(B129), "",
    SUMPRODUCT(
        (Transactions!$D$3:$D$229=B129) *
        (Transactions!$H$3:$H$229={"Cash Deposit","Crypto Deposit","Buy","Transfer Deposit","DRIP","Airdrop/Rewards"}) *
        Transactions!$I$3:$I$229
    )
    - SUMPRODUCT(
        (Transactions!$D$3:$D$229=B129) *
        (Transactions!$H$3:$H$229={"Sell","Transfer Send","Cash Withdrawal","Crypto Withdrawal"}) *
        Transactions!$I$3:$I$229
    )
)</f>
        <v>99.9</v>
      </c>
      <c r="P129" s="1" cm="1">
        <f t="array" ref="P129">IF(ISBLANK(B129), "",
    SUMPRODUCT(
        (Transactions!$D$3:$D$305=B129) *
        (Transactions!$H$3:$H$305={"Cash Deposit","Crypto Deposit","Buy","Transfer Deposit","DRIP","Airdrop/Rewards"}) *
        Transactions!$I$3:$I$305
    )
    - SUMPRODUCT(
        (Transactions!$D$3:$D$305=B129) *
        (Transactions!$H$3:$H$305={"Sell","Transfer Send","Cash Withdrawal","Crypto Withdrawal"}) *
        Transactions!$I$3:$I$305
    )
)</f>
        <v>99.9</v>
      </c>
      <c r="Q129" s="1" cm="1">
        <f t="array" ref="Q129">IF(ISBLANK(B129), "",
    SUMPRODUCT(
        (Transactions!$D$3:$D$376=B129) *
        (Transactions!$H$3:$H$376={"Cash Deposit","Crypto Deposit","Buy","Transfer Deposit","DRIP","Airdrop/Rewards"}) *
        Transactions!$I$3:$I$376
    )
    - SUMPRODUCT(
        (Transactions!$D$3:$D$376=B129) *
        (Transactions!$H$3:$H$376={"Sell","Transfer Send","Cash Withdrawal","Crypto Withdrawal"}) *
        Transactions!$I$3:$I$376
    )
)</f>
        <v>99.9</v>
      </c>
      <c r="R129" s="1" cm="1">
        <f t="array" ref="R129">IF(ISBLANK(B129), "",
    SUMPRODUCT(
        (Transactions!$D$3:$D$1007=B129) *
        (Transactions!$H$3:$H$1007={"Cash Deposit","Crypto Deposit","Buy","Transfer Deposit","DRIP","Airdrop/Rewards"}) *
        Transactions!$I$3:$I$1007
    )
    - SUMPRODUCT(
        (Transactions!$D$3:$D$1007=B129) *
        (Transactions!$H$3:$H$1007={"Sell","Transfer Send","Cash Withdrawal","Crypto Withdrawal"}) *
        Transactions!$I$3:$I$1007
    )
)</f>
        <v>99.9</v>
      </c>
    </row>
    <row r="130" spans="1:18">
      <c r="A130" s="1" t="str">
        <v>MANTA</v>
      </c>
      <c r="B130" s="1" t="s">
        <v>368</v>
      </c>
      <c r="C130" s="1" cm="1">
        <f t="array" ref="C130">IF(ISBLANK(B130), "",
    SUMPRODUCT(
        (Transactions!$D$3:$D$74=B130) *
        (Transactions!$H$3:$H$74={"Cash Deposit","Crypto Deposit","Buy","Transfer Deposit","DRIP","Airdrop/Rewards"}) *
        Transactions!$I$3:$I$74
    )
    - SUMPRODUCT(
        (Transactions!$D$3:$D$74=B130) *
        (Transactions!$H$3:$H$74={"Sell","Transfer Send","Cash Withdrawal","Crypto Withdrawal"}) *
        Transactions!$I$3:$I$74
    )
)</f>
        <v>0</v>
      </c>
      <c r="D130" s="1" cm="1">
        <f t="array" ref="D130">IF(ISBLANK(B130), "",
    SUMPRODUCT(
        (Transactions!$D$3:$D$76=B130) *
        (Transactions!$H$3:$H$76={"Cash Deposit","Crypto Deposit","Buy","Transfer Deposit","DRIP","Airdrop/Rewards"}) *
        Transactions!$I$3:$I$76
    )
    - SUMPRODUCT(
        (Transactions!$D$3:$D$76=B130) *
        (Transactions!$H$3:$H$76={"Sell","Transfer Send","Cash Withdrawal","Crypto Withdrawal"}) *
        Transactions!$I$3:$I$76
    )
)</f>
        <v>0</v>
      </c>
      <c r="E130" s="1" cm="1">
        <f t="array" ref="E130">IF(ISBLANK(B130), "",
    SUMPRODUCT(
        (Transactions!$D$3:$D$83=B130) *
        (Transactions!$H$3:$H$83={"Cash Deposit","Crypto Deposit","Buy","Transfer Deposit","DRIP","Airdrop/Rewards"}) *
        Transactions!$I$3:$I$83
    )
    - SUMPRODUCT(
        (Transactions!$D$3:$D$83=B130) *
        (Transactions!$H$3:$H$83={"Sell","Transfer Send","Cash Withdrawal","Crypto Withdrawal"}) *
        Transactions!$I$3:$I$83
    )
)</f>
        <v>0</v>
      </c>
      <c r="F130" s="1" cm="1">
        <f t="array" ref="F130">IF(ISBLANK(B130), "",
    SUMPRODUCT(
        (Transactions!$D$3:$D$98=B130) *
        (Transactions!$H$3:$H$98={"Cash Deposit","Crypto Deposit","Buy","Transfer Deposit","DRIP","Airdrop/Rewards"}) *
        Transactions!$I$3:$I$98
    )
    - SUMPRODUCT(
        (Transactions!$D$3:$D$98=B130) *
        (Transactions!$H$3:$H$98={"Sell","Transfer Send","Cash Withdrawal","Crypto Withdrawal"}) *
        Transactions!$I$3:$I$98
    )
)</f>
        <v>0</v>
      </c>
      <c r="G130" s="1" cm="1">
        <f t="array" ref="G130">IF(ISBLANK(B130), "",
    SUMPRODUCT(
        (Transactions!$D$3:$D$114=B130) *
        (Transactions!$H$3:$H$114={"Cash Deposit","Crypto Deposit","Buy","Transfer Deposit","DRIP","Airdrop/Rewards"}) *
        Transactions!$I$3:$I$114
    )
    - SUMPRODUCT(
        (Transactions!$D$3:$D$114=B130) *
        (Transactions!$H$3:$H$114={"Sell","Transfer Send","Cash Withdrawal","Crypto Withdrawal"}) *
        Transactions!$I$3:$I$114
    )
)</f>
        <v>0</v>
      </c>
      <c r="H130" s="1" cm="1">
        <f t="array" ref="H130">IF(ISBLANK(B130), "",
    SUMPRODUCT(
        (Transactions!$D$3:$D$139=B130) *
        (Transactions!$H$3:$H$139={"Cash Deposit","Crypto Deposit","Buy","Transfer Deposit","DRIP","Airdrop/Rewards"}) *
        Transactions!$I$3:$I$139
    )
    - SUMPRODUCT(
        (Transactions!$D$3:$D$139=B130) *
        (Transactions!$H$3:$H$139={"Sell","Transfer Send","Cash Withdrawal","Crypto Withdrawal"}) *
        Transactions!$I$3:$I$139
    )
)</f>
        <v>0</v>
      </c>
      <c r="I130" s="1" cm="1">
        <f t="array" ref="I130">IF(ISBLANK(B130), "",
    SUMPRODUCT(
        (Transactions!$D$3:$D$165=B130) *
        (Transactions!$H$3:$H$165={"Cash Deposit","Crypto Deposit","Buy","Transfer Deposit","DRIP","Airdrop/Rewards"}) *
        Transactions!$I$3:$I$165
    )
    - SUMPRODUCT(
        (Transactions!$D$3:$D$165=B130) *
        (Transactions!$H$3:$H$165={"Sell","Transfer Send","Cash Withdrawal","Crypto Withdrawal"}) *
        Transactions!$I$3:$I$165
    )
)</f>
        <v>0</v>
      </c>
      <c r="J130" s="1" cm="1">
        <f t="array" ref="J130">IF(ISBLANK(B130), "",
    SUMPRODUCT(
        (Transactions!$D$3:$D$174=B130) *
        (Transactions!$H$3:$H$174={"Cash Deposit","Crypto Deposit","Buy","Transfer Deposit","DRIP","Airdrop/Rewards"}) *
        Transactions!$I$3:$I$174
    )
    - SUMPRODUCT(
        (Transactions!$D$3:$D$174=B130) *
        (Transactions!$H$3:$H$174={"Sell","Transfer Send","Cash Withdrawal","Crypto Withdrawal"}) *
        Transactions!$I$3:$I$174
    )
)</f>
        <v>0</v>
      </c>
      <c r="K130" s="1" cm="1">
        <f t="array" ref="K130">IF(ISBLANK(B130), "",
    SUMPRODUCT(
        (Transactions!$D$3:$D$181=B130) *
        (Transactions!$H$3:$H$181={"Cash Deposit","Crypto Deposit","Buy","Transfer Deposit","DRIP","Airdrop/Rewards"}) *
        Transactions!$I$3:$I$181
    )
    - SUMPRODUCT(
        (Transactions!$D$3:$D$181=B130) *
        (Transactions!$H$3:$H$181={"Sell","Transfer Send","Cash Withdrawal","Crypto Withdrawal"}) *
        Transactions!$I$3:$I$181
    )
)</f>
        <v>0</v>
      </c>
      <c r="L130" s="1" cm="1">
        <f t="array" ref="L130">IF(ISBLANK(B130), "",
    SUMPRODUCT(
        (Transactions!$D$3:$D$185=B130) *
        (Transactions!$H$3:$H$185={"Cash Deposit","Crypto Deposit","Buy","Transfer Deposit","DRIP","Airdrop/Rewards"}) *
        Transactions!$I$3:$I$185
    )
    - SUMPRODUCT(
        (Transactions!$D$3:$D$185=B130) *
        (Transactions!$H$3:$H$185={"Sell","Transfer Send","Cash Withdrawal","Crypto Withdrawal"}) *
        Transactions!$I$3:$I$185
    )
)</f>
        <v>0</v>
      </c>
      <c r="M130" s="1" cm="1">
        <f t="array" ref="M130">IF(ISBLANK(B130), "",
    SUMPRODUCT(
        (Transactions!$D$3:$D$194=B130) *
        (Transactions!$H$3:$H$194={"Cash Deposit","Crypto Deposit","Buy","Transfer Deposit","DRIP","Airdrop/Rewards"}) *
        Transactions!$I$3:$I$194
    )
    - SUMPRODUCT(
        (Transactions!$D$3:$D$194=B130) *
        (Transactions!$H$3:$H$194={"Sell","Transfer Send","Cash Withdrawal","Crypto Withdrawal"}) *
        Transactions!$I$3:$I$194
    )
)</f>
        <v>0</v>
      </c>
      <c r="N130" s="1" cm="1">
        <f t="array" ref="N130">IF(ISBLANK(B130), "",
    SUMPRODUCT(
        (Transactions!$D$3:$D$201=B130) *
        (Transactions!$H$3:$H$201={"Cash Deposit","Crypto Deposit","Buy","Transfer Deposit","DRIP","Airdrop/Rewards"}) *
        Transactions!$I$3:$I$201
    )
    - SUMPRODUCT(
        (Transactions!$D$3:$D$201=B130) *
        (Transactions!$H$3:$H$201={"Sell","Transfer Send","Cash Withdrawal","Crypto Withdrawal"}) *
        Transactions!$I$3:$I$201
    )
)</f>
        <v>0</v>
      </c>
      <c r="O130" s="1" cm="1">
        <f t="array" ref="O130">IF(ISBLANK(B130), "",
    SUMPRODUCT(
        (Transactions!$D$3:$D$229=B130) *
        (Transactions!$H$3:$H$229={"Cash Deposit","Crypto Deposit","Buy","Transfer Deposit","DRIP","Airdrop/Rewards"}) *
        Transactions!$I$3:$I$229
    )
    - SUMPRODUCT(
        (Transactions!$D$3:$D$229=B130) *
        (Transactions!$H$3:$H$229={"Sell","Transfer Send","Cash Withdrawal","Crypto Withdrawal"}) *
        Transactions!$I$3:$I$229
    )
)</f>
        <v>0</v>
      </c>
      <c r="P130" s="1" cm="1">
        <f t="array" ref="P130">IF(ISBLANK(B130), "",
    SUMPRODUCT(
        (Transactions!$D$3:$D$305=B130) *
        (Transactions!$H$3:$H$305={"Cash Deposit","Crypto Deposit","Buy","Transfer Deposit","DRIP","Airdrop/Rewards"}) *
        Transactions!$I$3:$I$305
    )
    - SUMPRODUCT(
        (Transactions!$D$3:$D$305=B130) *
        (Transactions!$H$3:$H$305={"Sell","Transfer Send","Cash Withdrawal","Crypto Withdrawal"}) *
        Transactions!$I$3:$I$305
    )
)</f>
        <v>127</v>
      </c>
      <c r="Q130" s="1" cm="1">
        <f t="array" ref="Q130">IF(ISBLANK(B130), "",
    SUMPRODUCT(
        (Transactions!$D$3:$D$376=B130) *
        (Transactions!$H$3:$H$376={"Cash Deposit","Crypto Deposit","Buy","Transfer Deposit","DRIP","Airdrop/Rewards"}) *
        Transactions!$I$3:$I$376
    )
    - SUMPRODUCT(
        (Transactions!$D$3:$D$376=B130) *
        (Transactions!$H$3:$H$376={"Sell","Transfer Send","Cash Withdrawal","Crypto Withdrawal"}) *
        Transactions!$I$3:$I$376
    )
)</f>
        <v>127</v>
      </c>
      <c r="R130" s="1" cm="1">
        <f t="array" ref="R130">IF(ISBLANK(B130), "",
    SUMPRODUCT(
        (Transactions!$D$3:$D$1007=B130) *
        (Transactions!$H$3:$H$1007={"Cash Deposit","Crypto Deposit","Buy","Transfer Deposit","DRIP","Airdrop/Rewards"}) *
        Transactions!$I$3:$I$1007
    )
    - SUMPRODUCT(
        (Transactions!$D$3:$D$1007=B130) *
        (Transactions!$H$3:$H$1007={"Sell","Transfer Send","Cash Withdrawal","Crypto Withdrawal"}) *
        Transactions!$I$3:$I$1007
    )
)</f>
        <v>127</v>
      </c>
    </row>
    <row r="131" spans="1:18">
      <c r="A131" s="1" t="str">
        <v>MATIC</v>
      </c>
      <c r="B131" s="1" t="s">
        <v>50</v>
      </c>
      <c r="C131" s="1" cm="1">
        <f t="array" ref="C131">IF(ISBLANK(B131), "",
    SUMPRODUCT(
        (Transactions!$D$3:$D$74=B131) *
        (Transactions!$H$3:$H$74={"Cash Deposit","Crypto Deposit","Buy","Transfer Deposit","DRIP","Airdrop/Rewards"}) *
        Transactions!$I$3:$I$74
    )
    - SUMPRODUCT(
        (Transactions!$D$3:$D$74=B131) *
        (Transactions!$H$3:$H$74={"Sell","Transfer Send","Cash Withdrawal","Crypto Withdrawal"}) *
        Transactions!$I$3:$I$74
    )
)</f>
        <v>200</v>
      </c>
      <c r="D131" s="1" cm="1">
        <f t="array" ref="D131">IF(ISBLANK(B131), "",
    SUMPRODUCT(
        (Transactions!$D$3:$D$76=B131) *
        (Transactions!$H$3:$H$76={"Cash Deposit","Crypto Deposit","Buy","Transfer Deposit","DRIP","Airdrop/Rewards"}) *
        Transactions!$I$3:$I$76
    )
    - SUMPRODUCT(
        (Transactions!$D$3:$D$76=B131) *
        (Transactions!$H$3:$H$76={"Sell","Transfer Send","Cash Withdrawal","Crypto Withdrawal"}) *
        Transactions!$I$3:$I$76
    )
)</f>
        <v>200</v>
      </c>
      <c r="E131" s="1" cm="1">
        <f t="array" ref="E131">IF(ISBLANK(B131), "",
    SUMPRODUCT(
        (Transactions!$D$3:$D$83=B131) *
        (Transactions!$H$3:$H$83={"Cash Deposit","Crypto Deposit","Buy","Transfer Deposit","DRIP","Airdrop/Rewards"}) *
        Transactions!$I$3:$I$83
    )
    - SUMPRODUCT(
        (Transactions!$D$3:$D$83=B131) *
        (Transactions!$H$3:$H$83={"Sell","Transfer Send","Cash Withdrawal","Crypto Withdrawal"}) *
        Transactions!$I$3:$I$83
    )
)</f>
        <v>200</v>
      </c>
      <c r="F131" s="1" cm="1">
        <f t="array" ref="F131">IF(ISBLANK(B131), "",
    SUMPRODUCT(
        (Transactions!$D$3:$D$98=B131) *
        (Transactions!$H$3:$H$98={"Cash Deposit","Crypto Deposit","Buy","Transfer Deposit","DRIP","Airdrop/Rewards"}) *
        Transactions!$I$3:$I$98
    )
    - SUMPRODUCT(
        (Transactions!$D$3:$D$98=B131) *
        (Transactions!$H$3:$H$98={"Sell","Transfer Send","Cash Withdrawal","Crypto Withdrawal"}) *
        Transactions!$I$3:$I$98
    )
)</f>
        <v>200</v>
      </c>
      <c r="G131" s="1" cm="1">
        <f t="array" ref="G131">IF(ISBLANK(B131), "",
    SUMPRODUCT(
        (Transactions!$D$3:$D$114=B131) *
        (Transactions!$H$3:$H$114={"Cash Deposit","Crypto Deposit","Buy","Transfer Deposit","DRIP","Airdrop/Rewards"}) *
        Transactions!$I$3:$I$114
    )
    - SUMPRODUCT(
        (Transactions!$D$3:$D$114=B131) *
        (Transactions!$H$3:$H$114={"Sell","Transfer Send","Cash Withdrawal","Crypto Withdrawal"}) *
        Transactions!$I$3:$I$114
    )
)</f>
        <v>200</v>
      </c>
      <c r="H131" s="1" cm="1">
        <f t="array" ref="H131">IF(ISBLANK(B131), "",
    SUMPRODUCT(
        (Transactions!$D$3:$D$139=B131) *
        (Transactions!$H$3:$H$139={"Cash Deposit","Crypto Deposit","Buy","Transfer Deposit","DRIP","Airdrop/Rewards"}) *
        Transactions!$I$3:$I$139
    )
    - SUMPRODUCT(
        (Transactions!$D$3:$D$139=B131) *
        (Transactions!$H$3:$H$139={"Sell","Transfer Send","Cash Withdrawal","Crypto Withdrawal"}) *
        Transactions!$I$3:$I$139
    )
)</f>
        <v>200</v>
      </c>
      <c r="I131" s="1" cm="1">
        <f t="array" ref="I131">IF(ISBLANK(B131), "",
    SUMPRODUCT(
        (Transactions!$D$3:$D$165=B131) *
        (Transactions!$H$3:$H$165={"Cash Deposit","Crypto Deposit","Buy","Transfer Deposit","DRIP","Airdrop/Rewards"}) *
        Transactions!$I$3:$I$165
    )
    - SUMPRODUCT(
        (Transactions!$D$3:$D$165=B131) *
        (Transactions!$H$3:$H$165={"Sell","Transfer Send","Cash Withdrawal","Crypto Withdrawal"}) *
        Transactions!$I$3:$I$165
    )
)</f>
        <v>200</v>
      </c>
      <c r="J131" s="1" cm="1">
        <f t="array" ref="J131">IF(ISBLANK(B131), "",
    SUMPRODUCT(
        (Transactions!$D$3:$D$174=B131) *
        (Transactions!$H$3:$H$174={"Cash Deposit","Crypto Deposit","Buy","Transfer Deposit","DRIP","Airdrop/Rewards"}) *
        Transactions!$I$3:$I$174
    )
    - SUMPRODUCT(
        (Transactions!$D$3:$D$174=B131) *
        (Transactions!$H$3:$H$174={"Sell","Transfer Send","Cash Withdrawal","Crypto Withdrawal"}) *
        Transactions!$I$3:$I$174
    )
)</f>
        <v>200</v>
      </c>
      <c r="K131" s="1" cm="1">
        <f t="array" ref="K131">IF(ISBLANK(B131), "",
    SUMPRODUCT(
        (Transactions!$D$3:$D$181=B131) *
        (Transactions!$H$3:$H$181={"Cash Deposit","Crypto Deposit","Buy","Transfer Deposit","DRIP","Airdrop/Rewards"}) *
        Transactions!$I$3:$I$181
    )
    - SUMPRODUCT(
        (Transactions!$D$3:$D$181=B131) *
        (Transactions!$H$3:$H$181={"Sell","Transfer Send","Cash Withdrawal","Crypto Withdrawal"}) *
        Transactions!$I$3:$I$181
    )
)</f>
        <v>200</v>
      </c>
      <c r="L131" s="1" cm="1">
        <f t="array" ref="L131">IF(ISBLANK(B131), "",
    SUMPRODUCT(
        (Transactions!$D$3:$D$185=B131) *
        (Transactions!$H$3:$H$185={"Cash Deposit","Crypto Deposit","Buy","Transfer Deposit","DRIP","Airdrop/Rewards"}) *
        Transactions!$I$3:$I$185
    )
    - SUMPRODUCT(
        (Transactions!$D$3:$D$185=B131) *
        (Transactions!$H$3:$H$185={"Sell","Transfer Send","Cash Withdrawal","Crypto Withdrawal"}) *
        Transactions!$I$3:$I$185
    )
)</f>
        <v>200</v>
      </c>
      <c r="M131" s="1" cm="1">
        <f t="array" ref="M131">IF(ISBLANK(B131), "",
    SUMPRODUCT(
        (Transactions!$D$3:$D$194=B131) *
        (Transactions!$H$3:$H$194={"Cash Deposit","Crypto Deposit","Buy","Transfer Deposit","DRIP","Airdrop/Rewards"}) *
        Transactions!$I$3:$I$194
    )
    - SUMPRODUCT(
        (Transactions!$D$3:$D$194=B131) *
        (Transactions!$H$3:$H$194={"Sell","Transfer Send","Cash Withdrawal","Crypto Withdrawal"}) *
        Transactions!$I$3:$I$194
    )
)</f>
        <v>200</v>
      </c>
      <c r="N131" s="1" cm="1">
        <f t="array" ref="N131">IF(ISBLANK(B131), "",
    SUMPRODUCT(
        (Transactions!$D$3:$D$201=B131) *
        (Transactions!$H$3:$H$201={"Cash Deposit","Crypto Deposit","Buy","Transfer Deposit","DRIP","Airdrop/Rewards"}) *
        Transactions!$I$3:$I$201
    )
    - SUMPRODUCT(
        (Transactions!$D$3:$D$201=B131) *
        (Transactions!$H$3:$H$201={"Sell","Transfer Send","Cash Withdrawal","Crypto Withdrawal"}) *
        Transactions!$I$3:$I$201
    )
)</f>
        <v>200</v>
      </c>
      <c r="O131" s="1" cm="1">
        <f t="array" ref="O131">IF(ISBLANK(B131), "",
    SUMPRODUCT(
        (Transactions!$D$3:$D$229=B131) *
        (Transactions!$H$3:$H$229={"Cash Deposit","Crypto Deposit","Buy","Transfer Deposit","DRIP","Airdrop/Rewards"}) *
        Transactions!$I$3:$I$229
    )
    - SUMPRODUCT(
        (Transactions!$D$3:$D$229=B131) *
        (Transactions!$H$3:$H$229={"Sell","Transfer Send","Cash Withdrawal","Crypto Withdrawal"}) *
        Transactions!$I$3:$I$229
    )
)</f>
        <v>200</v>
      </c>
      <c r="P131" s="1" cm="1">
        <f t="array" ref="P131">IF(ISBLANK(B131), "",
    SUMPRODUCT(
        (Transactions!$D$3:$D$305=B131) *
        (Transactions!$H$3:$H$305={"Cash Deposit","Crypto Deposit","Buy","Transfer Deposit","DRIP","Airdrop/Rewards"}) *
        Transactions!$I$3:$I$305
    )
    - SUMPRODUCT(
        (Transactions!$D$3:$D$305=B131) *
        (Transactions!$H$3:$H$305={"Sell","Transfer Send","Cash Withdrawal","Crypto Withdrawal"}) *
        Transactions!$I$3:$I$305
    )
)</f>
        <v>200</v>
      </c>
      <c r="Q131" s="1" cm="1">
        <f t="array" ref="Q131">IF(ISBLANK(B131), "",
    SUMPRODUCT(
        (Transactions!$D$3:$D$376=B131) *
        (Transactions!$H$3:$H$376={"Cash Deposit","Crypto Deposit","Buy","Transfer Deposit","DRIP","Airdrop/Rewards"}) *
        Transactions!$I$3:$I$376
    )
    - SUMPRODUCT(
        (Transactions!$D$3:$D$376=B131) *
        (Transactions!$H$3:$H$376={"Sell","Transfer Send","Cash Withdrawal","Crypto Withdrawal"}) *
        Transactions!$I$3:$I$376
    )
)</f>
        <v>530</v>
      </c>
      <c r="R131" s="1" cm="1">
        <f t="array" ref="R131">IF(ISBLANK(B131), "",
    SUMPRODUCT(
        (Transactions!$D$3:$D$1007=B131) *
        (Transactions!$H$3:$H$1007={"Cash Deposit","Crypto Deposit","Buy","Transfer Deposit","DRIP","Airdrop/Rewards"}) *
        Transactions!$I$3:$I$1007
    )
    - SUMPRODUCT(
        (Transactions!$D$3:$D$1007=B131) *
        (Transactions!$H$3:$H$1007={"Sell","Transfer Send","Cash Withdrawal","Crypto Withdrawal"}) *
        Transactions!$I$3:$I$1007
    )
)</f>
        <v>911.56389999999999</v>
      </c>
    </row>
    <row r="132" spans="1:18">
      <c r="A132" s="1" t="str">
        <v>MNT</v>
      </c>
      <c r="B132" s="1" t="s">
        <v>25</v>
      </c>
      <c r="C132" s="1" cm="1">
        <f t="array" ref="C132">IF(ISBLANK(B132), "",
    SUMPRODUCT(
        (Transactions!$D$3:$D$74=B132) *
        (Transactions!$H$3:$H$74={"Cash Deposit","Crypto Deposit","Buy","Transfer Deposit","DRIP","Airdrop/Rewards"}) *
        Transactions!$I$3:$I$74
    )
    - SUMPRODUCT(
        (Transactions!$D$3:$D$74=B132) *
        (Transactions!$H$3:$H$74={"Sell","Transfer Send","Cash Withdrawal","Crypto Withdrawal"}) *
        Transactions!$I$3:$I$74
    )
)</f>
        <v>889.07872373999999</v>
      </c>
      <c r="D132" s="1" cm="1">
        <f t="array" ref="D132">IF(ISBLANK(B132), "",
    SUMPRODUCT(
        (Transactions!$D$3:$D$76=B132) *
        (Transactions!$H$3:$H$76={"Cash Deposit","Crypto Deposit","Buy","Transfer Deposit","DRIP","Airdrop/Rewards"}) *
        Transactions!$I$3:$I$76
    )
    - SUMPRODUCT(
        (Transactions!$D$3:$D$76=B132) *
        (Transactions!$H$3:$H$76={"Sell","Transfer Send","Cash Withdrawal","Crypto Withdrawal"}) *
        Transactions!$I$3:$I$76
    )
)</f>
        <v>889.07872373999999</v>
      </c>
      <c r="E132" s="1" cm="1">
        <f t="array" ref="E132">IF(ISBLANK(B132), "",
    SUMPRODUCT(
        (Transactions!$D$3:$D$83=B132) *
        (Transactions!$H$3:$H$83={"Cash Deposit","Crypto Deposit","Buy","Transfer Deposit","DRIP","Airdrop/Rewards"}) *
        Transactions!$I$3:$I$83
    )
    - SUMPRODUCT(
        (Transactions!$D$3:$D$83=B132) *
        (Transactions!$H$3:$H$83={"Sell","Transfer Send","Cash Withdrawal","Crypto Withdrawal"}) *
        Transactions!$I$3:$I$83
    )
)</f>
        <v>889.07872373999999</v>
      </c>
      <c r="F132" s="1" cm="1">
        <f t="array" ref="F132">IF(ISBLANK(B132), "",
    SUMPRODUCT(
        (Transactions!$D$3:$D$98=B132) *
        (Transactions!$H$3:$H$98={"Cash Deposit","Crypto Deposit","Buy","Transfer Deposit","DRIP","Airdrop/Rewards"}) *
        Transactions!$I$3:$I$98
    )
    - SUMPRODUCT(
        (Transactions!$D$3:$D$98=B132) *
        (Transactions!$H$3:$H$98={"Sell","Transfer Send","Cash Withdrawal","Crypto Withdrawal"}) *
        Transactions!$I$3:$I$98
    )
)</f>
        <v>889.07872373999999</v>
      </c>
      <c r="G132" s="1" cm="1">
        <f t="array" ref="G132">IF(ISBLANK(B132), "",
    SUMPRODUCT(
        (Transactions!$D$3:$D$114=B132) *
        (Transactions!$H$3:$H$114={"Cash Deposit","Crypto Deposit","Buy","Transfer Deposit","DRIP","Airdrop/Rewards"}) *
        Transactions!$I$3:$I$114
    )
    - SUMPRODUCT(
        (Transactions!$D$3:$D$114=B132) *
        (Transactions!$H$3:$H$114={"Sell","Transfer Send","Cash Withdrawal","Crypto Withdrawal"}) *
        Transactions!$I$3:$I$114
    )
)</f>
        <v>889.07872373999999</v>
      </c>
      <c r="H132" s="1" cm="1">
        <f t="array" ref="H132">IF(ISBLANK(B132), "",
    SUMPRODUCT(
        (Transactions!$D$3:$D$139=B132) *
        (Transactions!$H$3:$H$139={"Cash Deposit","Crypto Deposit","Buy","Transfer Deposit","DRIP","Airdrop/Rewards"}) *
        Transactions!$I$3:$I$139
    )
    - SUMPRODUCT(
        (Transactions!$D$3:$D$139=B132) *
        (Transactions!$H$3:$H$139={"Sell","Transfer Send","Cash Withdrawal","Crypto Withdrawal"}) *
        Transactions!$I$3:$I$139
    )
)</f>
        <v>889.07872373999999</v>
      </c>
      <c r="I132" s="1" cm="1">
        <f t="array" ref="I132">IF(ISBLANK(B132), "",
    SUMPRODUCT(
        (Transactions!$D$3:$D$165=B132) *
        (Transactions!$H$3:$H$165={"Cash Deposit","Crypto Deposit","Buy","Transfer Deposit","DRIP","Airdrop/Rewards"}) *
        Transactions!$I$3:$I$165
    )
    - SUMPRODUCT(
        (Transactions!$D$3:$D$165=B132) *
        (Transactions!$H$3:$H$165={"Sell","Transfer Send","Cash Withdrawal","Crypto Withdrawal"}) *
        Transactions!$I$3:$I$165
    )
)</f>
        <v>889.07872373999999</v>
      </c>
      <c r="J132" s="1" cm="1">
        <f t="array" ref="J132">IF(ISBLANK(B132), "",
    SUMPRODUCT(
        (Transactions!$D$3:$D$174=B132) *
        (Transactions!$H$3:$H$174={"Cash Deposit","Crypto Deposit","Buy","Transfer Deposit","DRIP","Airdrop/Rewards"}) *
        Transactions!$I$3:$I$174
    )
    - SUMPRODUCT(
        (Transactions!$D$3:$D$174=B132) *
        (Transactions!$H$3:$H$174={"Sell","Transfer Send","Cash Withdrawal","Crypto Withdrawal"}) *
        Transactions!$I$3:$I$174
    )
)</f>
        <v>889.07872373999999</v>
      </c>
      <c r="K132" s="1" cm="1">
        <f t="array" ref="K132">IF(ISBLANK(B132), "",
    SUMPRODUCT(
        (Transactions!$D$3:$D$181=B132) *
        (Transactions!$H$3:$H$181={"Cash Deposit","Crypto Deposit","Buy","Transfer Deposit","DRIP","Airdrop/Rewards"}) *
        Transactions!$I$3:$I$181
    )
    - SUMPRODUCT(
        (Transactions!$D$3:$D$181=B132) *
        (Transactions!$H$3:$H$181={"Sell","Transfer Send","Cash Withdrawal","Crypto Withdrawal"}) *
        Transactions!$I$3:$I$181
    )
)</f>
        <v>889.07872373999999</v>
      </c>
      <c r="L132" s="1" cm="1">
        <f t="array" ref="L132">IF(ISBLANK(B132), "",
    SUMPRODUCT(
        (Transactions!$D$3:$D$185=B132) *
        (Transactions!$H$3:$H$185={"Cash Deposit","Crypto Deposit","Buy","Transfer Deposit","DRIP","Airdrop/Rewards"}) *
        Transactions!$I$3:$I$185
    )
    - SUMPRODUCT(
        (Transactions!$D$3:$D$185=B132) *
        (Transactions!$H$3:$H$185={"Sell","Transfer Send","Cash Withdrawal","Crypto Withdrawal"}) *
        Transactions!$I$3:$I$185
    )
)</f>
        <v>889.07872373999999</v>
      </c>
      <c r="M132" s="1" cm="1">
        <f t="array" ref="M132">IF(ISBLANK(B132), "",
    SUMPRODUCT(
        (Transactions!$D$3:$D$194=B132) *
        (Transactions!$H$3:$H$194={"Cash Deposit","Crypto Deposit","Buy","Transfer Deposit","DRIP","Airdrop/Rewards"}) *
        Transactions!$I$3:$I$194
    )
    - SUMPRODUCT(
        (Transactions!$D$3:$D$194=B132) *
        (Transactions!$H$3:$H$194={"Sell","Transfer Send","Cash Withdrawal","Crypto Withdrawal"}) *
        Transactions!$I$3:$I$194
    )
)</f>
        <v>889.07872373999999</v>
      </c>
      <c r="N132" s="1" cm="1">
        <f t="array" ref="N132">IF(ISBLANK(B132), "",
    SUMPRODUCT(
        (Transactions!$D$3:$D$201=B132) *
        (Transactions!$H$3:$H$201={"Cash Deposit","Crypto Deposit","Buy","Transfer Deposit","DRIP","Airdrop/Rewards"}) *
        Transactions!$I$3:$I$201
    )
    - SUMPRODUCT(
        (Transactions!$D$3:$D$201=B132) *
        (Transactions!$H$3:$H$201={"Sell","Transfer Send","Cash Withdrawal","Crypto Withdrawal"}) *
        Transactions!$I$3:$I$201
    )
)</f>
        <v>889.07872373999999</v>
      </c>
      <c r="O132" s="1" cm="1">
        <f t="array" ref="O132">IF(ISBLANK(B132), "",
    SUMPRODUCT(
        (Transactions!$D$3:$D$229=B132) *
        (Transactions!$H$3:$H$229={"Cash Deposit","Crypto Deposit","Buy","Transfer Deposit","DRIP","Airdrop/Rewards"}) *
        Transactions!$I$3:$I$229
    )
    - SUMPRODUCT(
        (Transactions!$D$3:$D$229=B132) *
        (Transactions!$H$3:$H$229={"Sell","Transfer Send","Cash Withdrawal","Crypto Withdrawal"}) *
        Transactions!$I$3:$I$229
    )
)</f>
        <v>889.07872373999999</v>
      </c>
      <c r="P132" s="1" cm="1">
        <f t="array" ref="P132">IF(ISBLANK(B132), "",
    SUMPRODUCT(
        (Transactions!$D$3:$D$305=B132) *
        (Transactions!$H$3:$H$305={"Cash Deposit","Crypto Deposit","Buy","Transfer Deposit","DRIP","Airdrop/Rewards"}) *
        Transactions!$I$3:$I$305
    )
    - SUMPRODUCT(
        (Transactions!$D$3:$D$305=B132) *
        (Transactions!$H$3:$H$305={"Sell","Transfer Send","Cash Withdrawal","Crypto Withdrawal"}) *
        Transactions!$I$3:$I$305
    )
)</f>
        <v>889.07872373999999</v>
      </c>
      <c r="Q132" s="1" cm="1">
        <f t="array" ref="Q132">IF(ISBLANK(B132), "",
    SUMPRODUCT(
        (Transactions!$D$3:$D$376=B132) *
        (Transactions!$H$3:$H$376={"Cash Deposit","Crypto Deposit","Buy","Transfer Deposit","DRIP","Airdrop/Rewards"}) *
        Transactions!$I$3:$I$376
    )
    - SUMPRODUCT(
        (Transactions!$D$3:$D$376=B132) *
        (Transactions!$H$3:$H$376={"Sell","Transfer Send","Cash Withdrawal","Crypto Withdrawal"}) *
        Transactions!$I$3:$I$376
    )
)</f>
        <v>889.07872373999999</v>
      </c>
      <c r="R132" s="1" cm="1">
        <f t="array" ref="R132">IF(ISBLANK(B132), "",
    SUMPRODUCT(
        (Transactions!$D$3:$D$1007=B132) *
        (Transactions!$H$3:$H$1007={"Cash Deposit","Crypto Deposit","Buy","Transfer Deposit","DRIP","Airdrop/Rewards"}) *
        Transactions!$I$3:$I$1007
    )
    - SUMPRODUCT(
        (Transactions!$D$3:$D$1007=B132) *
        (Transactions!$H$3:$H$1007={"Sell","Transfer Send","Cash Withdrawal","Crypto Withdrawal"}) *
        Transactions!$I$3:$I$1007
    )
)</f>
        <v>889.07872373999999</v>
      </c>
    </row>
    <row r="133" spans="1:18">
      <c r="A133" s="1" t="str">
        <v>NEAR</v>
      </c>
      <c r="B133" s="1" t="s">
        <v>48</v>
      </c>
      <c r="C133" s="1" cm="1">
        <f t="array" ref="C133">IF(ISBLANK(B133), "",
    SUMPRODUCT(
        (Transactions!$D$3:$D$74=B133) *
        (Transactions!$H$3:$H$74={"Cash Deposit","Crypto Deposit","Buy","Transfer Deposit","DRIP","Airdrop/Rewards"}) *
        Transactions!$I$3:$I$74
    )
    - SUMPRODUCT(
        (Transactions!$D$3:$D$74=B133) *
        (Transactions!$H$3:$H$74={"Sell","Transfer Send","Cash Withdrawal","Crypto Withdrawal"}) *
        Transactions!$I$3:$I$74
    )
)</f>
        <v>388.91071578000003</v>
      </c>
      <c r="D133" s="1" cm="1">
        <f t="array" ref="D133">IF(ISBLANK(B133), "",
    SUMPRODUCT(
        (Transactions!$D$3:$D$76=B133) *
        (Transactions!$H$3:$H$76={"Cash Deposit","Crypto Deposit","Buy","Transfer Deposit","DRIP","Airdrop/Rewards"}) *
        Transactions!$I$3:$I$76
    )
    - SUMPRODUCT(
        (Transactions!$D$3:$D$76=B133) *
        (Transactions!$H$3:$H$76={"Sell","Transfer Send","Cash Withdrawal","Crypto Withdrawal"}) *
        Transactions!$I$3:$I$76
    )
)</f>
        <v>388.91071578000003</v>
      </c>
      <c r="E133" s="1" cm="1">
        <f t="array" ref="E133">IF(ISBLANK(B133), "",
    SUMPRODUCT(
        (Transactions!$D$3:$D$83=B133) *
        (Transactions!$H$3:$H$83={"Cash Deposit","Crypto Deposit","Buy","Transfer Deposit","DRIP","Airdrop/Rewards"}) *
        Transactions!$I$3:$I$83
    )
    - SUMPRODUCT(
        (Transactions!$D$3:$D$83=B133) *
        (Transactions!$H$3:$H$83={"Sell","Transfer Send","Cash Withdrawal","Crypto Withdrawal"}) *
        Transactions!$I$3:$I$83
    )
)</f>
        <v>388.91071578000003</v>
      </c>
      <c r="F133" s="1" cm="1">
        <f t="array" ref="F133">IF(ISBLANK(B133), "",
    SUMPRODUCT(
        (Transactions!$D$3:$D$98=B133) *
        (Transactions!$H$3:$H$98={"Cash Deposit","Crypto Deposit","Buy","Transfer Deposit","DRIP","Airdrop/Rewards"}) *
        Transactions!$I$3:$I$98
    )
    - SUMPRODUCT(
        (Transactions!$D$3:$D$98=B133) *
        (Transactions!$H$3:$H$98={"Sell","Transfer Send","Cash Withdrawal","Crypto Withdrawal"}) *
        Transactions!$I$3:$I$98
    )
)</f>
        <v>388.91071578000003</v>
      </c>
      <c r="G133" s="1" cm="1">
        <f t="array" ref="G133">IF(ISBLANK(B133), "",
    SUMPRODUCT(
        (Transactions!$D$3:$D$114=B133) *
        (Transactions!$H$3:$H$114={"Cash Deposit","Crypto Deposit","Buy","Transfer Deposit","DRIP","Airdrop/Rewards"}) *
        Transactions!$I$3:$I$114
    )
    - SUMPRODUCT(
        (Transactions!$D$3:$D$114=B133) *
        (Transactions!$H$3:$H$114={"Sell","Transfer Send","Cash Withdrawal","Crypto Withdrawal"}) *
        Transactions!$I$3:$I$114
    )
)</f>
        <v>388.91071578000003</v>
      </c>
      <c r="H133" s="1" cm="1">
        <f t="array" ref="H133">IF(ISBLANK(B133), "",
    SUMPRODUCT(
        (Transactions!$D$3:$D$139=B133) *
        (Transactions!$H$3:$H$139={"Cash Deposit","Crypto Deposit","Buy","Transfer Deposit","DRIP","Airdrop/Rewards"}) *
        Transactions!$I$3:$I$139
    )
    - SUMPRODUCT(
        (Transactions!$D$3:$D$139=B133) *
        (Transactions!$H$3:$H$139={"Sell","Transfer Send","Cash Withdrawal","Crypto Withdrawal"}) *
        Transactions!$I$3:$I$139
    )
)</f>
        <v>388.91071578000003</v>
      </c>
      <c r="I133" s="1" cm="1">
        <f t="array" ref="I133">IF(ISBLANK(B133), "",
    SUMPRODUCT(
        (Transactions!$D$3:$D$165=B133) *
        (Transactions!$H$3:$H$165={"Cash Deposit","Crypto Deposit","Buy","Transfer Deposit","DRIP","Airdrop/Rewards"}) *
        Transactions!$I$3:$I$165
    )
    - SUMPRODUCT(
        (Transactions!$D$3:$D$165=B133) *
        (Transactions!$H$3:$H$165={"Sell","Transfer Send","Cash Withdrawal","Crypto Withdrawal"}) *
        Transactions!$I$3:$I$165
    )
)</f>
        <v>388.91071578000003</v>
      </c>
      <c r="J133" s="1" cm="1">
        <f t="array" ref="J133">IF(ISBLANK(B133), "",
    SUMPRODUCT(
        (Transactions!$D$3:$D$174=B133) *
        (Transactions!$H$3:$H$174={"Cash Deposit","Crypto Deposit","Buy","Transfer Deposit","DRIP","Airdrop/Rewards"}) *
        Transactions!$I$3:$I$174
    )
    - SUMPRODUCT(
        (Transactions!$D$3:$D$174=B133) *
        (Transactions!$H$3:$H$174={"Sell","Transfer Send","Cash Withdrawal","Crypto Withdrawal"}) *
        Transactions!$I$3:$I$174
    )
)</f>
        <v>388.91071578000003</v>
      </c>
      <c r="K133" s="1" cm="1">
        <f t="array" ref="K133">IF(ISBLANK(B133), "",
    SUMPRODUCT(
        (Transactions!$D$3:$D$181=B133) *
        (Transactions!$H$3:$H$181={"Cash Deposit","Crypto Deposit","Buy","Transfer Deposit","DRIP","Airdrop/Rewards"}) *
        Transactions!$I$3:$I$181
    )
    - SUMPRODUCT(
        (Transactions!$D$3:$D$181=B133) *
        (Transactions!$H$3:$H$181={"Sell","Transfer Send","Cash Withdrawal","Crypto Withdrawal"}) *
        Transactions!$I$3:$I$181
    )
)</f>
        <v>388.91071578000003</v>
      </c>
      <c r="L133" s="1" cm="1">
        <f t="array" ref="L133">IF(ISBLANK(B133), "",
    SUMPRODUCT(
        (Transactions!$D$3:$D$185=B133) *
        (Transactions!$H$3:$H$185={"Cash Deposit","Crypto Deposit","Buy","Transfer Deposit","DRIP","Airdrop/Rewards"}) *
        Transactions!$I$3:$I$185
    )
    - SUMPRODUCT(
        (Transactions!$D$3:$D$185=B133) *
        (Transactions!$H$3:$H$185={"Sell","Transfer Send","Cash Withdrawal","Crypto Withdrawal"}) *
        Transactions!$I$3:$I$185
    )
)</f>
        <v>388.91071578000003</v>
      </c>
      <c r="M133" s="1" cm="1">
        <f t="array" ref="M133">IF(ISBLANK(B133), "",
    SUMPRODUCT(
        (Transactions!$D$3:$D$194=B133) *
        (Transactions!$H$3:$H$194={"Cash Deposit","Crypto Deposit","Buy","Transfer Deposit","DRIP","Airdrop/Rewards"}) *
        Transactions!$I$3:$I$194
    )
    - SUMPRODUCT(
        (Transactions!$D$3:$D$194=B133) *
        (Transactions!$H$3:$H$194={"Sell","Transfer Send","Cash Withdrawal","Crypto Withdrawal"}) *
        Transactions!$I$3:$I$194
    )
)</f>
        <v>388.91071578000003</v>
      </c>
      <c r="N133" s="1" cm="1">
        <f t="array" ref="N133">IF(ISBLANK(B133), "",
    SUMPRODUCT(
        (Transactions!$D$3:$D$201=B133) *
        (Transactions!$H$3:$H$201={"Cash Deposit","Crypto Deposit","Buy","Transfer Deposit","DRIP","Airdrop/Rewards"}) *
        Transactions!$I$3:$I$201
    )
    - SUMPRODUCT(
        (Transactions!$D$3:$D$201=B133) *
        (Transactions!$H$3:$H$201={"Sell","Transfer Send","Cash Withdrawal","Crypto Withdrawal"}) *
        Transactions!$I$3:$I$201
    )
)</f>
        <v>388.91071578000003</v>
      </c>
      <c r="O133" s="1" cm="1">
        <f t="array" ref="O133">IF(ISBLANK(B133), "",
    SUMPRODUCT(
        (Transactions!$D$3:$D$229=B133) *
        (Transactions!$H$3:$H$229={"Cash Deposit","Crypto Deposit","Buy","Transfer Deposit","DRIP","Airdrop/Rewards"}) *
        Transactions!$I$3:$I$229
    )
    - SUMPRODUCT(
        (Transactions!$D$3:$D$229=B133) *
        (Transactions!$H$3:$H$229={"Sell","Transfer Send","Cash Withdrawal","Crypto Withdrawal"}) *
        Transactions!$I$3:$I$229
    )
)</f>
        <v>388.91071578000003</v>
      </c>
      <c r="P133" s="1" cm="1">
        <f t="array" ref="P133">IF(ISBLANK(B133), "",
    SUMPRODUCT(
        (Transactions!$D$3:$D$305=B133) *
        (Transactions!$H$3:$H$305={"Cash Deposit","Crypto Deposit","Buy","Transfer Deposit","DRIP","Airdrop/Rewards"}) *
        Transactions!$I$3:$I$305
    )
    - SUMPRODUCT(
        (Transactions!$D$3:$D$305=B133) *
        (Transactions!$H$3:$H$305={"Sell","Transfer Send","Cash Withdrawal","Crypto Withdrawal"}) *
        Transactions!$I$3:$I$305
    )
)</f>
        <v>388.91071578000003</v>
      </c>
      <c r="Q133" s="1" cm="1">
        <f t="array" ref="Q133">IF(ISBLANK(B133), "",
    SUMPRODUCT(
        (Transactions!$D$3:$D$376=B133) *
        (Transactions!$H$3:$H$376={"Cash Deposit","Crypto Deposit","Buy","Transfer Deposit","DRIP","Airdrop/Rewards"}) *
        Transactions!$I$3:$I$376
    )
    - SUMPRODUCT(
        (Transactions!$D$3:$D$376=B133) *
        (Transactions!$H$3:$H$376={"Sell","Transfer Send","Cash Withdrawal","Crypto Withdrawal"}) *
        Transactions!$I$3:$I$376
    )
)</f>
        <v>388.91071578000003</v>
      </c>
      <c r="R133" s="1" cm="1">
        <f t="array" ref="R133">IF(ISBLANK(B133), "",
    SUMPRODUCT(
        (Transactions!$D$3:$D$1007=B133) *
        (Transactions!$H$3:$H$1007={"Cash Deposit","Crypto Deposit","Buy","Transfer Deposit","DRIP","Airdrop/Rewards"}) *
        Transactions!$I$3:$I$1007
    )
    - SUMPRODUCT(
        (Transactions!$D$3:$D$1007=B133) *
        (Transactions!$H$3:$H$1007={"Sell","Transfer Send","Cash Withdrawal","Crypto Withdrawal"}) *
        Transactions!$I$3:$I$1007
    )
)</f>
        <v>388.91071578000003</v>
      </c>
    </row>
    <row r="134" spans="1:18">
      <c r="A134" s="1" t="str">
        <v>NFP</v>
      </c>
      <c r="B134" s="1" t="s">
        <v>370</v>
      </c>
      <c r="C134" s="1" cm="1">
        <f t="array" ref="C134">IF(ISBLANK(B134), "",
    SUMPRODUCT(
        (Transactions!$D$3:$D$74=B134) *
        (Transactions!$H$3:$H$74={"Cash Deposit","Crypto Deposit","Buy","Transfer Deposit","DRIP","Airdrop/Rewards"}) *
        Transactions!$I$3:$I$74
    )
    - SUMPRODUCT(
        (Transactions!$D$3:$D$74=B134) *
        (Transactions!$H$3:$H$74={"Sell","Transfer Send","Cash Withdrawal","Crypto Withdrawal"}) *
        Transactions!$I$3:$I$74
    )
)</f>
        <v>0</v>
      </c>
      <c r="D134" s="1" cm="1">
        <f t="array" ref="D134">IF(ISBLANK(B134), "",
    SUMPRODUCT(
        (Transactions!$D$3:$D$76=B134) *
        (Transactions!$H$3:$H$76={"Cash Deposit","Crypto Deposit","Buy","Transfer Deposit","DRIP","Airdrop/Rewards"}) *
        Transactions!$I$3:$I$76
    )
    - SUMPRODUCT(
        (Transactions!$D$3:$D$76=B134) *
        (Transactions!$H$3:$H$76={"Sell","Transfer Send","Cash Withdrawal","Crypto Withdrawal"}) *
        Transactions!$I$3:$I$76
    )
)</f>
        <v>0</v>
      </c>
      <c r="E134" s="1" cm="1">
        <f t="array" ref="E134">IF(ISBLANK(B134), "",
    SUMPRODUCT(
        (Transactions!$D$3:$D$83=B134) *
        (Transactions!$H$3:$H$83={"Cash Deposit","Crypto Deposit","Buy","Transfer Deposit","DRIP","Airdrop/Rewards"}) *
        Transactions!$I$3:$I$83
    )
    - SUMPRODUCT(
        (Transactions!$D$3:$D$83=B134) *
        (Transactions!$H$3:$H$83={"Sell","Transfer Send","Cash Withdrawal","Crypto Withdrawal"}) *
        Transactions!$I$3:$I$83
    )
)</f>
        <v>0</v>
      </c>
      <c r="F134" s="1" cm="1">
        <f t="array" ref="F134">IF(ISBLANK(B134), "",
    SUMPRODUCT(
        (Transactions!$D$3:$D$98=B134) *
        (Transactions!$H$3:$H$98={"Cash Deposit","Crypto Deposit","Buy","Transfer Deposit","DRIP","Airdrop/Rewards"}) *
        Transactions!$I$3:$I$98
    )
    - SUMPRODUCT(
        (Transactions!$D$3:$D$98=B134) *
        (Transactions!$H$3:$H$98={"Sell","Transfer Send","Cash Withdrawal","Crypto Withdrawal"}) *
        Transactions!$I$3:$I$98
    )
)</f>
        <v>0</v>
      </c>
      <c r="G134" s="1" cm="1">
        <f t="array" ref="G134">IF(ISBLANK(B134), "",
    SUMPRODUCT(
        (Transactions!$D$3:$D$114=B134) *
        (Transactions!$H$3:$H$114={"Cash Deposit","Crypto Deposit","Buy","Transfer Deposit","DRIP","Airdrop/Rewards"}) *
        Transactions!$I$3:$I$114
    )
    - SUMPRODUCT(
        (Transactions!$D$3:$D$114=B134) *
        (Transactions!$H$3:$H$114={"Sell","Transfer Send","Cash Withdrawal","Crypto Withdrawal"}) *
        Transactions!$I$3:$I$114
    )
)</f>
        <v>0</v>
      </c>
      <c r="H134" s="1" cm="1">
        <f t="array" ref="H134">IF(ISBLANK(B134), "",
    SUMPRODUCT(
        (Transactions!$D$3:$D$139=B134) *
        (Transactions!$H$3:$H$139={"Cash Deposit","Crypto Deposit","Buy","Transfer Deposit","DRIP","Airdrop/Rewards"}) *
        Transactions!$I$3:$I$139
    )
    - SUMPRODUCT(
        (Transactions!$D$3:$D$139=B134) *
        (Transactions!$H$3:$H$139={"Sell","Transfer Send","Cash Withdrawal","Crypto Withdrawal"}) *
        Transactions!$I$3:$I$139
    )
)</f>
        <v>0</v>
      </c>
      <c r="I134" s="1" cm="1">
        <f t="array" ref="I134">IF(ISBLANK(B134), "",
    SUMPRODUCT(
        (Transactions!$D$3:$D$165=B134) *
        (Transactions!$H$3:$H$165={"Cash Deposit","Crypto Deposit","Buy","Transfer Deposit","DRIP","Airdrop/Rewards"}) *
        Transactions!$I$3:$I$165
    )
    - SUMPRODUCT(
        (Transactions!$D$3:$D$165=B134) *
        (Transactions!$H$3:$H$165={"Sell","Transfer Send","Cash Withdrawal","Crypto Withdrawal"}) *
        Transactions!$I$3:$I$165
    )
)</f>
        <v>0</v>
      </c>
      <c r="J134" s="1" cm="1">
        <f t="array" ref="J134">IF(ISBLANK(B134), "",
    SUMPRODUCT(
        (Transactions!$D$3:$D$174=B134) *
        (Transactions!$H$3:$H$174={"Cash Deposit","Crypto Deposit","Buy","Transfer Deposit","DRIP","Airdrop/Rewards"}) *
        Transactions!$I$3:$I$174
    )
    - SUMPRODUCT(
        (Transactions!$D$3:$D$174=B134) *
        (Transactions!$H$3:$H$174={"Sell","Transfer Send","Cash Withdrawal","Crypto Withdrawal"}) *
        Transactions!$I$3:$I$174
    )
)</f>
        <v>0</v>
      </c>
      <c r="K134" s="1" cm="1">
        <f t="array" ref="K134">IF(ISBLANK(B134), "",
    SUMPRODUCT(
        (Transactions!$D$3:$D$181=B134) *
        (Transactions!$H$3:$H$181={"Cash Deposit","Crypto Deposit","Buy","Transfer Deposit","DRIP","Airdrop/Rewards"}) *
        Transactions!$I$3:$I$181
    )
    - SUMPRODUCT(
        (Transactions!$D$3:$D$181=B134) *
        (Transactions!$H$3:$H$181={"Sell","Transfer Send","Cash Withdrawal","Crypto Withdrawal"}) *
        Transactions!$I$3:$I$181
    )
)</f>
        <v>0</v>
      </c>
      <c r="L134" s="1" cm="1">
        <f t="array" ref="L134">IF(ISBLANK(B134), "",
    SUMPRODUCT(
        (Transactions!$D$3:$D$185=B134) *
        (Transactions!$H$3:$H$185={"Cash Deposit","Crypto Deposit","Buy","Transfer Deposit","DRIP","Airdrop/Rewards"}) *
        Transactions!$I$3:$I$185
    )
    - SUMPRODUCT(
        (Transactions!$D$3:$D$185=B134) *
        (Transactions!$H$3:$H$185={"Sell","Transfer Send","Cash Withdrawal","Crypto Withdrawal"}) *
        Transactions!$I$3:$I$185
    )
)</f>
        <v>0</v>
      </c>
      <c r="M134" s="1" cm="1">
        <f t="array" ref="M134">IF(ISBLANK(B134), "",
    SUMPRODUCT(
        (Transactions!$D$3:$D$194=B134) *
        (Transactions!$H$3:$H$194={"Cash Deposit","Crypto Deposit","Buy","Transfer Deposit","DRIP","Airdrop/Rewards"}) *
        Transactions!$I$3:$I$194
    )
    - SUMPRODUCT(
        (Transactions!$D$3:$D$194=B134) *
        (Transactions!$H$3:$H$194={"Sell","Transfer Send","Cash Withdrawal","Crypto Withdrawal"}) *
        Transactions!$I$3:$I$194
    )
)</f>
        <v>0</v>
      </c>
      <c r="N134" s="1" cm="1">
        <f t="array" ref="N134">IF(ISBLANK(B134), "",
    SUMPRODUCT(
        (Transactions!$D$3:$D$201=B134) *
        (Transactions!$H$3:$H$201={"Cash Deposit","Crypto Deposit","Buy","Transfer Deposit","DRIP","Airdrop/Rewards"}) *
        Transactions!$I$3:$I$201
    )
    - SUMPRODUCT(
        (Transactions!$D$3:$D$201=B134) *
        (Transactions!$H$3:$H$201={"Sell","Transfer Send","Cash Withdrawal","Crypto Withdrawal"}) *
        Transactions!$I$3:$I$201
    )
)</f>
        <v>0</v>
      </c>
      <c r="O134" s="1" cm="1">
        <f t="array" ref="O134">IF(ISBLANK(B134), "",
    SUMPRODUCT(
        (Transactions!$D$3:$D$229=B134) *
        (Transactions!$H$3:$H$229={"Cash Deposit","Crypto Deposit","Buy","Transfer Deposit","DRIP","Airdrop/Rewards"}) *
        Transactions!$I$3:$I$229
    )
    - SUMPRODUCT(
        (Transactions!$D$3:$D$229=B134) *
        (Transactions!$H$3:$H$229={"Sell","Transfer Send","Cash Withdrawal","Crypto Withdrawal"}) *
        Transactions!$I$3:$I$229
    )
)</f>
        <v>0</v>
      </c>
      <c r="P134" s="1" cm="1">
        <f t="array" ref="P134">IF(ISBLANK(B134), "",
    SUMPRODUCT(
        (Transactions!$D$3:$D$305=B134) *
        (Transactions!$H$3:$H$305={"Cash Deposit","Crypto Deposit","Buy","Transfer Deposit","DRIP","Airdrop/Rewards"}) *
        Transactions!$I$3:$I$305
    )
    - SUMPRODUCT(
        (Transactions!$D$3:$D$305=B134) *
        (Transactions!$H$3:$H$305={"Sell","Transfer Send","Cash Withdrawal","Crypto Withdrawal"}) *
        Transactions!$I$3:$I$305
    )
)</f>
        <v>0</v>
      </c>
      <c r="Q134" s="1" cm="1">
        <f t="array" ref="Q134">IF(ISBLANK(B134), "",
    SUMPRODUCT(
        (Transactions!$D$3:$D$376=B134) *
        (Transactions!$H$3:$H$376={"Cash Deposit","Crypto Deposit","Buy","Transfer Deposit","DRIP","Airdrop/Rewards"}) *
        Transactions!$I$3:$I$376
    )
    - SUMPRODUCT(
        (Transactions!$D$3:$D$376=B134) *
        (Transactions!$H$3:$H$376={"Sell","Transfer Send","Cash Withdrawal","Crypto Withdrawal"}) *
        Transactions!$I$3:$I$376
    )
)</f>
        <v>0</v>
      </c>
      <c r="R134" s="1" cm="1">
        <f t="array" ref="R134">IF(ISBLANK(B134), "",
    SUMPRODUCT(
        (Transactions!$D$3:$D$1007=B134) *
        (Transactions!$H$3:$H$1007={"Cash Deposit","Crypto Deposit","Buy","Transfer Deposit","DRIP","Airdrop/Rewards"}) *
        Transactions!$I$3:$I$1007
    )
    - SUMPRODUCT(
        (Transactions!$D$3:$D$1007=B134) *
        (Transactions!$H$3:$H$1007={"Sell","Transfer Send","Cash Withdrawal","Crypto Withdrawal"}) *
        Transactions!$I$3:$I$1007
    )
)</f>
        <v>0</v>
      </c>
    </row>
    <row r="135" spans="1:18">
      <c r="A135" s="1" t="str">
        <v>NTRN</v>
      </c>
      <c r="B135" s="1" t="s">
        <v>351</v>
      </c>
      <c r="C135" s="1" cm="1">
        <f t="array" ref="C135">IF(ISBLANK(B135), "",
    SUMPRODUCT(
        (Transactions!$D$3:$D$74=B135) *
        (Transactions!$H$3:$H$74={"Cash Deposit","Crypto Deposit","Buy","Transfer Deposit","DRIP","Airdrop/Rewards"}) *
        Transactions!$I$3:$I$74
    )
    - SUMPRODUCT(
        (Transactions!$D$3:$D$74=B135) *
        (Transactions!$H$3:$H$74={"Sell","Transfer Send","Cash Withdrawal","Crypto Withdrawal"}) *
        Transactions!$I$3:$I$74
    )
)</f>
        <v>0</v>
      </c>
      <c r="D135" s="1" cm="1">
        <f t="array" ref="D135">IF(ISBLANK(B135), "",
    SUMPRODUCT(
        (Transactions!$D$3:$D$76=B135) *
        (Transactions!$H$3:$H$76={"Cash Deposit","Crypto Deposit","Buy","Transfer Deposit","DRIP","Airdrop/Rewards"}) *
        Transactions!$I$3:$I$76
    )
    - SUMPRODUCT(
        (Transactions!$D$3:$D$76=B135) *
        (Transactions!$H$3:$H$76={"Sell","Transfer Send","Cash Withdrawal","Crypto Withdrawal"}) *
        Transactions!$I$3:$I$76
    )
)</f>
        <v>0</v>
      </c>
      <c r="E135" s="1" cm="1">
        <f t="array" ref="E135">IF(ISBLANK(B135), "",
    SUMPRODUCT(
        (Transactions!$D$3:$D$83=B135) *
        (Transactions!$H$3:$H$83={"Cash Deposit","Crypto Deposit","Buy","Transfer Deposit","DRIP","Airdrop/Rewards"}) *
        Transactions!$I$3:$I$83
    )
    - SUMPRODUCT(
        (Transactions!$D$3:$D$83=B135) *
        (Transactions!$H$3:$H$83={"Sell","Transfer Send","Cash Withdrawal","Crypto Withdrawal"}) *
        Transactions!$I$3:$I$83
    )
)</f>
        <v>0</v>
      </c>
      <c r="F135" s="1" cm="1">
        <f t="array" ref="F135">IF(ISBLANK(B135), "",
    SUMPRODUCT(
        (Transactions!$D$3:$D$98=B135) *
        (Transactions!$H$3:$H$98={"Cash Deposit","Crypto Deposit","Buy","Transfer Deposit","DRIP","Airdrop/Rewards"}) *
        Transactions!$I$3:$I$98
    )
    - SUMPRODUCT(
        (Transactions!$D$3:$D$98=B135) *
        (Transactions!$H$3:$H$98={"Sell","Transfer Send","Cash Withdrawal","Crypto Withdrawal"}) *
        Transactions!$I$3:$I$98
    )
)</f>
        <v>0</v>
      </c>
      <c r="G135" s="1" cm="1">
        <f t="array" ref="G135">IF(ISBLANK(B135), "",
    SUMPRODUCT(
        (Transactions!$D$3:$D$114=B135) *
        (Transactions!$H$3:$H$114={"Cash Deposit","Crypto Deposit","Buy","Transfer Deposit","DRIP","Airdrop/Rewards"}) *
        Transactions!$I$3:$I$114
    )
    - SUMPRODUCT(
        (Transactions!$D$3:$D$114=B135) *
        (Transactions!$H$3:$H$114={"Sell","Transfer Send","Cash Withdrawal","Crypto Withdrawal"}) *
        Transactions!$I$3:$I$114
    )
)</f>
        <v>0</v>
      </c>
      <c r="H135" s="1" cm="1">
        <f t="array" ref="H135">IF(ISBLANK(B135), "",
    SUMPRODUCT(
        (Transactions!$D$3:$D$139=B135) *
        (Transactions!$H$3:$H$139={"Cash Deposit","Crypto Deposit","Buy","Transfer Deposit","DRIP","Airdrop/Rewards"}) *
        Transactions!$I$3:$I$139
    )
    - SUMPRODUCT(
        (Transactions!$D$3:$D$139=B135) *
        (Transactions!$H$3:$H$139={"Sell","Transfer Send","Cash Withdrawal","Crypto Withdrawal"}) *
        Transactions!$I$3:$I$139
    )
)</f>
        <v>0</v>
      </c>
      <c r="I135" s="1" cm="1">
        <f t="array" ref="I135">IF(ISBLANK(B135), "",
    SUMPRODUCT(
        (Transactions!$D$3:$D$165=B135) *
        (Transactions!$H$3:$H$165={"Cash Deposit","Crypto Deposit","Buy","Transfer Deposit","DRIP","Airdrop/Rewards"}) *
        Transactions!$I$3:$I$165
    )
    - SUMPRODUCT(
        (Transactions!$D$3:$D$165=B135) *
        (Transactions!$H$3:$H$165={"Sell","Transfer Send","Cash Withdrawal","Crypto Withdrawal"}) *
        Transactions!$I$3:$I$165
    )
)</f>
        <v>0</v>
      </c>
      <c r="J135" s="1" cm="1">
        <f t="array" ref="J135">IF(ISBLANK(B135), "",
    SUMPRODUCT(
        (Transactions!$D$3:$D$174=B135) *
        (Transactions!$H$3:$H$174={"Cash Deposit","Crypto Deposit","Buy","Transfer Deposit","DRIP","Airdrop/Rewards"}) *
        Transactions!$I$3:$I$174
    )
    - SUMPRODUCT(
        (Transactions!$D$3:$D$174=B135) *
        (Transactions!$H$3:$H$174={"Sell","Transfer Send","Cash Withdrawal","Crypto Withdrawal"}) *
        Transactions!$I$3:$I$174
    )
)</f>
        <v>0</v>
      </c>
      <c r="K135" s="1" cm="1">
        <f t="array" ref="K135">IF(ISBLANK(B135), "",
    SUMPRODUCT(
        (Transactions!$D$3:$D$181=B135) *
        (Transactions!$H$3:$H$181={"Cash Deposit","Crypto Deposit","Buy","Transfer Deposit","DRIP","Airdrop/Rewards"}) *
        Transactions!$I$3:$I$181
    )
    - SUMPRODUCT(
        (Transactions!$D$3:$D$181=B135) *
        (Transactions!$H$3:$H$181={"Sell","Transfer Send","Cash Withdrawal","Crypto Withdrawal"}) *
        Transactions!$I$3:$I$181
    )
)</f>
        <v>0</v>
      </c>
      <c r="L135" s="1" cm="1">
        <f t="array" ref="L135">IF(ISBLANK(B135), "",
    SUMPRODUCT(
        (Transactions!$D$3:$D$185=B135) *
        (Transactions!$H$3:$H$185={"Cash Deposit","Crypto Deposit","Buy","Transfer Deposit","DRIP","Airdrop/Rewards"}) *
        Transactions!$I$3:$I$185
    )
    - SUMPRODUCT(
        (Transactions!$D$3:$D$185=B135) *
        (Transactions!$H$3:$H$185={"Sell","Transfer Send","Cash Withdrawal","Crypto Withdrawal"}) *
        Transactions!$I$3:$I$185
    )
)</f>
        <v>0</v>
      </c>
      <c r="M135" s="1" cm="1">
        <f t="array" ref="M135">IF(ISBLANK(B135), "",
    SUMPRODUCT(
        (Transactions!$D$3:$D$194=B135) *
        (Transactions!$H$3:$H$194={"Cash Deposit","Crypto Deposit","Buy","Transfer Deposit","DRIP","Airdrop/Rewards"}) *
        Transactions!$I$3:$I$194
    )
    - SUMPRODUCT(
        (Transactions!$D$3:$D$194=B135) *
        (Transactions!$H$3:$H$194={"Sell","Transfer Send","Cash Withdrawal","Crypto Withdrawal"}) *
        Transactions!$I$3:$I$194
    )
)</f>
        <v>0</v>
      </c>
      <c r="N135" s="1" cm="1">
        <f t="array" ref="N135">IF(ISBLANK(B135), "",
    SUMPRODUCT(
        (Transactions!$D$3:$D$201=B135) *
        (Transactions!$H$3:$H$201={"Cash Deposit","Crypto Deposit","Buy","Transfer Deposit","DRIP","Airdrop/Rewards"}) *
        Transactions!$I$3:$I$201
    )
    - SUMPRODUCT(
        (Transactions!$D$3:$D$201=B135) *
        (Transactions!$H$3:$H$201={"Sell","Transfer Send","Cash Withdrawal","Crypto Withdrawal"}) *
        Transactions!$I$3:$I$201
    )
)</f>
        <v>0</v>
      </c>
      <c r="O135" s="1" cm="1">
        <f t="array" ref="O135">IF(ISBLANK(B135), "",
    SUMPRODUCT(
        (Transactions!$D$3:$D$229=B135) *
        (Transactions!$H$3:$H$229={"Cash Deposit","Crypto Deposit","Buy","Transfer Deposit","DRIP","Airdrop/Rewards"}) *
        Transactions!$I$3:$I$229
    )
    - SUMPRODUCT(
        (Transactions!$D$3:$D$229=B135) *
        (Transactions!$H$3:$H$229={"Sell","Transfer Send","Cash Withdrawal","Crypto Withdrawal"}) *
        Transactions!$I$3:$I$229
    )
)</f>
        <v>0</v>
      </c>
      <c r="P135" s="1" cm="1">
        <f t="array" ref="P135">IF(ISBLANK(B135), "",
    SUMPRODUCT(
        (Transactions!$D$3:$D$305=B135) *
        (Transactions!$H$3:$H$305={"Cash Deposit","Crypto Deposit","Buy","Transfer Deposit","DRIP","Airdrop/Rewards"}) *
        Transactions!$I$3:$I$305
    )
    - SUMPRODUCT(
        (Transactions!$D$3:$D$305=B135) *
        (Transactions!$H$3:$H$305={"Sell","Transfer Send","Cash Withdrawal","Crypto Withdrawal"}) *
        Transactions!$I$3:$I$305
    )
)</f>
        <v>99.9</v>
      </c>
      <c r="Q135" s="1" cm="1">
        <f t="array" ref="Q135">IF(ISBLANK(B135), "",
    SUMPRODUCT(
        (Transactions!$D$3:$D$376=B135) *
        (Transactions!$H$3:$H$376={"Cash Deposit","Crypto Deposit","Buy","Transfer Deposit","DRIP","Airdrop/Rewards"}) *
        Transactions!$I$3:$I$376
    )
    - SUMPRODUCT(
        (Transactions!$D$3:$D$376=B135) *
        (Transactions!$H$3:$H$376={"Sell","Transfer Send","Cash Withdrawal","Crypto Withdrawal"}) *
        Transactions!$I$3:$I$376
    )
)</f>
        <v>269.89999999999998</v>
      </c>
      <c r="R135" s="1" cm="1">
        <f t="array" ref="R135">IF(ISBLANK(B135), "",
    SUMPRODUCT(
        (Transactions!$D$3:$D$1007=B135) *
        (Transactions!$H$3:$H$1007={"Cash Deposit","Crypto Deposit","Buy","Transfer Deposit","DRIP","Airdrop/Rewards"}) *
        Transactions!$I$3:$I$1007
    )
    - SUMPRODUCT(
        (Transactions!$D$3:$D$1007=B135) *
        (Transactions!$H$3:$H$1007={"Sell","Transfer Send","Cash Withdrawal","Crypto Withdrawal"}) *
        Transactions!$I$3:$I$1007
    )
)</f>
        <v>269.89999999999998</v>
      </c>
    </row>
    <row r="136" spans="1:18">
      <c r="A136" s="1" t="str">
        <v>OP</v>
      </c>
      <c r="B136" s="1" t="s">
        <v>53</v>
      </c>
      <c r="C136" s="1" cm="1">
        <f t="array" ref="C136">IF(ISBLANK(B136), "",
    SUMPRODUCT(
        (Transactions!$D$3:$D$74=B136) *
        (Transactions!$H$3:$H$74={"Cash Deposit","Crypto Deposit","Buy","Transfer Deposit","DRIP","Airdrop/Rewards"}) *
        Transactions!$I$3:$I$74
    )
    - SUMPRODUCT(
        (Transactions!$D$3:$D$74=B136) *
        (Transactions!$H$3:$H$74={"Sell","Transfer Send","Cash Withdrawal","Crypto Withdrawal"}) *
        Transactions!$I$3:$I$74
    )
)</f>
        <v>55.93</v>
      </c>
      <c r="D136" s="1" cm="1">
        <f t="array" ref="D136">IF(ISBLANK(B136), "",
    SUMPRODUCT(
        (Transactions!$D$3:$D$76=B136) *
        (Transactions!$H$3:$H$76={"Cash Deposit","Crypto Deposit","Buy","Transfer Deposit","DRIP","Airdrop/Rewards"}) *
        Transactions!$I$3:$I$76
    )
    - SUMPRODUCT(
        (Transactions!$D$3:$D$76=B136) *
        (Transactions!$H$3:$H$76={"Sell","Transfer Send","Cash Withdrawal","Crypto Withdrawal"}) *
        Transactions!$I$3:$I$76
    )
)</f>
        <v>55.93</v>
      </c>
      <c r="E136" s="1" cm="1">
        <f t="array" ref="E136">IF(ISBLANK(B136), "",
    SUMPRODUCT(
        (Transactions!$D$3:$D$83=B136) *
        (Transactions!$H$3:$H$83={"Cash Deposit","Crypto Deposit","Buy","Transfer Deposit","DRIP","Airdrop/Rewards"}) *
        Transactions!$I$3:$I$83
    )
    - SUMPRODUCT(
        (Transactions!$D$3:$D$83=B136) *
        (Transactions!$H$3:$H$83={"Sell","Transfer Send","Cash Withdrawal","Crypto Withdrawal"}) *
        Transactions!$I$3:$I$83
    )
)</f>
        <v>55.93</v>
      </c>
      <c r="F136" s="1" cm="1">
        <f t="array" ref="F136">IF(ISBLANK(B136), "",
    SUMPRODUCT(
        (Transactions!$D$3:$D$98=B136) *
        (Transactions!$H$3:$H$98={"Cash Deposit","Crypto Deposit","Buy","Transfer Deposit","DRIP","Airdrop/Rewards"}) *
        Transactions!$I$3:$I$98
    )
    - SUMPRODUCT(
        (Transactions!$D$3:$D$98=B136) *
        (Transactions!$H$3:$H$98={"Sell","Transfer Send","Cash Withdrawal","Crypto Withdrawal"}) *
        Transactions!$I$3:$I$98
    )
)</f>
        <v>55.93</v>
      </c>
      <c r="G136" s="1" cm="1">
        <f t="array" ref="G136">IF(ISBLANK(B136), "",
    SUMPRODUCT(
        (Transactions!$D$3:$D$114=B136) *
        (Transactions!$H$3:$H$114={"Cash Deposit","Crypto Deposit","Buy","Transfer Deposit","DRIP","Airdrop/Rewards"}) *
        Transactions!$I$3:$I$114
    )
    - SUMPRODUCT(
        (Transactions!$D$3:$D$114=B136) *
        (Transactions!$H$3:$H$114={"Sell","Transfer Send","Cash Withdrawal","Crypto Withdrawal"}) *
        Transactions!$I$3:$I$114
    )
)</f>
        <v>55.93</v>
      </c>
      <c r="H136" s="1" cm="1">
        <f t="array" ref="H136">IF(ISBLANK(B136), "",
    SUMPRODUCT(
        (Transactions!$D$3:$D$139=B136) *
        (Transactions!$H$3:$H$139={"Cash Deposit","Crypto Deposit","Buy","Transfer Deposit","DRIP","Airdrop/Rewards"}) *
        Transactions!$I$3:$I$139
    )
    - SUMPRODUCT(
        (Transactions!$D$3:$D$139=B136) *
        (Transactions!$H$3:$H$139={"Sell","Transfer Send","Cash Withdrawal","Crypto Withdrawal"}) *
        Transactions!$I$3:$I$139
    )
)</f>
        <v>55.93</v>
      </c>
      <c r="I136" s="1" cm="1">
        <f t="array" ref="I136">IF(ISBLANK(B136), "",
    SUMPRODUCT(
        (Transactions!$D$3:$D$165=B136) *
        (Transactions!$H$3:$H$165={"Cash Deposit","Crypto Deposit","Buy","Transfer Deposit","DRIP","Airdrop/Rewards"}) *
        Transactions!$I$3:$I$165
    )
    - SUMPRODUCT(
        (Transactions!$D$3:$D$165=B136) *
        (Transactions!$H$3:$H$165={"Sell","Transfer Send","Cash Withdrawal","Crypto Withdrawal"}) *
        Transactions!$I$3:$I$165
    )
)</f>
        <v>55.93</v>
      </c>
      <c r="J136" s="1" cm="1">
        <f t="array" ref="J136">IF(ISBLANK(B136), "",
    SUMPRODUCT(
        (Transactions!$D$3:$D$174=B136) *
        (Transactions!$H$3:$H$174={"Cash Deposit","Crypto Deposit","Buy","Transfer Deposit","DRIP","Airdrop/Rewards"}) *
        Transactions!$I$3:$I$174
    )
    - SUMPRODUCT(
        (Transactions!$D$3:$D$174=B136) *
        (Transactions!$H$3:$H$174={"Sell","Transfer Send","Cash Withdrawal","Crypto Withdrawal"}) *
        Transactions!$I$3:$I$174
    )
)</f>
        <v>55.93</v>
      </c>
      <c r="K136" s="1" cm="1">
        <f t="array" ref="K136">IF(ISBLANK(B136), "",
    SUMPRODUCT(
        (Transactions!$D$3:$D$181=B136) *
        (Transactions!$H$3:$H$181={"Cash Deposit","Crypto Deposit","Buy","Transfer Deposit","DRIP","Airdrop/Rewards"}) *
        Transactions!$I$3:$I$181
    )
    - SUMPRODUCT(
        (Transactions!$D$3:$D$181=B136) *
        (Transactions!$H$3:$H$181={"Sell","Transfer Send","Cash Withdrawal","Crypto Withdrawal"}) *
        Transactions!$I$3:$I$181
    )
)</f>
        <v>55.93</v>
      </c>
      <c r="L136" s="1" cm="1">
        <f t="array" ref="L136">IF(ISBLANK(B136), "",
    SUMPRODUCT(
        (Transactions!$D$3:$D$185=B136) *
        (Transactions!$H$3:$H$185={"Cash Deposit","Crypto Deposit","Buy","Transfer Deposit","DRIP","Airdrop/Rewards"}) *
        Transactions!$I$3:$I$185
    )
    - SUMPRODUCT(
        (Transactions!$D$3:$D$185=B136) *
        (Transactions!$H$3:$H$185={"Sell","Transfer Send","Cash Withdrawal","Crypto Withdrawal"}) *
        Transactions!$I$3:$I$185
    )
)</f>
        <v>55.93</v>
      </c>
      <c r="M136" s="1" cm="1">
        <f t="array" ref="M136">IF(ISBLANK(B136), "",
    SUMPRODUCT(
        (Transactions!$D$3:$D$194=B136) *
        (Transactions!$H$3:$H$194={"Cash Deposit","Crypto Deposit","Buy","Transfer Deposit","DRIP","Airdrop/Rewards"}) *
        Transactions!$I$3:$I$194
    )
    - SUMPRODUCT(
        (Transactions!$D$3:$D$194=B136) *
        (Transactions!$H$3:$H$194={"Sell","Transfer Send","Cash Withdrawal","Crypto Withdrawal"}) *
        Transactions!$I$3:$I$194
    )
)</f>
        <v>55.93</v>
      </c>
      <c r="N136" s="1" cm="1">
        <f t="array" ref="N136">IF(ISBLANK(B136), "",
    SUMPRODUCT(
        (Transactions!$D$3:$D$201=B136) *
        (Transactions!$H$3:$H$201={"Cash Deposit","Crypto Deposit","Buy","Transfer Deposit","DRIP","Airdrop/Rewards"}) *
        Transactions!$I$3:$I$201
    )
    - SUMPRODUCT(
        (Transactions!$D$3:$D$201=B136) *
        (Transactions!$H$3:$H$201={"Sell","Transfer Send","Cash Withdrawal","Crypto Withdrawal"}) *
        Transactions!$I$3:$I$201
    )
)</f>
        <v>55.93</v>
      </c>
      <c r="O136" s="1" cm="1">
        <f t="array" ref="O136">IF(ISBLANK(B136), "",
    SUMPRODUCT(
        (Transactions!$D$3:$D$229=B136) *
        (Transactions!$H$3:$H$229={"Cash Deposit","Crypto Deposit","Buy","Transfer Deposit","DRIP","Airdrop/Rewards"}) *
        Transactions!$I$3:$I$229
    )
    - SUMPRODUCT(
        (Transactions!$D$3:$D$229=B136) *
        (Transactions!$H$3:$H$229={"Sell","Transfer Send","Cash Withdrawal","Crypto Withdrawal"}) *
        Transactions!$I$3:$I$229
    )
)</f>
        <v>55.93</v>
      </c>
      <c r="P136" s="1" cm="1">
        <f t="array" ref="P136">IF(ISBLANK(B136), "",
    SUMPRODUCT(
        (Transactions!$D$3:$D$305=B136) *
        (Transactions!$H$3:$H$305={"Cash Deposit","Crypto Deposit","Buy","Transfer Deposit","DRIP","Airdrop/Rewards"}) *
        Transactions!$I$3:$I$305
    )
    - SUMPRODUCT(
        (Transactions!$D$3:$D$305=B136) *
        (Transactions!$H$3:$H$305={"Sell","Transfer Send","Cash Withdrawal","Crypto Withdrawal"}) *
        Transactions!$I$3:$I$305
    )
)</f>
        <v>55.93</v>
      </c>
      <c r="Q136" s="1" cm="1">
        <f t="array" ref="Q136">IF(ISBLANK(B136), "",
    SUMPRODUCT(
        (Transactions!$D$3:$D$376=B136) *
        (Transactions!$H$3:$H$376={"Cash Deposit","Crypto Deposit","Buy","Transfer Deposit","DRIP","Airdrop/Rewards"}) *
        Transactions!$I$3:$I$376
    )
    - SUMPRODUCT(
        (Transactions!$D$3:$D$376=B136) *
        (Transactions!$H$3:$H$376={"Sell","Transfer Send","Cash Withdrawal","Crypto Withdrawal"}) *
        Transactions!$I$3:$I$376
    )
)</f>
        <v>55.93</v>
      </c>
      <c r="R136" s="1" cm="1">
        <f t="array" ref="R136">IF(ISBLANK(B136), "",
    SUMPRODUCT(
        (Transactions!$D$3:$D$1007=B136) *
        (Transactions!$H$3:$H$1007={"Cash Deposit","Crypto Deposit","Buy","Transfer Deposit","DRIP","Airdrop/Rewards"}) *
        Transactions!$I$3:$I$1007
    )
    - SUMPRODUCT(
        (Transactions!$D$3:$D$1007=B136) *
        (Transactions!$H$3:$H$1007={"Sell","Transfer Send","Cash Withdrawal","Crypto Withdrawal"}) *
        Transactions!$I$3:$I$1007
    )
)</f>
        <v>55.93</v>
      </c>
    </row>
    <row r="137" spans="1:18">
      <c r="A137" s="1" t="str">
        <v>OSMO</v>
      </c>
      <c r="B137" s="1" t="s">
        <v>56</v>
      </c>
      <c r="C137" s="1" cm="1">
        <f t="array" ref="C137">IF(ISBLANK(B137), "",
    SUMPRODUCT(
        (Transactions!$D$3:$D$74=B137) *
        (Transactions!$H$3:$H$74={"Cash Deposit","Crypto Deposit","Buy","Transfer Deposit","DRIP","Airdrop/Rewards"}) *
        Transactions!$I$3:$I$74
    )
    - SUMPRODUCT(
        (Transactions!$D$3:$D$74=B137) *
        (Transactions!$H$3:$H$74={"Sell","Transfer Send","Cash Withdrawal","Crypto Withdrawal"}) *
        Transactions!$I$3:$I$74
    )
)</f>
        <v>567.5</v>
      </c>
      <c r="D137" s="1" cm="1">
        <f t="array" ref="D137">IF(ISBLANK(B137), "",
    SUMPRODUCT(
        (Transactions!$D$3:$D$76=B137) *
        (Transactions!$H$3:$H$76={"Cash Deposit","Crypto Deposit","Buy","Transfer Deposit","DRIP","Airdrop/Rewards"}) *
        Transactions!$I$3:$I$76
    )
    - SUMPRODUCT(
        (Transactions!$D$3:$D$76=B137) *
        (Transactions!$H$3:$H$76={"Sell","Transfer Send","Cash Withdrawal","Crypto Withdrawal"}) *
        Transactions!$I$3:$I$76
    )
)</f>
        <v>567.5</v>
      </c>
      <c r="E137" s="1" cm="1">
        <f t="array" ref="E137">IF(ISBLANK(B137), "",
    SUMPRODUCT(
        (Transactions!$D$3:$D$83=B137) *
        (Transactions!$H$3:$H$83={"Cash Deposit","Crypto Deposit","Buy","Transfer Deposit","DRIP","Airdrop/Rewards"}) *
        Transactions!$I$3:$I$83
    )
    - SUMPRODUCT(
        (Transactions!$D$3:$D$83=B137) *
        (Transactions!$H$3:$H$83={"Sell","Transfer Send","Cash Withdrawal","Crypto Withdrawal"}) *
        Transactions!$I$3:$I$83
    )
)</f>
        <v>567.5</v>
      </c>
      <c r="F137" s="1" cm="1">
        <f t="array" ref="F137">IF(ISBLANK(B137), "",
    SUMPRODUCT(
        (Transactions!$D$3:$D$98=B137) *
        (Transactions!$H$3:$H$98={"Cash Deposit","Crypto Deposit","Buy","Transfer Deposit","DRIP","Airdrop/Rewards"}) *
        Transactions!$I$3:$I$98
    )
    - SUMPRODUCT(
        (Transactions!$D$3:$D$98=B137) *
        (Transactions!$H$3:$H$98={"Sell","Transfer Send","Cash Withdrawal","Crypto Withdrawal"}) *
        Transactions!$I$3:$I$98
    )
)</f>
        <v>567.5</v>
      </c>
      <c r="G137" s="1" cm="1">
        <f t="array" ref="G137">IF(ISBLANK(B137), "",
    SUMPRODUCT(
        (Transactions!$D$3:$D$114=B137) *
        (Transactions!$H$3:$H$114={"Cash Deposit","Crypto Deposit","Buy","Transfer Deposit","DRIP","Airdrop/Rewards"}) *
        Transactions!$I$3:$I$114
    )
    - SUMPRODUCT(
        (Transactions!$D$3:$D$114=B137) *
        (Transactions!$H$3:$H$114={"Sell","Transfer Send","Cash Withdrawal","Crypto Withdrawal"}) *
        Transactions!$I$3:$I$114
    )
)</f>
        <v>567.5</v>
      </c>
      <c r="H137" s="1" cm="1">
        <f t="array" ref="H137">IF(ISBLANK(B137), "",
    SUMPRODUCT(
        (Transactions!$D$3:$D$139=B137) *
        (Transactions!$H$3:$H$139={"Cash Deposit","Crypto Deposit","Buy","Transfer Deposit","DRIP","Airdrop/Rewards"}) *
        Transactions!$I$3:$I$139
    )
    - SUMPRODUCT(
        (Transactions!$D$3:$D$139=B137) *
        (Transactions!$H$3:$H$139={"Sell","Transfer Send","Cash Withdrawal","Crypto Withdrawal"}) *
        Transactions!$I$3:$I$139
    )
)</f>
        <v>567.5</v>
      </c>
      <c r="I137" s="1" cm="1">
        <f t="array" ref="I137">IF(ISBLANK(B137), "",
    SUMPRODUCT(
        (Transactions!$D$3:$D$165=B137) *
        (Transactions!$H$3:$H$165={"Cash Deposit","Crypto Deposit","Buy","Transfer Deposit","DRIP","Airdrop/Rewards"}) *
        Transactions!$I$3:$I$165
    )
    - SUMPRODUCT(
        (Transactions!$D$3:$D$165=B137) *
        (Transactions!$H$3:$H$165={"Sell","Transfer Send","Cash Withdrawal","Crypto Withdrawal"}) *
        Transactions!$I$3:$I$165
    )
)</f>
        <v>567.5</v>
      </c>
      <c r="J137" s="1" cm="1">
        <f t="array" ref="J137">IF(ISBLANK(B137), "",
    SUMPRODUCT(
        (Transactions!$D$3:$D$174=B137) *
        (Transactions!$H$3:$H$174={"Cash Deposit","Crypto Deposit","Buy","Transfer Deposit","DRIP","Airdrop/Rewards"}) *
        Transactions!$I$3:$I$174
    )
    - SUMPRODUCT(
        (Transactions!$D$3:$D$174=B137) *
        (Transactions!$H$3:$H$174={"Sell","Transfer Send","Cash Withdrawal","Crypto Withdrawal"}) *
        Transactions!$I$3:$I$174
    )
)</f>
        <v>567.5</v>
      </c>
      <c r="K137" s="1" cm="1">
        <f t="array" ref="K137">IF(ISBLANK(B137), "",
    SUMPRODUCT(
        (Transactions!$D$3:$D$181=B137) *
        (Transactions!$H$3:$H$181={"Cash Deposit","Crypto Deposit","Buy","Transfer Deposit","DRIP","Airdrop/Rewards"}) *
        Transactions!$I$3:$I$181
    )
    - SUMPRODUCT(
        (Transactions!$D$3:$D$181=B137) *
        (Transactions!$H$3:$H$181={"Sell","Transfer Send","Cash Withdrawal","Crypto Withdrawal"}) *
        Transactions!$I$3:$I$181
    )
)</f>
        <v>567.5</v>
      </c>
      <c r="L137" s="1" cm="1">
        <f t="array" ref="L137">IF(ISBLANK(B137), "",
    SUMPRODUCT(
        (Transactions!$D$3:$D$185=B137) *
        (Transactions!$H$3:$H$185={"Cash Deposit","Crypto Deposit","Buy","Transfer Deposit","DRIP","Airdrop/Rewards"}) *
        Transactions!$I$3:$I$185
    )
    - SUMPRODUCT(
        (Transactions!$D$3:$D$185=B137) *
        (Transactions!$H$3:$H$185={"Sell","Transfer Send","Cash Withdrawal","Crypto Withdrawal"}) *
        Transactions!$I$3:$I$185
    )
)</f>
        <v>567.5</v>
      </c>
      <c r="M137" s="1" cm="1">
        <f t="array" ref="M137">IF(ISBLANK(B137), "",
    SUMPRODUCT(
        (Transactions!$D$3:$D$194=B137) *
        (Transactions!$H$3:$H$194={"Cash Deposit","Crypto Deposit","Buy","Transfer Deposit","DRIP","Airdrop/Rewards"}) *
        Transactions!$I$3:$I$194
    )
    - SUMPRODUCT(
        (Transactions!$D$3:$D$194=B137) *
        (Transactions!$H$3:$H$194={"Sell","Transfer Send","Cash Withdrawal","Crypto Withdrawal"}) *
        Transactions!$I$3:$I$194
    )
)</f>
        <v>567.5</v>
      </c>
      <c r="N137" s="1" cm="1">
        <f t="array" ref="N137">IF(ISBLANK(B137), "",
    SUMPRODUCT(
        (Transactions!$D$3:$D$201=B137) *
        (Transactions!$H$3:$H$201={"Cash Deposit","Crypto Deposit","Buy","Transfer Deposit","DRIP","Airdrop/Rewards"}) *
        Transactions!$I$3:$I$201
    )
    - SUMPRODUCT(
        (Transactions!$D$3:$D$201=B137) *
        (Transactions!$H$3:$H$201={"Sell","Transfer Send","Cash Withdrawal","Crypto Withdrawal"}) *
        Transactions!$I$3:$I$201
    )
)</f>
        <v>567.5</v>
      </c>
      <c r="O137" s="1" cm="1">
        <f t="array" ref="O137">IF(ISBLANK(B137), "",
    SUMPRODUCT(
        (Transactions!$D$3:$D$229=B137) *
        (Transactions!$H$3:$H$229={"Cash Deposit","Crypto Deposit","Buy","Transfer Deposit","DRIP","Airdrop/Rewards"}) *
        Transactions!$I$3:$I$229
    )
    - SUMPRODUCT(
        (Transactions!$D$3:$D$229=B137) *
        (Transactions!$H$3:$H$229={"Sell","Transfer Send","Cash Withdrawal","Crypto Withdrawal"}) *
        Transactions!$I$3:$I$229
    )
)</f>
        <v>567.5</v>
      </c>
      <c r="P137" s="1" cm="1">
        <f t="array" ref="P137">IF(ISBLANK(B137), "",
    SUMPRODUCT(
        (Transactions!$D$3:$D$305=B137) *
        (Transactions!$H$3:$H$305={"Cash Deposit","Crypto Deposit","Buy","Transfer Deposit","DRIP","Airdrop/Rewards"}) *
        Transactions!$I$3:$I$305
    )
    - SUMPRODUCT(
        (Transactions!$D$3:$D$305=B137) *
        (Transactions!$H$3:$H$305={"Sell","Transfer Send","Cash Withdrawal","Crypto Withdrawal"}) *
        Transactions!$I$3:$I$305
    )
)</f>
        <v>567.5</v>
      </c>
      <c r="Q137" s="1" cm="1">
        <f t="array" ref="Q137">IF(ISBLANK(B137), "",
    SUMPRODUCT(
        (Transactions!$D$3:$D$376=B137) *
        (Transactions!$H$3:$H$376={"Cash Deposit","Crypto Deposit","Buy","Transfer Deposit","DRIP","Airdrop/Rewards"}) *
        Transactions!$I$3:$I$376
    )
    - SUMPRODUCT(
        (Transactions!$D$3:$D$376=B137) *
        (Transactions!$H$3:$H$376={"Sell","Transfer Send","Cash Withdrawal","Crypto Withdrawal"}) *
        Transactions!$I$3:$I$376
    )
)</f>
        <v>567.5</v>
      </c>
      <c r="R137" s="1" cm="1">
        <f t="array" ref="R137">IF(ISBLANK(B137), "",
    SUMPRODUCT(
        (Transactions!$D$3:$D$1007=B137) *
        (Transactions!$H$3:$H$1007={"Cash Deposit","Crypto Deposit","Buy","Transfer Deposit","DRIP","Airdrop/Rewards"}) *
        Transactions!$I$3:$I$1007
    )
    - SUMPRODUCT(
        (Transactions!$D$3:$D$1007=B137) *
        (Transactions!$H$3:$H$1007={"Sell","Transfer Send","Cash Withdrawal","Crypto Withdrawal"}) *
        Transactions!$I$3:$I$1007
    )
)</f>
        <v>567.5</v>
      </c>
    </row>
    <row r="138" spans="1:18">
      <c r="A138" s="1" t="str">
        <v>Pendle</v>
      </c>
      <c r="B138" s="1" t="s">
        <v>525</v>
      </c>
      <c r="C138" s="1" cm="1">
        <f t="array" ref="C138">IF(ISBLANK(B138), "",
    SUMPRODUCT(
        (Transactions!$D$3:$D$74=B138) *
        (Transactions!$H$3:$H$74={"Cash Deposit","Crypto Deposit","Buy","Transfer Deposit","DRIP","Airdrop/Rewards"}) *
        Transactions!$I$3:$I$74
    )
    - SUMPRODUCT(
        (Transactions!$D$3:$D$74=B138) *
        (Transactions!$H$3:$H$74={"Sell","Transfer Send","Cash Withdrawal","Crypto Withdrawal"}) *
        Transactions!$I$3:$I$74
    )
)</f>
        <v>0</v>
      </c>
      <c r="D138" s="1" cm="1">
        <f t="array" ref="D138">IF(ISBLANK(B138), "",
    SUMPRODUCT(
        (Transactions!$D$3:$D$76=B138) *
        (Transactions!$H$3:$H$76={"Cash Deposit","Crypto Deposit","Buy","Transfer Deposit","DRIP","Airdrop/Rewards"}) *
        Transactions!$I$3:$I$76
    )
    - SUMPRODUCT(
        (Transactions!$D$3:$D$76=B138) *
        (Transactions!$H$3:$H$76={"Sell","Transfer Send","Cash Withdrawal","Crypto Withdrawal"}) *
        Transactions!$I$3:$I$76
    )
)</f>
        <v>0</v>
      </c>
      <c r="E138" s="1" cm="1">
        <f t="array" ref="E138">IF(ISBLANK(B138), "",
    SUMPRODUCT(
        (Transactions!$D$3:$D$83=B138) *
        (Transactions!$H$3:$H$83={"Cash Deposit","Crypto Deposit","Buy","Transfer Deposit","DRIP","Airdrop/Rewards"}) *
        Transactions!$I$3:$I$83
    )
    - SUMPRODUCT(
        (Transactions!$D$3:$D$83=B138) *
        (Transactions!$H$3:$H$83={"Sell","Transfer Send","Cash Withdrawal","Crypto Withdrawal"}) *
        Transactions!$I$3:$I$83
    )
)</f>
        <v>0</v>
      </c>
      <c r="F138" s="1" cm="1">
        <f t="array" ref="F138">IF(ISBLANK(B138), "",
    SUMPRODUCT(
        (Transactions!$D$3:$D$98=B138) *
        (Transactions!$H$3:$H$98={"Cash Deposit","Crypto Deposit","Buy","Transfer Deposit","DRIP","Airdrop/Rewards"}) *
        Transactions!$I$3:$I$98
    )
    - SUMPRODUCT(
        (Transactions!$D$3:$D$98=B138) *
        (Transactions!$H$3:$H$98={"Sell","Transfer Send","Cash Withdrawal","Crypto Withdrawal"}) *
        Transactions!$I$3:$I$98
    )
)</f>
        <v>0</v>
      </c>
      <c r="G138" s="1" cm="1">
        <f t="array" ref="G138">IF(ISBLANK(B138), "",
    SUMPRODUCT(
        (Transactions!$D$3:$D$114=B138) *
        (Transactions!$H$3:$H$114={"Cash Deposit","Crypto Deposit","Buy","Transfer Deposit","DRIP","Airdrop/Rewards"}) *
        Transactions!$I$3:$I$114
    )
    - SUMPRODUCT(
        (Transactions!$D$3:$D$114=B138) *
        (Transactions!$H$3:$H$114={"Sell","Transfer Send","Cash Withdrawal","Crypto Withdrawal"}) *
        Transactions!$I$3:$I$114
    )
)</f>
        <v>0</v>
      </c>
      <c r="H138" s="1" cm="1">
        <f t="array" ref="H138">IF(ISBLANK(B138), "",
    SUMPRODUCT(
        (Transactions!$D$3:$D$139=B138) *
        (Transactions!$H$3:$H$139={"Cash Deposit","Crypto Deposit","Buy","Transfer Deposit","DRIP","Airdrop/Rewards"}) *
        Transactions!$I$3:$I$139
    )
    - SUMPRODUCT(
        (Transactions!$D$3:$D$139=B138) *
        (Transactions!$H$3:$H$139={"Sell","Transfer Send","Cash Withdrawal","Crypto Withdrawal"}) *
        Transactions!$I$3:$I$139
    )
)</f>
        <v>0</v>
      </c>
      <c r="I138" s="1" cm="1">
        <f t="array" ref="I138">IF(ISBLANK(B138), "",
    SUMPRODUCT(
        (Transactions!$D$3:$D$165=B138) *
        (Transactions!$H$3:$H$165={"Cash Deposit","Crypto Deposit","Buy","Transfer Deposit","DRIP","Airdrop/Rewards"}) *
        Transactions!$I$3:$I$165
    )
    - SUMPRODUCT(
        (Transactions!$D$3:$D$165=B138) *
        (Transactions!$H$3:$H$165={"Sell","Transfer Send","Cash Withdrawal","Crypto Withdrawal"}) *
        Transactions!$I$3:$I$165
    )
)</f>
        <v>0</v>
      </c>
      <c r="J138" s="1" cm="1">
        <f t="array" ref="J138">IF(ISBLANK(B138), "",
    SUMPRODUCT(
        (Transactions!$D$3:$D$174=B138) *
        (Transactions!$H$3:$H$174={"Cash Deposit","Crypto Deposit","Buy","Transfer Deposit","DRIP","Airdrop/Rewards"}) *
        Transactions!$I$3:$I$174
    )
    - SUMPRODUCT(
        (Transactions!$D$3:$D$174=B138) *
        (Transactions!$H$3:$H$174={"Sell","Transfer Send","Cash Withdrawal","Crypto Withdrawal"}) *
        Transactions!$I$3:$I$174
    )
)</f>
        <v>0</v>
      </c>
      <c r="K138" s="1" cm="1">
        <f t="array" ref="K138">IF(ISBLANK(B138), "",
    SUMPRODUCT(
        (Transactions!$D$3:$D$181=B138) *
        (Transactions!$H$3:$H$181={"Cash Deposit","Crypto Deposit","Buy","Transfer Deposit","DRIP","Airdrop/Rewards"}) *
        Transactions!$I$3:$I$181
    )
    - SUMPRODUCT(
        (Transactions!$D$3:$D$181=B138) *
        (Transactions!$H$3:$H$181={"Sell","Transfer Send","Cash Withdrawal","Crypto Withdrawal"}) *
        Transactions!$I$3:$I$181
    )
)</f>
        <v>0</v>
      </c>
      <c r="L138" s="1" cm="1">
        <f t="array" ref="L138">IF(ISBLANK(B138), "",
    SUMPRODUCT(
        (Transactions!$D$3:$D$185=B138) *
        (Transactions!$H$3:$H$185={"Cash Deposit","Crypto Deposit","Buy","Transfer Deposit","DRIP","Airdrop/Rewards"}) *
        Transactions!$I$3:$I$185
    )
    - SUMPRODUCT(
        (Transactions!$D$3:$D$185=B138) *
        (Transactions!$H$3:$H$185={"Sell","Transfer Send","Cash Withdrawal","Crypto Withdrawal"}) *
        Transactions!$I$3:$I$185
    )
)</f>
        <v>0</v>
      </c>
      <c r="M138" s="1" cm="1">
        <f t="array" ref="M138">IF(ISBLANK(B138), "",
    SUMPRODUCT(
        (Transactions!$D$3:$D$194=B138) *
        (Transactions!$H$3:$H$194={"Cash Deposit","Crypto Deposit","Buy","Transfer Deposit","DRIP","Airdrop/Rewards"}) *
        Transactions!$I$3:$I$194
    )
    - SUMPRODUCT(
        (Transactions!$D$3:$D$194=B138) *
        (Transactions!$H$3:$H$194={"Sell","Transfer Send","Cash Withdrawal","Crypto Withdrawal"}) *
        Transactions!$I$3:$I$194
    )
)</f>
        <v>0</v>
      </c>
      <c r="N138" s="1" cm="1">
        <f t="array" ref="N138">IF(ISBLANK(B138), "",
    SUMPRODUCT(
        (Transactions!$D$3:$D$201=B138) *
        (Transactions!$H$3:$H$201={"Cash Deposit","Crypto Deposit","Buy","Transfer Deposit","DRIP","Airdrop/Rewards"}) *
        Transactions!$I$3:$I$201
    )
    - SUMPRODUCT(
        (Transactions!$D$3:$D$201=B138) *
        (Transactions!$H$3:$H$201={"Sell","Transfer Send","Cash Withdrawal","Crypto Withdrawal"}) *
        Transactions!$I$3:$I$201
    )
)</f>
        <v>0</v>
      </c>
      <c r="O138" s="1" cm="1">
        <f t="array" ref="O138">IF(ISBLANK(B138), "",
    SUMPRODUCT(
        (Transactions!$D$3:$D$229=B138) *
        (Transactions!$H$3:$H$229={"Cash Deposit","Crypto Deposit","Buy","Transfer Deposit","DRIP","Airdrop/Rewards"}) *
        Transactions!$I$3:$I$229
    )
    - SUMPRODUCT(
        (Transactions!$D$3:$D$229=B138) *
        (Transactions!$H$3:$H$229={"Sell","Transfer Send","Cash Withdrawal","Crypto Withdrawal"}) *
        Transactions!$I$3:$I$229
    )
)</f>
        <v>0</v>
      </c>
      <c r="P138" s="1" cm="1">
        <f t="array" ref="P138">IF(ISBLANK(B138), "",
    SUMPRODUCT(
        (Transactions!$D$3:$D$305=B138) *
        (Transactions!$H$3:$H$305={"Cash Deposit","Crypto Deposit","Buy","Transfer Deposit","DRIP","Airdrop/Rewards"}) *
        Transactions!$I$3:$I$305
    )
    - SUMPRODUCT(
        (Transactions!$D$3:$D$305=B138) *
        (Transactions!$H$3:$H$305={"Sell","Transfer Send","Cash Withdrawal","Crypto Withdrawal"}) *
        Transactions!$I$3:$I$305
    )
)</f>
        <v>0</v>
      </c>
      <c r="Q138" s="1" cm="1">
        <f t="array" ref="Q138">IF(ISBLANK(B138), "",
    SUMPRODUCT(
        (Transactions!$D$3:$D$376=B138) *
        (Transactions!$H$3:$H$376={"Cash Deposit","Crypto Deposit","Buy","Transfer Deposit","DRIP","Airdrop/Rewards"}) *
        Transactions!$I$3:$I$376
    )
    - SUMPRODUCT(
        (Transactions!$D$3:$D$376=B138) *
        (Transactions!$H$3:$H$376={"Sell","Transfer Send","Cash Withdrawal","Crypto Withdrawal"}) *
        Transactions!$I$3:$I$376
    )
)</f>
        <v>32.24</v>
      </c>
      <c r="R138" s="1" cm="1">
        <f t="array" ref="R138">IF(ISBLANK(B138), "",
    SUMPRODUCT(
        (Transactions!$D$3:$D$1007=B138) *
        (Transactions!$H$3:$H$1007={"Cash Deposit","Crypto Deposit","Buy","Transfer Deposit","DRIP","Airdrop/Rewards"}) *
        Transactions!$I$3:$I$1007
    )
    - SUMPRODUCT(
        (Transactions!$D$3:$D$1007=B138) *
        (Transactions!$H$3:$H$1007={"Sell","Transfer Send","Cash Withdrawal","Crypto Withdrawal"}) *
        Transactions!$I$3:$I$1007
    )
)</f>
        <v>32.24</v>
      </c>
    </row>
    <row r="139" spans="1:18">
      <c r="A139" s="1" t="str">
        <v>PIXEL</v>
      </c>
      <c r="B139" s="1" t="s">
        <v>537</v>
      </c>
      <c r="C139" s="1" cm="1">
        <f t="array" ref="C139">IF(ISBLANK(B139), "",
    SUMPRODUCT(
        (Transactions!$D$3:$D$74=B139) *
        (Transactions!$H$3:$H$74={"Cash Deposit","Crypto Deposit","Buy","Transfer Deposit","DRIP","Airdrop/Rewards"}) *
        Transactions!$I$3:$I$74
    )
    - SUMPRODUCT(
        (Transactions!$D$3:$D$74=B139) *
        (Transactions!$H$3:$H$74={"Sell","Transfer Send","Cash Withdrawal","Crypto Withdrawal"}) *
        Transactions!$I$3:$I$74
    )
)</f>
        <v>0</v>
      </c>
      <c r="D139" s="1" cm="1">
        <f t="array" ref="D139">IF(ISBLANK(B139), "",
    SUMPRODUCT(
        (Transactions!$D$3:$D$76=B139) *
        (Transactions!$H$3:$H$76={"Cash Deposit","Crypto Deposit","Buy","Transfer Deposit","DRIP","Airdrop/Rewards"}) *
        Transactions!$I$3:$I$76
    )
    - SUMPRODUCT(
        (Transactions!$D$3:$D$76=B139) *
        (Transactions!$H$3:$H$76={"Sell","Transfer Send","Cash Withdrawal","Crypto Withdrawal"}) *
        Transactions!$I$3:$I$76
    )
)</f>
        <v>0</v>
      </c>
      <c r="E139" s="1" cm="1">
        <f t="array" ref="E139">IF(ISBLANK(B139), "",
    SUMPRODUCT(
        (Transactions!$D$3:$D$83=B139) *
        (Transactions!$H$3:$H$83={"Cash Deposit","Crypto Deposit","Buy","Transfer Deposit","DRIP","Airdrop/Rewards"}) *
        Transactions!$I$3:$I$83
    )
    - SUMPRODUCT(
        (Transactions!$D$3:$D$83=B139) *
        (Transactions!$H$3:$H$83={"Sell","Transfer Send","Cash Withdrawal","Crypto Withdrawal"}) *
        Transactions!$I$3:$I$83
    )
)</f>
        <v>0</v>
      </c>
      <c r="F139" s="1" cm="1">
        <f t="array" ref="F139">IF(ISBLANK(B139), "",
    SUMPRODUCT(
        (Transactions!$D$3:$D$98=B139) *
        (Transactions!$H$3:$H$98={"Cash Deposit","Crypto Deposit","Buy","Transfer Deposit","DRIP","Airdrop/Rewards"}) *
        Transactions!$I$3:$I$98
    )
    - SUMPRODUCT(
        (Transactions!$D$3:$D$98=B139) *
        (Transactions!$H$3:$H$98={"Sell","Transfer Send","Cash Withdrawal","Crypto Withdrawal"}) *
        Transactions!$I$3:$I$98
    )
)</f>
        <v>0</v>
      </c>
      <c r="G139" s="1" cm="1">
        <f t="array" ref="G139">IF(ISBLANK(B139), "",
    SUMPRODUCT(
        (Transactions!$D$3:$D$114=B139) *
        (Transactions!$H$3:$H$114={"Cash Deposit","Crypto Deposit","Buy","Transfer Deposit","DRIP","Airdrop/Rewards"}) *
        Transactions!$I$3:$I$114
    )
    - SUMPRODUCT(
        (Transactions!$D$3:$D$114=B139) *
        (Transactions!$H$3:$H$114={"Sell","Transfer Send","Cash Withdrawal","Crypto Withdrawal"}) *
        Transactions!$I$3:$I$114
    )
)</f>
        <v>0</v>
      </c>
      <c r="H139" s="1" cm="1">
        <f t="array" ref="H139">IF(ISBLANK(B139), "",
    SUMPRODUCT(
        (Transactions!$D$3:$D$139=B139) *
        (Transactions!$H$3:$H$139={"Cash Deposit","Crypto Deposit","Buy","Transfer Deposit","DRIP","Airdrop/Rewards"}) *
        Transactions!$I$3:$I$139
    )
    - SUMPRODUCT(
        (Transactions!$D$3:$D$139=B139) *
        (Transactions!$H$3:$H$139={"Sell","Transfer Send","Cash Withdrawal","Crypto Withdrawal"}) *
        Transactions!$I$3:$I$139
    )
)</f>
        <v>0</v>
      </c>
      <c r="I139" s="1" cm="1">
        <f t="array" ref="I139">IF(ISBLANK(B139), "",
    SUMPRODUCT(
        (Transactions!$D$3:$D$165=B139) *
        (Transactions!$H$3:$H$165={"Cash Deposit","Crypto Deposit","Buy","Transfer Deposit","DRIP","Airdrop/Rewards"}) *
        Transactions!$I$3:$I$165
    )
    - SUMPRODUCT(
        (Transactions!$D$3:$D$165=B139) *
        (Transactions!$H$3:$H$165={"Sell","Transfer Send","Cash Withdrawal","Crypto Withdrawal"}) *
        Transactions!$I$3:$I$165
    )
)</f>
        <v>0</v>
      </c>
      <c r="J139" s="1" cm="1">
        <f t="array" ref="J139">IF(ISBLANK(B139), "",
    SUMPRODUCT(
        (Transactions!$D$3:$D$174=B139) *
        (Transactions!$H$3:$H$174={"Cash Deposit","Crypto Deposit","Buy","Transfer Deposit","DRIP","Airdrop/Rewards"}) *
        Transactions!$I$3:$I$174
    )
    - SUMPRODUCT(
        (Transactions!$D$3:$D$174=B139) *
        (Transactions!$H$3:$H$174={"Sell","Transfer Send","Cash Withdrawal","Crypto Withdrawal"}) *
        Transactions!$I$3:$I$174
    )
)</f>
        <v>0</v>
      </c>
      <c r="K139" s="1" cm="1">
        <f t="array" ref="K139">IF(ISBLANK(B139), "",
    SUMPRODUCT(
        (Transactions!$D$3:$D$181=B139) *
        (Transactions!$H$3:$H$181={"Cash Deposit","Crypto Deposit","Buy","Transfer Deposit","DRIP","Airdrop/Rewards"}) *
        Transactions!$I$3:$I$181
    )
    - SUMPRODUCT(
        (Transactions!$D$3:$D$181=B139) *
        (Transactions!$H$3:$H$181={"Sell","Transfer Send","Cash Withdrawal","Crypto Withdrawal"}) *
        Transactions!$I$3:$I$181
    )
)</f>
        <v>0</v>
      </c>
      <c r="L139" s="1" cm="1">
        <f t="array" ref="L139">IF(ISBLANK(B139), "",
    SUMPRODUCT(
        (Transactions!$D$3:$D$185=B139) *
        (Transactions!$H$3:$H$185={"Cash Deposit","Crypto Deposit","Buy","Transfer Deposit","DRIP","Airdrop/Rewards"}) *
        Transactions!$I$3:$I$185
    )
    - SUMPRODUCT(
        (Transactions!$D$3:$D$185=B139) *
        (Transactions!$H$3:$H$185={"Sell","Transfer Send","Cash Withdrawal","Crypto Withdrawal"}) *
        Transactions!$I$3:$I$185
    )
)</f>
        <v>0</v>
      </c>
      <c r="M139" s="1" cm="1">
        <f t="array" ref="M139">IF(ISBLANK(B139), "",
    SUMPRODUCT(
        (Transactions!$D$3:$D$194=B139) *
        (Transactions!$H$3:$H$194={"Cash Deposit","Crypto Deposit","Buy","Transfer Deposit","DRIP","Airdrop/Rewards"}) *
        Transactions!$I$3:$I$194
    )
    - SUMPRODUCT(
        (Transactions!$D$3:$D$194=B139) *
        (Transactions!$H$3:$H$194={"Sell","Transfer Send","Cash Withdrawal","Crypto Withdrawal"}) *
        Transactions!$I$3:$I$194
    )
)</f>
        <v>0</v>
      </c>
      <c r="N139" s="1" cm="1">
        <f t="array" ref="N139">IF(ISBLANK(B139), "",
    SUMPRODUCT(
        (Transactions!$D$3:$D$201=B139) *
        (Transactions!$H$3:$H$201={"Cash Deposit","Crypto Deposit","Buy","Transfer Deposit","DRIP","Airdrop/Rewards"}) *
        Transactions!$I$3:$I$201
    )
    - SUMPRODUCT(
        (Transactions!$D$3:$D$201=B139) *
        (Transactions!$H$3:$H$201={"Sell","Transfer Send","Cash Withdrawal","Crypto Withdrawal"}) *
        Transactions!$I$3:$I$201
    )
)</f>
        <v>0</v>
      </c>
      <c r="O139" s="1" cm="1">
        <f t="array" ref="O139">IF(ISBLANK(B139), "",
    SUMPRODUCT(
        (Transactions!$D$3:$D$229=B139) *
        (Transactions!$H$3:$H$229={"Cash Deposit","Crypto Deposit","Buy","Transfer Deposit","DRIP","Airdrop/Rewards"}) *
        Transactions!$I$3:$I$229
    )
    - SUMPRODUCT(
        (Transactions!$D$3:$D$229=B139) *
        (Transactions!$H$3:$H$229={"Sell","Transfer Send","Cash Withdrawal","Crypto Withdrawal"}) *
        Transactions!$I$3:$I$229
    )
)</f>
        <v>0</v>
      </c>
      <c r="P139" s="1" cm="1">
        <f t="array" ref="P139">IF(ISBLANK(B139), "",
    SUMPRODUCT(
        (Transactions!$D$3:$D$305=B139) *
        (Transactions!$H$3:$H$305={"Cash Deposit","Crypto Deposit","Buy","Transfer Deposit","DRIP","Airdrop/Rewards"}) *
        Transactions!$I$3:$I$305
    )
    - SUMPRODUCT(
        (Transactions!$D$3:$D$305=B139) *
        (Transactions!$H$3:$H$305={"Sell","Transfer Send","Cash Withdrawal","Crypto Withdrawal"}) *
        Transactions!$I$3:$I$305
    )
)</f>
        <v>0</v>
      </c>
      <c r="Q139" s="1" cm="1">
        <f t="array" ref="Q139">IF(ISBLANK(B139), "",
    SUMPRODUCT(
        (Transactions!$D$3:$D$376=B139) *
        (Transactions!$H$3:$H$376={"Cash Deposit","Crypto Deposit","Buy","Transfer Deposit","DRIP","Airdrop/Rewards"}) *
        Transactions!$I$3:$I$376
    )
    - SUMPRODUCT(
        (Transactions!$D$3:$D$376=B139) *
        (Transactions!$H$3:$H$376={"Sell","Transfer Send","Cash Withdrawal","Crypto Withdrawal"}) *
        Transactions!$I$3:$I$376
    )
)</f>
        <v>0</v>
      </c>
      <c r="R139" s="1" cm="1">
        <f t="array" ref="R139">IF(ISBLANK(B139), "",
    SUMPRODUCT(
        (Transactions!$D$3:$D$1007=B139) *
        (Transactions!$H$3:$H$1007={"Cash Deposit","Crypto Deposit","Buy","Transfer Deposit","DRIP","Airdrop/Rewards"}) *
        Transactions!$I$3:$I$1007
    )
    - SUMPRODUCT(
        (Transactions!$D$3:$D$1007=B139) *
        (Transactions!$H$3:$H$1007={"Sell","Transfer Send","Cash Withdrawal","Crypto Withdrawal"}) *
        Transactions!$I$3:$I$1007
    )
)</f>
        <v>0</v>
      </c>
    </row>
    <row r="140" spans="1:18">
      <c r="A140" s="1" t="str">
        <v>SAND</v>
      </c>
      <c r="B140" s="1" t="s">
        <v>11</v>
      </c>
      <c r="C140" s="1" cm="1">
        <f t="array" ref="C140">IF(ISBLANK(B140), "",
    SUMPRODUCT(
        (Transactions!$D$3:$D$74=B140) *
        (Transactions!$H$3:$H$74={"Cash Deposit","Crypto Deposit","Buy","Transfer Deposit","DRIP","Airdrop/Rewards"}) *
        Transactions!$I$3:$I$74
    )
    - SUMPRODUCT(
        (Transactions!$D$3:$D$74=B140) *
        (Transactions!$H$3:$H$74={"Sell","Transfer Send","Cash Withdrawal","Crypto Withdrawal"}) *
        Transactions!$I$3:$I$74
    )
)</f>
        <v>156</v>
      </c>
      <c r="D140" s="1" cm="1">
        <f t="array" ref="D140">IF(ISBLANK(B140), "",
    SUMPRODUCT(
        (Transactions!$D$3:$D$76=B140) *
        (Transactions!$H$3:$H$76={"Cash Deposit","Crypto Deposit","Buy","Transfer Deposit","DRIP","Airdrop/Rewards"}) *
        Transactions!$I$3:$I$76
    )
    - SUMPRODUCT(
        (Transactions!$D$3:$D$76=B140) *
        (Transactions!$H$3:$H$76={"Sell","Transfer Send","Cash Withdrawal","Crypto Withdrawal"}) *
        Transactions!$I$3:$I$76
    )
)</f>
        <v>156</v>
      </c>
      <c r="E140" s="1" cm="1">
        <f t="array" ref="E140">IF(ISBLANK(B140), "",
    SUMPRODUCT(
        (Transactions!$D$3:$D$83=B140) *
        (Transactions!$H$3:$H$83={"Cash Deposit","Crypto Deposit","Buy","Transfer Deposit","DRIP","Airdrop/Rewards"}) *
        Transactions!$I$3:$I$83
    )
    - SUMPRODUCT(
        (Transactions!$D$3:$D$83=B140) *
        (Transactions!$H$3:$H$83={"Sell","Transfer Send","Cash Withdrawal","Crypto Withdrawal"}) *
        Transactions!$I$3:$I$83
    )
)</f>
        <v>156</v>
      </c>
      <c r="F140" s="1" cm="1">
        <f t="array" ref="F140">IF(ISBLANK(B140), "",
    SUMPRODUCT(
        (Transactions!$D$3:$D$98=B140) *
        (Transactions!$H$3:$H$98={"Cash Deposit","Crypto Deposit","Buy","Transfer Deposit","DRIP","Airdrop/Rewards"}) *
        Transactions!$I$3:$I$98
    )
    - SUMPRODUCT(
        (Transactions!$D$3:$D$98=B140) *
        (Transactions!$H$3:$H$98={"Sell","Transfer Send","Cash Withdrawal","Crypto Withdrawal"}) *
        Transactions!$I$3:$I$98
    )
)</f>
        <v>156</v>
      </c>
      <c r="G140" s="1" cm="1">
        <f t="array" ref="G140">IF(ISBLANK(B140), "",
    SUMPRODUCT(
        (Transactions!$D$3:$D$114=B140) *
        (Transactions!$H$3:$H$114={"Cash Deposit","Crypto Deposit","Buy","Transfer Deposit","DRIP","Airdrop/Rewards"}) *
        Transactions!$I$3:$I$114
    )
    - SUMPRODUCT(
        (Transactions!$D$3:$D$114=B140) *
        (Transactions!$H$3:$H$114={"Sell","Transfer Send","Cash Withdrawal","Crypto Withdrawal"}) *
        Transactions!$I$3:$I$114
    )
)</f>
        <v>156</v>
      </c>
      <c r="H140" s="1" cm="1">
        <f t="array" ref="H140">IF(ISBLANK(B140), "",
    SUMPRODUCT(
        (Transactions!$D$3:$D$139=B140) *
        (Transactions!$H$3:$H$139={"Cash Deposit","Crypto Deposit","Buy","Transfer Deposit","DRIP","Airdrop/Rewards"}) *
        Transactions!$I$3:$I$139
    )
    - SUMPRODUCT(
        (Transactions!$D$3:$D$139=B140) *
        (Transactions!$H$3:$H$139={"Sell","Transfer Send","Cash Withdrawal","Crypto Withdrawal"}) *
        Transactions!$I$3:$I$139
    )
)</f>
        <v>156</v>
      </c>
      <c r="I140" s="1" cm="1">
        <f t="array" ref="I140">IF(ISBLANK(B140), "",
    SUMPRODUCT(
        (Transactions!$D$3:$D$165=B140) *
        (Transactions!$H$3:$H$165={"Cash Deposit","Crypto Deposit","Buy","Transfer Deposit","DRIP","Airdrop/Rewards"}) *
        Transactions!$I$3:$I$165
    )
    - SUMPRODUCT(
        (Transactions!$D$3:$D$165=B140) *
        (Transactions!$H$3:$H$165={"Sell","Transfer Send","Cash Withdrawal","Crypto Withdrawal"}) *
        Transactions!$I$3:$I$165
    )
)</f>
        <v>156</v>
      </c>
      <c r="J140" s="1" cm="1">
        <f t="array" ref="J140">IF(ISBLANK(B140), "",
    SUMPRODUCT(
        (Transactions!$D$3:$D$174=B140) *
        (Transactions!$H$3:$H$174={"Cash Deposit","Crypto Deposit","Buy","Transfer Deposit","DRIP","Airdrop/Rewards"}) *
        Transactions!$I$3:$I$174
    )
    - SUMPRODUCT(
        (Transactions!$D$3:$D$174=B140) *
        (Transactions!$H$3:$H$174={"Sell","Transfer Send","Cash Withdrawal","Crypto Withdrawal"}) *
        Transactions!$I$3:$I$174
    )
)</f>
        <v>156</v>
      </c>
      <c r="K140" s="1" cm="1">
        <f t="array" ref="K140">IF(ISBLANK(B140), "",
    SUMPRODUCT(
        (Transactions!$D$3:$D$181=B140) *
        (Transactions!$H$3:$H$181={"Cash Deposit","Crypto Deposit","Buy","Transfer Deposit","DRIP","Airdrop/Rewards"}) *
        Transactions!$I$3:$I$181
    )
    - SUMPRODUCT(
        (Transactions!$D$3:$D$181=B140) *
        (Transactions!$H$3:$H$181={"Sell","Transfer Send","Cash Withdrawal","Crypto Withdrawal"}) *
        Transactions!$I$3:$I$181
    )
)</f>
        <v>156</v>
      </c>
      <c r="L140" s="1" cm="1">
        <f t="array" ref="L140">IF(ISBLANK(B140), "",
    SUMPRODUCT(
        (Transactions!$D$3:$D$185=B140) *
        (Transactions!$H$3:$H$185={"Cash Deposit","Crypto Deposit","Buy","Transfer Deposit","DRIP","Airdrop/Rewards"}) *
        Transactions!$I$3:$I$185
    )
    - SUMPRODUCT(
        (Transactions!$D$3:$D$185=B140) *
        (Transactions!$H$3:$H$185={"Sell","Transfer Send","Cash Withdrawal","Crypto Withdrawal"}) *
        Transactions!$I$3:$I$185
    )
)</f>
        <v>156</v>
      </c>
      <c r="M140" s="1" cm="1">
        <f t="array" ref="M140">IF(ISBLANK(B140), "",
    SUMPRODUCT(
        (Transactions!$D$3:$D$194=B140) *
        (Transactions!$H$3:$H$194={"Cash Deposit","Crypto Deposit","Buy","Transfer Deposit","DRIP","Airdrop/Rewards"}) *
        Transactions!$I$3:$I$194
    )
    - SUMPRODUCT(
        (Transactions!$D$3:$D$194=B140) *
        (Transactions!$H$3:$H$194={"Sell","Transfer Send","Cash Withdrawal","Crypto Withdrawal"}) *
        Transactions!$I$3:$I$194
    )
)</f>
        <v>156</v>
      </c>
      <c r="N140" s="1" cm="1">
        <f t="array" ref="N140">IF(ISBLANK(B140), "",
    SUMPRODUCT(
        (Transactions!$D$3:$D$201=B140) *
        (Transactions!$H$3:$H$201={"Cash Deposit","Crypto Deposit","Buy","Transfer Deposit","DRIP","Airdrop/Rewards"}) *
        Transactions!$I$3:$I$201
    )
    - SUMPRODUCT(
        (Transactions!$D$3:$D$201=B140) *
        (Transactions!$H$3:$H$201={"Sell","Transfer Send","Cash Withdrawal","Crypto Withdrawal"}) *
        Transactions!$I$3:$I$201
    )
)</f>
        <v>156</v>
      </c>
      <c r="O140" s="1" cm="1">
        <f t="array" ref="O140">IF(ISBLANK(B140), "",
    SUMPRODUCT(
        (Transactions!$D$3:$D$229=B140) *
        (Transactions!$H$3:$H$229={"Cash Deposit","Crypto Deposit","Buy","Transfer Deposit","DRIP","Airdrop/Rewards"}) *
        Transactions!$I$3:$I$229
    )
    - SUMPRODUCT(
        (Transactions!$D$3:$D$229=B140) *
        (Transactions!$H$3:$H$229={"Sell","Transfer Send","Cash Withdrawal","Crypto Withdrawal"}) *
        Transactions!$I$3:$I$229
    )
)</f>
        <v>156</v>
      </c>
      <c r="P140" s="1" cm="1">
        <f t="array" ref="P140">IF(ISBLANK(B140), "",
    SUMPRODUCT(
        (Transactions!$D$3:$D$305=B140) *
        (Transactions!$H$3:$H$305={"Cash Deposit","Crypto Deposit","Buy","Transfer Deposit","DRIP","Airdrop/Rewards"}) *
        Transactions!$I$3:$I$305
    )
    - SUMPRODUCT(
        (Transactions!$D$3:$D$305=B140) *
        (Transactions!$H$3:$H$305={"Sell","Transfer Send","Cash Withdrawal","Crypto Withdrawal"}) *
        Transactions!$I$3:$I$305
    )
)</f>
        <v>156</v>
      </c>
      <c r="Q140" s="1" cm="1">
        <f t="array" ref="Q140">IF(ISBLANK(B140), "",
    SUMPRODUCT(
        (Transactions!$D$3:$D$376=B140) *
        (Transactions!$H$3:$H$376={"Cash Deposit","Crypto Deposit","Buy","Transfer Deposit","DRIP","Airdrop/Rewards"}) *
        Transactions!$I$3:$I$376
    )
    - SUMPRODUCT(
        (Transactions!$D$3:$D$376=B140) *
        (Transactions!$H$3:$H$376={"Sell","Transfer Send","Cash Withdrawal","Crypto Withdrawal"}) *
        Transactions!$I$3:$I$376
    )
)</f>
        <v>156</v>
      </c>
      <c r="R140" s="1" cm="1">
        <f t="array" ref="R140">IF(ISBLANK(B140), "",
    SUMPRODUCT(
        (Transactions!$D$3:$D$1007=B140) *
        (Transactions!$H$3:$H$1007={"Cash Deposit","Crypto Deposit","Buy","Transfer Deposit","DRIP","Airdrop/Rewards"}) *
        Transactions!$I$3:$I$1007
    )
    - SUMPRODUCT(
        (Transactions!$D$3:$D$1007=B140) *
        (Transactions!$H$3:$H$1007={"Sell","Transfer Send","Cash Withdrawal","Crypto Withdrawal"}) *
        Transactions!$I$3:$I$1007
    )
)</f>
        <v>156</v>
      </c>
    </row>
    <row r="141" spans="1:18">
      <c r="A141" s="1" t="str">
        <v>SOL</v>
      </c>
      <c r="B141" s="1" t="s">
        <v>7</v>
      </c>
      <c r="C141" s="1" cm="1">
        <f t="array" ref="C141">IF(ISBLANK(B141), "",
    SUMPRODUCT(
        (Transactions!$D$3:$D$74=B141) *
        (Transactions!$H$3:$H$74={"Cash Deposit","Crypto Deposit","Buy","Transfer Deposit","DRIP","Airdrop/Rewards"}) *
        Transactions!$I$3:$I$74
    )
    - SUMPRODUCT(
        (Transactions!$D$3:$D$74=B141) *
        (Transactions!$H$3:$H$74={"Sell","Transfer Send","Cash Withdrawal","Crypto Withdrawal"}) *
        Transactions!$I$3:$I$74
    )
)</f>
        <v>5.1161733199999997</v>
      </c>
      <c r="D141" s="1" cm="1">
        <f t="array" ref="D141">IF(ISBLANK(B141), "",
    SUMPRODUCT(
        (Transactions!$D$3:$D$76=B141) *
        (Transactions!$H$3:$H$76={"Cash Deposit","Crypto Deposit","Buy","Transfer Deposit","DRIP","Airdrop/Rewards"}) *
        Transactions!$I$3:$I$76
    )
    - SUMPRODUCT(
        (Transactions!$D$3:$D$76=B141) *
        (Transactions!$H$3:$H$76={"Sell","Transfer Send","Cash Withdrawal","Crypto Withdrawal"}) *
        Transactions!$I$3:$I$76
    )
)</f>
        <v>5.1161733199999997</v>
      </c>
      <c r="E141" s="1" cm="1">
        <f t="array" ref="E141">IF(ISBLANK(B141), "",
    SUMPRODUCT(
        (Transactions!$D$3:$D$83=B141) *
        (Transactions!$H$3:$H$83={"Cash Deposit","Crypto Deposit","Buy","Transfer Deposit","DRIP","Airdrop/Rewards"}) *
        Transactions!$I$3:$I$83
    )
    - SUMPRODUCT(
        (Transactions!$D$3:$D$83=B141) *
        (Transactions!$H$3:$H$83={"Sell","Transfer Send","Cash Withdrawal","Crypto Withdrawal"}) *
        Transactions!$I$3:$I$83
    )
)</f>
        <v>5.1161733199999997</v>
      </c>
      <c r="F141" s="1" cm="1">
        <f t="array" ref="F141">IF(ISBLANK(B141), "",
    SUMPRODUCT(
        (Transactions!$D$3:$D$98=B141) *
        (Transactions!$H$3:$H$98={"Cash Deposit","Crypto Deposit","Buy","Transfer Deposit","DRIP","Airdrop/Rewards"}) *
        Transactions!$I$3:$I$98
    )
    - SUMPRODUCT(
        (Transactions!$D$3:$D$98=B141) *
        (Transactions!$H$3:$H$98={"Sell","Transfer Send","Cash Withdrawal","Crypto Withdrawal"}) *
        Transactions!$I$3:$I$98
    )
)</f>
        <v>5.1161733199999997</v>
      </c>
      <c r="G141" s="1" cm="1">
        <f t="array" ref="G141">IF(ISBLANK(B141), "",
    SUMPRODUCT(
        (Transactions!$D$3:$D$114=B141) *
        (Transactions!$H$3:$H$114={"Cash Deposit","Crypto Deposit","Buy","Transfer Deposit","DRIP","Airdrop/Rewards"}) *
        Transactions!$I$3:$I$114
    )
    - SUMPRODUCT(
        (Transactions!$D$3:$D$114=B141) *
        (Transactions!$H$3:$H$114={"Sell","Transfer Send","Cash Withdrawal","Crypto Withdrawal"}) *
        Transactions!$I$3:$I$114
    )
)</f>
        <v>5.1161733199999997</v>
      </c>
      <c r="H141" s="1" cm="1">
        <f t="array" ref="H141">IF(ISBLANK(B141), "",
    SUMPRODUCT(
        (Transactions!$D$3:$D$139=B141) *
        (Transactions!$H$3:$H$139={"Cash Deposit","Crypto Deposit","Buy","Transfer Deposit","DRIP","Airdrop/Rewards"}) *
        Transactions!$I$3:$I$139
    )
    - SUMPRODUCT(
        (Transactions!$D$3:$D$139=B141) *
        (Transactions!$H$3:$H$139={"Sell","Transfer Send","Cash Withdrawal","Crypto Withdrawal"}) *
        Transactions!$I$3:$I$139
    )
)</f>
        <v>5.1161733199999997</v>
      </c>
      <c r="I141" s="1" cm="1">
        <f t="array" ref="I141">IF(ISBLANK(B141), "",
    SUMPRODUCT(
        (Transactions!$D$3:$D$165=B141) *
        (Transactions!$H$3:$H$165={"Cash Deposit","Crypto Deposit","Buy","Transfer Deposit","DRIP","Airdrop/Rewards"}) *
        Transactions!$I$3:$I$165
    )
    - SUMPRODUCT(
        (Transactions!$D$3:$D$165=B141) *
        (Transactions!$H$3:$H$165={"Sell","Transfer Send","Cash Withdrawal","Crypto Withdrawal"}) *
        Transactions!$I$3:$I$165
    )
)</f>
        <v>5.1161733199999997</v>
      </c>
      <c r="J141" s="1" cm="1">
        <f t="array" ref="J141">IF(ISBLANK(B141), "",
    SUMPRODUCT(
        (Transactions!$D$3:$D$174=B141) *
        (Transactions!$H$3:$H$174={"Cash Deposit","Crypto Deposit","Buy","Transfer Deposit","DRIP","Airdrop/Rewards"}) *
        Transactions!$I$3:$I$174
    )
    - SUMPRODUCT(
        (Transactions!$D$3:$D$174=B141) *
        (Transactions!$H$3:$H$174={"Sell","Transfer Send","Cash Withdrawal","Crypto Withdrawal"}) *
        Transactions!$I$3:$I$174
    )
)</f>
        <v>5.1161733199999997</v>
      </c>
      <c r="K141" s="1" cm="1">
        <f t="array" ref="K141">IF(ISBLANK(B141), "",
    SUMPRODUCT(
        (Transactions!$D$3:$D$181=B141) *
        (Transactions!$H$3:$H$181={"Cash Deposit","Crypto Deposit","Buy","Transfer Deposit","DRIP","Airdrop/Rewards"}) *
        Transactions!$I$3:$I$181
    )
    - SUMPRODUCT(
        (Transactions!$D$3:$D$181=B141) *
        (Transactions!$H$3:$H$181={"Sell","Transfer Send","Cash Withdrawal","Crypto Withdrawal"}) *
        Transactions!$I$3:$I$181
    )
)</f>
        <v>5.1161733199999997</v>
      </c>
      <c r="L141" s="1" cm="1">
        <f t="array" ref="L141">IF(ISBLANK(B141), "",
    SUMPRODUCT(
        (Transactions!$D$3:$D$185=B141) *
        (Transactions!$H$3:$H$185={"Cash Deposit","Crypto Deposit","Buy","Transfer Deposit","DRIP","Airdrop/Rewards"}) *
        Transactions!$I$3:$I$185
    )
    - SUMPRODUCT(
        (Transactions!$D$3:$D$185=B141) *
        (Transactions!$H$3:$H$185={"Sell","Transfer Send","Cash Withdrawal","Crypto Withdrawal"}) *
        Transactions!$I$3:$I$185
    )
)</f>
        <v>5.1161733199999997</v>
      </c>
      <c r="M141" s="1" cm="1">
        <f t="array" ref="M141">IF(ISBLANK(B141), "",
    SUMPRODUCT(
        (Transactions!$D$3:$D$194=B141) *
        (Transactions!$H$3:$H$194={"Cash Deposit","Crypto Deposit","Buy","Transfer Deposit","DRIP","Airdrop/Rewards"}) *
        Transactions!$I$3:$I$194
    )
    - SUMPRODUCT(
        (Transactions!$D$3:$D$194=B141) *
        (Transactions!$H$3:$H$194={"Sell","Transfer Send","Cash Withdrawal","Crypto Withdrawal"}) *
        Transactions!$I$3:$I$194
    )
)</f>
        <v>5.1161733199999997</v>
      </c>
      <c r="N141" s="1" cm="1">
        <f t="array" ref="N141">IF(ISBLANK(B141), "",
    SUMPRODUCT(
        (Transactions!$D$3:$D$201=B141) *
        (Transactions!$H$3:$H$201={"Cash Deposit","Crypto Deposit","Buy","Transfer Deposit","DRIP","Airdrop/Rewards"}) *
        Transactions!$I$3:$I$201
    )
    - SUMPRODUCT(
        (Transactions!$D$3:$D$201=B141) *
        (Transactions!$H$3:$H$201={"Sell","Transfer Send","Cash Withdrawal","Crypto Withdrawal"}) *
        Transactions!$I$3:$I$201
    )
)</f>
        <v>5.1161733199999997</v>
      </c>
      <c r="O141" s="1" cm="1">
        <f t="array" ref="O141">IF(ISBLANK(B141), "",
    SUMPRODUCT(
        (Transactions!$D$3:$D$229=B141) *
        (Transactions!$H$3:$H$229={"Cash Deposit","Crypto Deposit","Buy","Transfer Deposit","DRIP","Airdrop/Rewards"}) *
        Transactions!$I$3:$I$229
    )
    - SUMPRODUCT(
        (Transactions!$D$3:$D$229=B141) *
        (Transactions!$H$3:$H$229={"Sell","Transfer Send","Cash Withdrawal","Crypto Withdrawal"}) *
        Transactions!$I$3:$I$229
    )
)</f>
        <v>6.3861733199999993</v>
      </c>
      <c r="P141" s="1" cm="1">
        <f t="array" ref="P141">IF(ISBLANK(B141), "",
    SUMPRODUCT(
        (Transactions!$D$3:$D$305=B141) *
        (Transactions!$H$3:$H$305={"Cash Deposit","Crypto Deposit","Buy","Transfer Deposit","DRIP","Airdrop/Rewards"}) *
        Transactions!$I$3:$I$305
    )
    - SUMPRODUCT(
        (Transactions!$D$3:$D$305=B141) *
        (Transactions!$H$3:$H$305={"Sell","Transfer Send","Cash Withdrawal","Crypto Withdrawal"}) *
        Transactions!$I$3:$I$305
    )
)</f>
        <v>6.3861733199999993</v>
      </c>
      <c r="Q141" s="1" cm="1">
        <f t="array" ref="Q141">IF(ISBLANK(B141), "",
    SUMPRODUCT(
        (Transactions!$D$3:$D$376=B141) *
        (Transactions!$H$3:$H$376={"Cash Deposit","Crypto Deposit","Buy","Transfer Deposit","DRIP","Airdrop/Rewards"}) *
        Transactions!$I$3:$I$376
    )
    - SUMPRODUCT(
        (Transactions!$D$3:$D$376=B141) *
        (Transactions!$H$3:$H$376={"Sell","Transfer Send","Cash Withdrawal","Crypto Withdrawal"}) *
        Transactions!$I$3:$I$376
    )
)</f>
        <v>6.3861733199999993</v>
      </c>
      <c r="R141" s="1" cm="1">
        <f t="array" ref="R141">IF(ISBLANK(B141), "",
    SUMPRODUCT(
        (Transactions!$D$3:$D$1007=B141) *
        (Transactions!$H$3:$H$1007={"Cash Deposit","Crypto Deposit","Buy","Transfer Deposit","DRIP","Airdrop/Rewards"}) *
        Transactions!$I$3:$I$1007
    )
    - SUMPRODUCT(
        (Transactions!$D$3:$D$1007=B141) *
        (Transactions!$H$3:$H$1007={"Sell","Transfer Send","Cash Withdrawal","Crypto Withdrawal"}) *
        Transactions!$I$3:$I$1007
    )
)</f>
        <v>6.3861733199999984</v>
      </c>
    </row>
    <row r="142" spans="1:18">
      <c r="A142" s="1" t="str">
        <v>STX</v>
      </c>
      <c r="B142" s="1" t="s">
        <v>57</v>
      </c>
      <c r="C142" s="1" cm="1">
        <f t="array" ref="C142">IF(ISBLANK(B142), "",
    SUMPRODUCT(
        (Transactions!$D$3:$D$74=B142) *
        (Transactions!$H$3:$H$74={"Cash Deposit","Crypto Deposit","Buy","Transfer Deposit","DRIP","Airdrop/Rewards"}) *
        Transactions!$I$3:$I$74
    )
    - SUMPRODUCT(
        (Transactions!$D$3:$D$74=B142) *
        (Transactions!$H$3:$H$74={"Sell","Transfer Send","Cash Withdrawal","Crypto Withdrawal"}) *
        Transactions!$I$3:$I$74
    )
)</f>
        <v>1298.7155</v>
      </c>
      <c r="D142" s="1" cm="1">
        <f t="array" ref="D142">IF(ISBLANK(B142), "",
    SUMPRODUCT(
        (Transactions!$D$3:$D$76=B142) *
        (Transactions!$H$3:$H$76={"Cash Deposit","Crypto Deposit","Buy","Transfer Deposit","DRIP","Airdrop/Rewards"}) *
        Transactions!$I$3:$I$76
    )
    - SUMPRODUCT(
        (Transactions!$D$3:$D$76=B142) *
        (Transactions!$H$3:$H$76={"Sell","Transfer Send","Cash Withdrawal","Crypto Withdrawal"}) *
        Transactions!$I$3:$I$76
    )
)</f>
        <v>1298.7155</v>
      </c>
      <c r="E142" s="1" cm="1">
        <f t="array" ref="E142">IF(ISBLANK(B142), "",
    SUMPRODUCT(
        (Transactions!$D$3:$D$83=B142) *
        (Transactions!$H$3:$H$83={"Cash Deposit","Crypto Deposit","Buy","Transfer Deposit","DRIP","Airdrop/Rewards"}) *
        Transactions!$I$3:$I$83
    )
    - SUMPRODUCT(
        (Transactions!$D$3:$D$83=B142) *
        (Transactions!$H$3:$H$83={"Sell","Transfer Send","Cash Withdrawal","Crypto Withdrawal"}) *
        Transactions!$I$3:$I$83
    )
)</f>
        <v>1298.7155</v>
      </c>
      <c r="F142" s="1" cm="1">
        <f t="array" ref="F142">IF(ISBLANK(B142), "",
    SUMPRODUCT(
        (Transactions!$D$3:$D$98=B142) *
        (Transactions!$H$3:$H$98={"Cash Deposit","Crypto Deposit","Buy","Transfer Deposit","DRIP","Airdrop/Rewards"}) *
        Transactions!$I$3:$I$98
    )
    - SUMPRODUCT(
        (Transactions!$D$3:$D$98=B142) *
        (Transactions!$H$3:$H$98={"Sell","Transfer Send","Cash Withdrawal","Crypto Withdrawal"}) *
        Transactions!$I$3:$I$98
    )
)</f>
        <v>1298.7155</v>
      </c>
      <c r="G142" s="1" cm="1">
        <f t="array" ref="G142">IF(ISBLANK(B142), "",
    SUMPRODUCT(
        (Transactions!$D$3:$D$114=B142) *
        (Transactions!$H$3:$H$114={"Cash Deposit","Crypto Deposit","Buy","Transfer Deposit","DRIP","Airdrop/Rewards"}) *
        Transactions!$I$3:$I$114
    )
    - SUMPRODUCT(
        (Transactions!$D$3:$D$114=B142) *
        (Transactions!$H$3:$H$114={"Sell","Transfer Send","Cash Withdrawal","Crypto Withdrawal"}) *
        Transactions!$I$3:$I$114
    )
)</f>
        <v>1298.7155</v>
      </c>
      <c r="H142" s="1" cm="1">
        <f t="array" ref="H142">IF(ISBLANK(B142), "",
    SUMPRODUCT(
        (Transactions!$D$3:$D$139=B142) *
        (Transactions!$H$3:$H$139={"Cash Deposit","Crypto Deposit","Buy","Transfer Deposit","DRIP","Airdrop/Rewards"}) *
        Transactions!$I$3:$I$139
    )
    - SUMPRODUCT(
        (Transactions!$D$3:$D$139=B142) *
        (Transactions!$H$3:$H$139={"Sell","Transfer Send","Cash Withdrawal","Crypto Withdrawal"}) *
        Transactions!$I$3:$I$139
    )
)</f>
        <v>1298.7155</v>
      </c>
      <c r="I142" s="1" cm="1">
        <f t="array" ref="I142">IF(ISBLANK(B142), "",
    SUMPRODUCT(
        (Transactions!$D$3:$D$165=B142) *
        (Transactions!$H$3:$H$165={"Cash Deposit","Crypto Deposit","Buy","Transfer Deposit","DRIP","Airdrop/Rewards"}) *
        Transactions!$I$3:$I$165
    )
    - SUMPRODUCT(
        (Transactions!$D$3:$D$165=B142) *
        (Transactions!$H$3:$H$165={"Sell","Transfer Send","Cash Withdrawal","Crypto Withdrawal"}) *
        Transactions!$I$3:$I$165
    )
)</f>
        <v>1298.7155</v>
      </c>
      <c r="J142" s="1" cm="1">
        <f t="array" ref="J142">IF(ISBLANK(B142), "",
    SUMPRODUCT(
        (Transactions!$D$3:$D$174=B142) *
        (Transactions!$H$3:$H$174={"Cash Deposit","Crypto Deposit","Buy","Transfer Deposit","DRIP","Airdrop/Rewards"}) *
        Transactions!$I$3:$I$174
    )
    - SUMPRODUCT(
        (Transactions!$D$3:$D$174=B142) *
        (Transactions!$H$3:$H$174={"Sell","Transfer Send","Cash Withdrawal","Crypto Withdrawal"}) *
        Transactions!$I$3:$I$174
    )
)</f>
        <v>1298.7155</v>
      </c>
      <c r="K142" s="1" cm="1">
        <f t="array" ref="K142">IF(ISBLANK(B142), "",
    SUMPRODUCT(
        (Transactions!$D$3:$D$181=B142) *
        (Transactions!$H$3:$H$181={"Cash Deposit","Crypto Deposit","Buy","Transfer Deposit","DRIP","Airdrop/Rewards"}) *
        Transactions!$I$3:$I$181
    )
    - SUMPRODUCT(
        (Transactions!$D$3:$D$181=B142) *
        (Transactions!$H$3:$H$181={"Sell","Transfer Send","Cash Withdrawal","Crypto Withdrawal"}) *
        Transactions!$I$3:$I$181
    )
)</f>
        <v>1298.7155</v>
      </c>
      <c r="L142" s="1" cm="1">
        <f t="array" ref="L142">IF(ISBLANK(B142), "",
    SUMPRODUCT(
        (Transactions!$D$3:$D$185=B142) *
        (Transactions!$H$3:$H$185={"Cash Deposit","Crypto Deposit","Buy","Transfer Deposit","DRIP","Airdrop/Rewards"}) *
        Transactions!$I$3:$I$185
    )
    - SUMPRODUCT(
        (Transactions!$D$3:$D$185=B142) *
        (Transactions!$H$3:$H$185={"Sell","Transfer Send","Cash Withdrawal","Crypto Withdrawal"}) *
        Transactions!$I$3:$I$185
    )
)</f>
        <v>1298.7155</v>
      </c>
      <c r="M142" s="1" cm="1">
        <f t="array" ref="M142">IF(ISBLANK(B142), "",
    SUMPRODUCT(
        (Transactions!$D$3:$D$194=B142) *
        (Transactions!$H$3:$H$194={"Cash Deposit","Crypto Deposit","Buy","Transfer Deposit","DRIP","Airdrop/Rewards"}) *
        Transactions!$I$3:$I$194
    )
    - SUMPRODUCT(
        (Transactions!$D$3:$D$194=B142) *
        (Transactions!$H$3:$H$194={"Sell","Transfer Send","Cash Withdrawal","Crypto Withdrawal"}) *
        Transactions!$I$3:$I$194
    )
)</f>
        <v>1298.7155</v>
      </c>
      <c r="N142" s="1" cm="1">
        <f t="array" ref="N142">IF(ISBLANK(B142), "",
    SUMPRODUCT(
        (Transactions!$D$3:$D$201=B142) *
        (Transactions!$H$3:$H$201={"Cash Deposit","Crypto Deposit","Buy","Transfer Deposit","DRIP","Airdrop/Rewards"}) *
        Transactions!$I$3:$I$201
    )
    - SUMPRODUCT(
        (Transactions!$D$3:$D$201=B142) *
        (Transactions!$H$3:$H$201={"Sell","Transfer Send","Cash Withdrawal","Crypto Withdrawal"}) *
        Transactions!$I$3:$I$201
    )
)</f>
        <v>1298.7155</v>
      </c>
      <c r="O142" s="1" cm="1">
        <f t="array" ref="O142">IF(ISBLANK(B142), "",
    SUMPRODUCT(
        (Transactions!$D$3:$D$229=B142) *
        (Transactions!$H$3:$H$229={"Cash Deposit","Crypto Deposit","Buy","Transfer Deposit","DRIP","Airdrop/Rewards"}) *
        Transactions!$I$3:$I$229
    )
    - SUMPRODUCT(
        (Transactions!$D$3:$D$229=B142) *
        (Transactions!$H$3:$H$229={"Sell","Transfer Send","Cash Withdrawal","Crypto Withdrawal"}) *
        Transactions!$I$3:$I$229
    )
)</f>
        <v>1298.7155</v>
      </c>
      <c r="P142" s="1" cm="1">
        <f t="array" ref="P142">IF(ISBLANK(B142), "",
    SUMPRODUCT(
        (Transactions!$D$3:$D$305=B142) *
        (Transactions!$H$3:$H$305={"Cash Deposit","Crypto Deposit","Buy","Transfer Deposit","DRIP","Airdrop/Rewards"}) *
        Transactions!$I$3:$I$305
    )
    - SUMPRODUCT(
        (Transactions!$D$3:$D$305=B142) *
        (Transactions!$H$3:$H$305={"Sell","Transfer Send","Cash Withdrawal","Crypto Withdrawal"}) *
        Transactions!$I$3:$I$305
    )
)</f>
        <v>863.71550000000002</v>
      </c>
      <c r="Q142" s="1" cm="1">
        <f t="array" ref="Q142">IF(ISBLANK(B142), "",
    SUMPRODUCT(
        (Transactions!$D$3:$D$376=B142) *
        (Transactions!$H$3:$H$376={"Cash Deposit","Crypto Deposit","Buy","Transfer Deposit","DRIP","Airdrop/Rewards"}) *
        Transactions!$I$3:$I$376
    )
    - SUMPRODUCT(
        (Transactions!$D$3:$D$376=B142) *
        (Transactions!$H$3:$H$376={"Sell","Transfer Send","Cash Withdrawal","Crypto Withdrawal"}) *
        Transactions!$I$3:$I$376
    )
)</f>
        <v>940.71550000000002</v>
      </c>
      <c r="R142" s="1" cm="1">
        <f t="array" ref="R142">IF(ISBLANK(B142), "",
    SUMPRODUCT(
        (Transactions!$D$3:$D$1007=B142) *
        (Transactions!$H$3:$H$1007={"Cash Deposit","Crypto Deposit","Buy","Transfer Deposit","DRIP","Airdrop/Rewards"}) *
        Transactions!$I$3:$I$1007
    )
    - SUMPRODUCT(
        (Transactions!$D$3:$D$1007=B142) *
        (Transactions!$H$3:$H$1007={"Sell","Transfer Send","Cash Withdrawal","Crypto Withdrawal"}) *
        Transactions!$I$3:$I$1007
    )
)</f>
        <v>962.2311900000002</v>
      </c>
    </row>
    <row r="143" spans="1:18">
      <c r="A143" s="1" t="str">
        <v>SUPER</v>
      </c>
      <c r="B143" s="1" t="s">
        <v>475</v>
      </c>
      <c r="C143" s="1" cm="1">
        <f t="array" ref="C143">IF(ISBLANK(B143), "",
    SUMPRODUCT(
        (Transactions!$D$3:$D$74=B143) *
        (Transactions!$H$3:$H$74={"Cash Deposit","Crypto Deposit","Buy","Transfer Deposit","DRIP","Airdrop/Rewards"}) *
        Transactions!$I$3:$I$74
    )
    - SUMPRODUCT(
        (Transactions!$D$3:$D$74=B143) *
        (Transactions!$H$3:$H$74={"Sell","Transfer Send","Cash Withdrawal","Crypto Withdrawal"}) *
        Transactions!$I$3:$I$74
    )
)</f>
        <v>0</v>
      </c>
      <c r="D143" s="1" cm="1">
        <f t="array" ref="D143">IF(ISBLANK(B143), "",
    SUMPRODUCT(
        (Transactions!$D$3:$D$76=B143) *
        (Transactions!$H$3:$H$76={"Cash Deposit","Crypto Deposit","Buy","Transfer Deposit","DRIP","Airdrop/Rewards"}) *
        Transactions!$I$3:$I$76
    )
    - SUMPRODUCT(
        (Transactions!$D$3:$D$76=B143) *
        (Transactions!$H$3:$H$76={"Sell","Transfer Send","Cash Withdrawal","Crypto Withdrawal"}) *
        Transactions!$I$3:$I$76
    )
)</f>
        <v>0</v>
      </c>
      <c r="E143" s="1" cm="1">
        <f t="array" ref="E143">IF(ISBLANK(B143), "",
    SUMPRODUCT(
        (Transactions!$D$3:$D$83=B143) *
        (Transactions!$H$3:$H$83={"Cash Deposit","Crypto Deposit","Buy","Transfer Deposit","DRIP","Airdrop/Rewards"}) *
        Transactions!$I$3:$I$83
    )
    - SUMPRODUCT(
        (Transactions!$D$3:$D$83=B143) *
        (Transactions!$H$3:$H$83={"Sell","Transfer Send","Cash Withdrawal","Crypto Withdrawal"}) *
        Transactions!$I$3:$I$83
    )
)</f>
        <v>0</v>
      </c>
      <c r="F143" s="1" cm="1">
        <f t="array" ref="F143">IF(ISBLANK(B143), "",
    SUMPRODUCT(
        (Transactions!$D$3:$D$98=B143) *
        (Transactions!$H$3:$H$98={"Cash Deposit","Crypto Deposit","Buy","Transfer Deposit","DRIP","Airdrop/Rewards"}) *
        Transactions!$I$3:$I$98
    )
    - SUMPRODUCT(
        (Transactions!$D$3:$D$98=B143) *
        (Transactions!$H$3:$H$98={"Sell","Transfer Send","Cash Withdrawal","Crypto Withdrawal"}) *
        Transactions!$I$3:$I$98
    )
)</f>
        <v>0</v>
      </c>
      <c r="G143" s="1" cm="1">
        <f t="array" ref="G143">IF(ISBLANK(B143), "",
    SUMPRODUCT(
        (Transactions!$D$3:$D$114=B143) *
        (Transactions!$H$3:$H$114={"Cash Deposit","Crypto Deposit","Buy","Transfer Deposit","DRIP","Airdrop/Rewards"}) *
        Transactions!$I$3:$I$114
    )
    - SUMPRODUCT(
        (Transactions!$D$3:$D$114=B143) *
        (Transactions!$H$3:$H$114={"Sell","Transfer Send","Cash Withdrawal","Crypto Withdrawal"}) *
        Transactions!$I$3:$I$114
    )
)</f>
        <v>0</v>
      </c>
      <c r="H143" s="1" cm="1">
        <f t="array" ref="H143">IF(ISBLANK(B143), "",
    SUMPRODUCT(
        (Transactions!$D$3:$D$139=B143) *
        (Transactions!$H$3:$H$139={"Cash Deposit","Crypto Deposit","Buy","Transfer Deposit","DRIP","Airdrop/Rewards"}) *
        Transactions!$I$3:$I$139
    )
    - SUMPRODUCT(
        (Transactions!$D$3:$D$139=B143) *
        (Transactions!$H$3:$H$139={"Sell","Transfer Send","Cash Withdrawal","Crypto Withdrawal"}) *
        Transactions!$I$3:$I$139
    )
)</f>
        <v>0</v>
      </c>
      <c r="I143" s="1" cm="1">
        <f t="array" ref="I143">IF(ISBLANK(B143), "",
    SUMPRODUCT(
        (Transactions!$D$3:$D$165=B143) *
        (Transactions!$H$3:$H$165={"Cash Deposit","Crypto Deposit","Buy","Transfer Deposit","DRIP","Airdrop/Rewards"}) *
        Transactions!$I$3:$I$165
    )
    - SUMPRODUCT(
        (Transactions!$D$3:$D$165=B143) *
        (Transactions!$H$3:$H$165={"Sell","Transfer Send","Cash Withdrawal","Crypto Withdrawal"}) *
        Transactions!$I$3:$I$165
    )
)</f>
        <v>0</v>
      </c>
      <c r="J143" s="1" cm="1">
        <f t="array" ref="J143">IF(ISBLANK(B143), "",
    SUMPRODUCT(
        (Transactions!$D$3:$D$174=B143) *
        (Transactions!$H$3:$H$174={"Cash Deposit","Crypto Deposit","Buy","Transfer Deposit","DRIP","Airdrop/Rewards"}) *
        Transactions!$I$3:$I$174
    )
    - SUMPRODUCT(
        (Transactions!$D$3:$D$174=B143) *
        (Transactions!$H$3:$H$174={"Sell","Transfer Send","Cash Withdrawal","Crypto Withdrawal"}) *
        Transactions!$I$3:$I$174
    )
)</f>
        <v>0</v>
      </c>
      <c r="K143" s="1" cm="1">
        <f t="array" ref="K143">IF(ISBLANK(B143), "",
    SUMPRODUCT(
        (Transactions!$D$3:$D$181=B143) *
        (Transactions!$H$3:$H$181={"Cash Deposit","Crypto Deposit","Buy","Transfer Deposit","DRIP","Airdrop/Rewards"}) *
        Transactions!$I$3:$I$181
    )
    - SUMPRODUCT(
        (Transactions!$D$3:$D$181=B143) *
        (Transactions!$H$3:$H$181={"Sell","Transfer Send","Cash Withdrawal","Crypto Withdrawal"}) *
        Transactions!$I$3:$I$181
    )
)</f>
        <v>0</v>
      </c>
      <c r="L143" s="1" cm="1">
        <f t="array" ref="L143">IF(ISBLANK(B143), "",
    SUMPRODUCT(
        (Transactions!$D$3:$D$185=B143) *
        (Transactions!$H$3:$H$185={"Cash Deposit","Crypto Deposit","Buy","Transfer Deposit","DRIP","Airdrop/Rewards"}) *
        Transactions!$I$3:$I$185
    )
    - SUMPRODUCT(
        (Transactions!$D$3:$D$185=B143) *
        (Transactions!$H$3:$H$185={"Sell","Transfer Send","Cash Withdrawal","Crypto Withdrawal"}) *
        Transactions!$I$3:$I$185
    )
)</f>
        <v>0</v>
      </c>
      <c r="M143" s="1" cm="1">
        <f t="array" ref="M143">IF(ISBLANK(B143), "",
    SUMPRODUCT(
        (Transactions!$D$3:$D$194=B143) *
        (Transactions!$H$3:$H$194={"Cash Deposit","Crypto Deposit","Buy","Transfer Deposit","DRIP","Airdrop/Rewards"}) *
        Transactions!$I$3:$I$194
    )
    - SUMPRODUCT(
        (Transactions!$D$3:$D$194=B143) *
        (Transactions!$H$3:$H$194={"Sell","Transfer Send","Cash Withdrawal","Crypto Withdrawal"}) *
        Transactions!$I$3:$I$194
    )
)</f>
        <v>0</v>
      </c>
      <c r="N143" s="1" cm="1">
        <f t="array" ref="N143">IF(ISBLANK(B143), "",
    SUMPRODUCT(
        (Transactions!$D$3:$D$201=B143) *
        (Transactions!$H$3:$H$201={"Cash Deposit","Crypto Deposit","Buy","Transfer Deposit","DRIP","Airdrop/Rewards"}) *
        Transactions!$I$3:$I$201
    )
    - SUMPRODUCT(
        (Transactions!$D$3:$D$201=B143) *
        (Transactions!$H$3:$H$201={"Sell","Transfer Send","Cash Withdrawal","Crypto Withdrawal"}) *
        Transactions!$I$3:$I$201
    )
)</f>
        <v>0</v>
      </c>
      <c r="O143" s="1" cm="1">
        <f t="array" ref="O143">IF(ISBLANK(B143), "",
    SUMPRODUCT(
        (Transactions!$D$3:$D$229=B143) *
        (Transactions!$H$3:$H$229={"Cash Deposit","Crypto Deposit","Buy","Transfer Deposit","DRIP","Airdrop/Rewards"}) *
        Transactions!$I$3:$I$229
    )
    - SUMPRODUCT(
        (Transactions!$D$3:$D$229=B143) *
        (Transactions!$H$3:$H$229={"Sell","Transfer Send","Cash Withdrawal","Crypto Withdrawal"}) *
        Transactions!$I$3:$I$229
    )
)</f>
        <v>0</v>
      </c>
      <c r="P143" s="1" cm="1">
        <f t="array" ref="P143">IF(ISBLANK(B143), "",
    SUMPRODUCT(
        (Transactions!$D$3:$D$305=B143) *
        (Transactions!$H$3:$H$305={"Cash Deposit","Crypto Deposit","Buy","Transfer Deposit","DRIP","Airdrop/Rewards"}) *
        Transactions!$I$3:$I$305
    )
    - SUMPRODUCT(
        (Transactions!$D$3:$D$305=B143) *
        (Transactions!$H$3:$H$305={"Sell","Transfer Send","Cash Withdrawal","Crypto Withdrawal"}) *
        Transactions!$I$3:$I$305
    )
)</f>
        <v>150</v>
      </c>
      <c r="Q143" s="1" cm="1">
        <f t="array" ref="Q143">IF(ISBLANK(B143), "",
    SUMPRODUCT(
        (Transactions!$D$3:$D$376=B143) *
        (Transactions!$H$3:$H$376={"Cash Deposit","Crypto Deposit","Buy","Transfer Deposit","DRIP","Airdrop/Rewards"}) *
        Transactions!$I$3:$I$376
    )
    - SUMPRODUCT(
        (Transactions!$D$3:$D$376=B143) *
        (Transactions!$H$3:$H$376={"Sell","Transfer Send","Cash Withdrawal","Crypto Withdrawal"}) *
        Transactions!$I$3:$I$376
    )
)</f>
        <v>300</v>
      </c>
      <c r="R143" s="1" cm="1">
        <f t="array" ref="R143">IF(ISBLANK(B143), "",
    SUMPRODUCT(
        (Transactions!$D$3:$D$1007=B143) *
        (Transactions!$H$3:$H$1007={"Cash Deposit","Crypto Deposit","Buy","Transfer Deposit","DRIP","Airdrop/Rewards"}) *
        Transactions!$I$3:$I$1007
    )
    - SUMPRODUCT(
        (Transactions!$D$3:$D$1007=B143) *
        (Transactions!$H$3:$H$1007={"Sell","Transfer Send","Cash Withdrawal","Crypto Withdrawal"}) *
        Transactions!$I$3:$I$1007
    )
)</f>
        <v>300</v>
      </c>
    </row>
    <row r="144" spans="1:18">
      <c r="A144" s="1" t="str">
        <v>THE</v>
      </c>
      <c r="B144" s="1" t="s">
        <v>69</v>
      </c>
      <c r="C144" s="1" cm="1">
        <f t="array" ref="C144">IF(ISBLANK(B144), "",
    SUMPRODUCT(
        (Transactions!$D$3:$D$74=B144) *
        (Transactions!$H$3:$H$74={"Cash Deposit","Crypto Deposit","Buy","Transfer Deposit","DRIP","Airdrop/Rewards"}) *
        Transactions!$I$3:$I$74
    )
    - SUMPRODUCT(
        (Transactions!$D$3:$D$74=B144) *
        (Transactions!$H$3:$H$74={"Sell","Transfer Send","Cash Withdrawal","Crypto Withdrawal"}) *
        Transactions!$I$3:$I$74
    )
)</f>
        <v>0</v>
      </c>
      <c r="D144" s="1" cm="1">
        <f t="array" ref="D144">IF(ISBLANK(B144), "",
    SUMPRODUCT(
        (Transactions!$D$3:$D$76=B144) *
        (Transactions!$H$3:$H$76={"Cash Deposit","Crypto Deposit","Buy","Transfer Deposit","DRIP","Airdrop/Rewards"}) *
        Transactions!$I$3:$I$76
    )
    - SUMPRODUCT(
        (Transactions!$D$3:$D$76=B144) *
        (Transactions!$H$3:$H$76={"Sell","Transfer Send","Cash Withdrawal","Crypto Withdrawal"}) *
        Transactions!$I$3:$I$76
    )
)</f>
        <v>0</v>
      </c>
      <c r="E144" s="1" cm="1">
        <f t="array" ref="E144">IF(ISBLANK(B144), "",
    SUMPRODUCT(
        (Transactions!$D$3:$D$83=B144) *
        (Transactions!$H$3:$H$83={"Cash Deposit","Crypto Deposit","Buy","Transfer Deposit","DRIP","Airdrop/Rewards"}) *
        Transactions!$I$3:$I$83
    )
    - SUMPRODUCT(
        (Transactions!$D$3:$D$83=B144) *
        (Transactions!$H$3:$H$83={"Sell","Transfer Send","Cash Withdrawal","Crypto Withdrawal"}) *
        Transactions!$I$3:$I$83
    )
)</f>
        <v>0</v>
      </c>
      <c r="F144" s="1" cm="1">
        <f t="array" ref="F144">IF(ISBLANK(B144), "",
    SUMPRODUCT(
        (Transactions!$D$3:$D$98=B144) *
        (Transactions!$H$3:$H$98={"Cash Deposit","Crypto Deposit","Buy","Transfer Deposit","DRIP","Airdrop/Rewards"}) *
        Transactions!$I$3:$I$98
    )
    - SUMPRODUCT(
        (Transactions!$D$3:$D$98=B144) *
        (Transactions!$H$3:$H$98={"Sell","Transfer Send","Cash Withdrawal","Crypto Withdrawal"}) *
        Transactions!$I$3:$I$98
    )
)</f>
        <v>0</v>
      </c>
      <c r="G144" s="1" cm="1">
        <f t="array" ref="G144">IF(ISBLANK(B144), "",
    SUMPRODUCT(
        (Transactions!$D$3:$D$114=B144) *
        (Transactions!$H$3:$H$114={"Cash Deposit","Crypto Deposit","Buy","Transfer Deposit","DRIP","Airdrop/Rewards"}) *
        Transactions!$I$3:$I$114
    )
    - SUMPRODUCT(
        (Transactions!$D$3:$D$114=B144) *
        (Transactions!$H$3:$H$114={"Sell","Transfer Send","Cash Withdrawal","Crypto Withdrawal"}) *
        Transactions!$I$3:$I$114
    )
)</f>
        <v>0</v>
      </c>
      <c r="H144" s="1" cm="1">
        <f t="array" ref="H144">IF(ISBLANK(B144), "",
    SUMPRODUCT(
        (Transactions!$D$3:$D$139=B144) *
        (Transactions!$H$3:$H$139={"Cash Deposit","Crypto Deposit","Buy","Transfer Deposit","DRIP","Airdrop/Rewards"}) *
        Transactions!$I$3:$I$139
    )
    - SUMPRODUCT(
        (Transactions!$D$3:$D$139=B144) *
        (Transactions!$H$3:$H$139={"Sell","Transfer Send","Cash Withdrawal","Crypto Withdrawal"}) *
        Transactions!$I$3:$I$139
    )
)</f>
        <v>0</v>
      </c>
      <c r="I144" s="1" cm="1">
        <f t="array" ref="I144">IF(ISBLANK(B144), "",
    SUMPRODUCT(
        (Transactions!$D$3:$D$165=B144) *
        (Transactions!$H$3:$H$165={"Cash Deposit","Crypto Deposit","Buy","Transfer Deposit","DRIP","Airdrop/Rewards"}) *
        Transactions!$I$3:$I$165
    )
    - SUMPRODUCT(
        (Transactions!$D$3:$D$165=B144) *
        (Transactions!$H$3:$H$165={"Sell","Transfer Send","Cash Withdrawal","Crypto Withdrawal"}) *
        Transactions!$I$3:$I$165
    )
)</f>
        <v>0</v>
      </c>
      <c r="J144" s="1" cm="1">
        <f t="array" ref="J144">IF(ISBLANK(B144), "",
    SUMPRODUCT(
        (Transactions!$D$3:$D$174=B144) *
        (Transactions!$H$3:$H$174={"Cash Deposit","Crypto Deposit","Buy","Transfer Deposit","DRIP","Airdrop/Rewards"}) *
        Transactions!$I$3:$I$174
    )
    - SUMPRODUCT(
        (Transactions!$D$3:$D$174=B144) *
        (Transactions!$H$3:$H$174={"Sell","Transfer Send","Cash Withdrawal","Crypto Withdrawal"}) *
        Transactions!$I$3:$I$174
    )
)</f>
        <v>0</v>
      </c>
      <c r="K144" s="1" cm="1">
        <f t="array" ref="K144">IF(ISBLANK(B144), "",
    SUMPRODUCT(
        (Transactions!$D$3:$D$181=B144) *
        (Transactions!$H$3:$H$181={"Cash Deposit","Crypto Deposit","Buy","Transfer Deposit","DRIP","Airdrop/Rewards"}) *
        Transactions!$I$3:$I$181
    )
    - SUMPRODUCT(
        (Transactions!$D$3:$D$181=B144) *
        (Transactions!$H$3:$H$181={"Sell","Transfer Send","Cash Withdrawal","Crypto Withdrawal"}) *
        Transactions!$I$3:$I$181
    )
)</f>
        <v>0</v>
      </c>
      <c r="L144" s="1" cm="1">
        <f t="array" ref="L144">IF(ISBLANK(B144), "",
    SUMPRODUCT(
        (Transactions!$D$3:$D$185=B144) *
        (Transactions!$H$3:$H$185={"Cash Deposit","Crypto Deposit","Buy","Transfer Deposit","DRIP","Airdrop/Rewards"}) *
        Transactions!$I$3:$I$185
    )
    - SUMPRODUCT(
        (Transactions!$D$3:$D$185=B144) *
        (Transactions!$H$3:$H$185={"Sell","Transfer Send","Cash Withdrawal","Crypto Withdrawal"}) *
        Transactions!$I$3:$I$185
    )
)</f>
        <v>0</v>
      </c>
      <c r="M144" s="1" cm="1">
        <f t="array" ref="M144">IF(ISBLANK(B144), "",
    SUMPRODUCT(
        (Transactions!$D$3:$D$194=B144) *
        (Transactions!$H$3:$H$194={"Cash Deposit","Crypto Deposit","Buy","Transfer Deposit","DRIP","Airdrop/Rewards"}) *
        Transactions!$I$3:$I$194
    )
    - SUMPRODUCT(
        (Transactions!$D$3:$D$194=B144) *
        (Transactions!$H$3:$H$194={"Sell","Transfer Send","Cash Withdrawal","Crypto Withdrawal"}) *
        Transactions!$I$3:$I$194
    )
)</f>
        <v>1002.97</v>
      </c>
      <c r="N144" s="1" cm="1">
        <f t="array" ref="N144">IF(ISBLANK(B144), "",
    SUMPRODUCT(
        (Transactions!$D$3:$D$201=B144) *
        (Transactions!$H$3:$H$201={"Cash Deposit","Crypto Deposit","Buy","Transfer Deposit","DRIP","Airdrop/Rewards"}) *
        Transactions!$I$3:$I$201
    )
    - SUMPRODUCT(
        (Transactions!$D$3:$D$201=B144) *
        (Transactions!$H$3:$H$201={"Sell","Transfer Send","Cash Withdrawal","Crypto Withdrawal"}) *
        Transactions!$I$3:$I$201
    )
)</f>
        <v>1002.97</v>
      </c>
      <c r="O144" s="1" cm="1">
        <f t="array" ref="O144">IF(ISBLANK(B144), "",
    SUMPRODUCT(
        (Transactions!$D$3:$D$229=B144) *
        (Transactions!$H$3:$H$229={"Cash Deposit","Crypto Deposit","Buy","Transfer Deposit","DRIP","Airdrop/Rewards"}) *
        Transactions!$I$3:$I$229
    )
    - SUMPRODUCT(
        (Transactions!$D$3:$D$229=B144) *
        (Transactions!$H$3:$H$229={"Sell","Transfer Send","Cash Withdrawal","Crypto Withdrawal"}) *
        Transactions!$I$3:$I$229
    )
)</f>
        <v>1002.97</v>
      </c>
      <c r="P144" s="1" cm="1">
        <f t="array" ref="P144">IF(ISBLANK(B144), "",
    SUMPRODUCT(
        (Transactions!$D$3:$D$305=B144) *
        (Transactions!$H$3:$H$305={"Cash Deposit","Crypto Deposit","Buy","Transfer Deposit","DRIP","Airdrop/Rewards"}) *
        Transactions!$I$3:$I$305
    )
    - SUMPRODUCT(
        (Transactions!$D$3:$D$305=B144) *
        (Transactions!$H$3:$H$305={"Sell","Transfer Send","Cash Withdrawal","Crypto Withdrawal"}) *
        Transactions!$I$3:$I$305
    )
)</f>
        <v>1002.97</v>
      </c>
      <c r="Q144" s="1" cm="1">
        <f t="array" ref="Q144">IF(ISBLANK(B144), "",
    SUMPRODUCT(
        (Transactions!$D$3:$D$376=B144) *
        (Transactions!$H$3:$H$376={"Cash Deposit","Crypto Deposit","Buy","Transfer Deposit","DRIP","Airdrop/Rewards"}) *
        Transactions!$I$3:$I$376
    )
    - SUMPRODUCT(
        (Transactions!$D$3:$D$376=B144) *
        (Transactions!$H$3:$H$376={"Sell","Transfer Send","Cash Withdrawal","Crypto Withdrawal"}) *
        Transactions!$I$3:$I$376
    )
)</f>
        <v>1002.97</v>
      </c>
      <c r="R144" s="1" cm="1">
        <f t="array" ref="R144">IF(ISBLANK(B144), "",
    SUMPRODUCT(
        (Transactions!$D$3:$D$1007=B144) *
        (Transactions!$H$3:$H$1007={"Cash Deposit","Crypto Deposit","Buy","Transfer Deposit","DRIP","Airdrop/Rewards"}) *
        Transactions!$I$3:$I$1007
    )
    - SUMPRODUCT(
        (Transactions!$D$3:$D$1007=B144) *
        (Transactions!$H$3:$H$1007={"Sell","Transfer Send","Cash Withdrawal","Crypto Withdrawal"}) *
        Transactions!$I$3:$I$1007
    )
)</f>
        <v>1002.97</v>
      </c>
    </row>
    <row r="145" spans="1:18">
      <c r="A145" s="1" t="str">
        <v>TIA</v>
      </c>
      <c r="B145" s="1" t="s">
        <v>493</v>
      </c>
      <c r="C145" s="1" cm="1">
        <f t="array" ref="C145">IF(ISBLANK(B145), "",
    SUMPRODUCT(
        (Transactions!$D$3:$D$74=B145) *
        (Transactions!$H$3:$H$74={"Cash Deposit","Crypto Deposit","Buy","Transfer Deposit","DRIP","Airdrop/Rewards"}) *
        Transactions!$I$3:$I$74
    )
    - SUMPRODUCT(
        (Transactions!$D$3:$D$74=B145) *
        (Transactions!$H$3:$H$74={"Sell","Transfer Send","Cash Withdrawal","Crypto Withdrawal"}) *
        Transactions!$I$3:$I$74
    )
)</f>
        <v>0</v>
      </c>
      <c r="D145" s="1" cm="1">
        <f t="array" ref="D145">IF(ISBLANK(B145), "",
    SUMPRODUCT(
        (Transactions!$D$3:$D$76=B145) *
        (Transactions!$H$3:$H$76={"Cash Deposit","Crypto Deposit","Buy","Transfer Deposit","DRIP","Airdrop/Rewards"}) *
        Transactions!$I$3:$I$76
    )
    - SUMPRODUCT(
        (Transactions!$D$3:$D$76=B145) *
        (Transactions!$H$3:$H$76={"Sell","Transfer Send","Cash Withdrawal","Crypto Withdrawal"}) *
        Transactions!$I$3:$I$76
    )
)</f>
        <v>0</v>
      </c>
      <c r="E145" s="1" cm="1">
        <f t="array" ref="E145">IF(ISBLANK(B145), "",
    SUMPRODUCT(
        (Transactions!$D$3:$D$83=B145) *
        (Transactions!$H$3:$H$83={"Cash Deposit","Crypto Deposit","Buy","Transfer Deposit","DRIP","Airdrop/Rewards"}) *
        Transactions!$I$3:$I$83
    )
    - SUMPRODUCT(
        (Transactions!$D$3:$D$83=B145) *
        (Transactions!$H$3:$H$83={"Sell","Transfer Send","Cash Withdrawal","Crypto Withdrawal"}) *
        Transactions!$I$3:$I$83
    )
)</f>
        <v>0</v>
      </c>
      <c r="F145" s="1" cm="1">
        <f t="array" ref="F145">IF(ISBLANK(B145), "",
    SUMPRODUCT(
        (Transactions!$D$3:$D$98=B145) *
        (Transactions!$H$3:$H$98={"Cash Deposit","Crypto Deposit","Buy","Transfer Deposit","DRIP","Airdrop/Rewards"}) *
        Transactions!$I$3:$I$98
    )
    - SUMPRODUCT(
        (Transactions!$D$3:$D$98=B145) *
        (Transactions!$H$3:$H$98={"Sell","Transfer Send","Cash Withdrawal","Crypto Withdrawal"}) *
        Transactions!$I$3:$I$98
    )
)</f>
        <v>0</v>
      </c>
      <c r="G145" s="1" cm="1">
        <f t="array" ref="G145">IF(ISBLANK(B145), "",
    SUMPRODUCT(
        (Transactions!$D$3:$D$114=B145) *
        (Transactions!$H$3:$H$114={"Cash Deposit","Crypto Deposit","Buy","Transfer Deposit","DRIP","Airdrop/Rewards"}) *
        Transactions!$I$3:$I$114
    )
    - SUMPRODUCT(
        (Transactions!$D$3:$D$114=B145) *
        (Transactions!$H$3:$H$114={"Sell","Transfer Send","Cash Withdrawal","Crypto Withdrawal"}) *
        Transactions!$I$3:$I$114
    )
)</f>
        <v>0</v>
      </c>
      <c r="H145" s="1" cm="1">
        <f t="array" ref="H145">IF(ISBLANK(B145), "",
    SUMPRODUCT(
        (Transactions!$D$3:$D$139=B145) *
        (Transactions!$H$3:$H$139={"Cash Deposit","Crypto Deposit","Buy","Transfer Deposit","DRIP","Airdrop/Rewards"}) *
        Transactions!$I$3:$I$139
    )
    - SUMPRODUCT(
        (Transactions!$D$3:$D$139=B145) *
        (Transactions!$H$3:$H$139={"Sell","Transfer Send","Cash Withdrawal","Crypto Withdrawal"}) *
        Transactions!$I$3:$I$139
    )
)</f>
        <v>0</v>
      </c>
      <c r="I145" s="1" cm="1">
        <f t="array" ref="I145">IF(ISBLANK(B145), "",
    SUMPRODUCT(
        (Transactions!$D$3:$D$165=B145) *
        (Transactions!$H$3:$H$165={"Cash Deposit","Crypto Deposit","Buy","Transfer Deposit","DRIP","Airdrop/Rewards"}) *
        Transactions!$I$3:$I$165
    )
    - SUMPRODUCT(
        (Transactions!$D$3:$D$165=B145) *
        (Transactions!$H$3:$H$165={"Sell","Transfer Send","Cash Withdrawal","Crypto Withdrawal"}) *
        Transactions!$I$3:$I$165
    )
)</f>
        <v>0</v>
      </c>
      <c r="J145" s="1" cm="1">
        <f t="array" ref="J145">IF(ISBLANK(B145), "",
    SUMPRODUCT(
        (Transactions!$D$3:$D$174=B145) *
        (Transactions!$H$3:$H$174={"Cash Deposit","Crypto Deposit","Buy","Transfer Deposit","DRIP","Airdrop/Rewards"}) *
        Transactions!$I$3:$I$174
    )
    - SUMPRODUCT(
        (Transactions!$D$3:$D$174=B145) *
        (Transactions!$H$3:$H$174={"Sell","Transfer Send","Cash Withdrawal","Crypto Withdrawal"}) *
        Transactions!$I$3:$I$174
    )
)</f>
        <v>0</v>
      </c>
      <c r="K145" s="1" cm="1">
        <f t="array" ref="K145">IF(ISBLANK(B145), "",
    SUMPRODUCT(
        (Transactions!$D$3:$D$181=B145) *
        (Transactions!$H$3:$H$181={"Cash Deposit","Crypto Deposit","Buy","Transfer Deposit","DRIP","Airdrop/Rewards"}) *
        Transactions!$I$3:$I$181
    )
    - SUMPRODUCT(
        (Transactions!$D$3:$D$181=B145) *
        (Transactions!$H$3:$H$181={"Sell","Transfer Send","Cash Withdrawal","Crypto Withdrawal"}) *
        Transactions!$I$3:$I$181
    )
)</f>
        <v>0</v>
      </c>
      <c r="L145" s="1" cm="1">
        <f t="array" ref="L145">IF(ISBLANK(B145), "",
    SUMPRODUCT(
        (Transactions!$D$3:$D$185=B145) *
        (Transactions!$H$3:$H$185={"Cash Deposit","Crypto Deposit","Buy","Transfer Deposit","DRIP","Airdrop/Rewards"}) *
        Transactions!$I$3:$I$185
    )
    - SUMPRODUCT(
        (Transactions!$D$3:$D$185=B145) *
        (Transactions!$H$3:$H$185={"Sell","Transfer Send","Cash Withdrawal","Crypto Withdrawal"}) *
        Transactions!$I$3:$I$185
    )
)</f>
        <v>0</v>
      </c>
      <c r="M145" s="1" cm="1">
        <f t="array" ref="M145">IF(ISBLANK(B145), "",
    SUMPRODUCT(
        (Transactions!$D$3:$D$194=B145) *
        (Transactions!$H$3:$H$194={"Cash Deposit","Crypto Deposit","Buy","Transfer Deposit","DRIP","Airdrop/Rewards"}) *
        Transactions!$I$3:$I$194
    )
    - SUMPRODUCT(
        (Transactions!$D$3:$D$194=B145) *
        (Transactions!$H$3:$H$194={"Sell","Transfer Send","Cash Withdrawal","Crypto Withdrawal"}) *
        Transactions!$I$3:$I$194
    )
)</f>
        <v>0</v>
      </c>
      <c r="N145" s="1" cm="1">
        <f t="array" ref="N145">IF(ISBLANK(B145), "",
    SUMPRODUCT(
        (Transactions!$D$3:$D$201=B145) *
        (Transactions!$H$3:$H$201={"Cash Deposit","Crypto Deposit","Buy","Transfer Deposit","DRIP","Airdrop/Rewards"}) *
        Transactions!$I$3:$I$201
    )
    - SUMPRODUCT(
        (Transactions!$D$3:$D$201=B145) *
        (Transactions!$H$3:$H$201={"Sell","Transfer Send","Cash Withdrawal","Crypto Withdrawal"}) *
        Transactions!$I$3:$I$201
    )
)</f>
        <v>0</v>
      </c>
      <c r="O145" s="1" cm="1">
        <f t="array" ref="O145">IF(ISBLANK(B145), "",
    SUMPRODUCT(
        (Transactions!$D$3:$D$229=B145) *
        (Transactions!$H$3:$H$229={"Cash Deposit","Crypto Deposit","Buy","Transfer Deposit","DRIP","Airdrop/Rewards"}) *
        Transactions!$I$3:$I$229
    )
    - SUMPRODUCT(
        (Transactions!$D$3:$D$229=B145) *
        (Transactions!$H$3:$H$229={"Sell","Transfer Send","Cash Withdrawal","Crypto Withdrawal"}) *
        Transactions!$I$3:$I$229
    )
)</f>
        <v>0</v>
      </c>
      <c r="P145" s="1" cm="1">
        <f t="array" ref="P145">IF(ISBLANK(B145), "",
    SUMPRODUCT(
        (Transactions!$D$3:$D$305=B145) *
        (Transactions!$H$3:$H$305={"Cash Deposit","Crypto Deposit","Buy","Transfer Deposit","DRIP","Airdrop/Rewards"}) *
        Transactions!$I$3:$I$305
    )
    - SUMPRODUCT(
        (Transactions!$D$3:$D$305=B145) *
        (Transactions!$H$3:$H$305={"Sell","Transfer Send","Cash Withdrawal","Crypto Withdrawal"}) *
        Transactions!$I$3:$I$305
    )
)</f>
        <v>0</v>
      </c>
      <c r="Q145" s="1" cm="1">
        <f t="array" ref="Q145">IF(ISBLANK(B145), "",
    SUMPRODUCT(
        (Transactions!$D$3:$D$376=B145) *
        (Transactions!$H$3:$H$376={"Cash Deposit","Crypto Deposit","Buy","Transfer Deposit","DRIP","Airdrop/Rewards"}) *
        Transactions!$I$3:$I$376
    )
    - SUMPRODUCT(
        (Transactions!$D$3:$D$376=B145) *
        (Transactions!$H$3:$H$376={"Sell","Transfer Send","Cash Withdrawal","Crypto Withdrawal"}) *
        Transactions!$I$3:$I$376
    )
)</f>
        <v>0</v>
      </c>
      <c r="R145" s="1" cm="1">
        <f t="array" ref="R145">IF(ISBLANK(B145), "",
    SUMPRODUCT(
        (Transactions!$D$3:$D$1007=B145) *
        (Transactions!$H$3:$H$1007={"Cash Deposit","Crypto Deposit","Buy","Transfer Deposit","DRIP","Airdrop/Rewards"}) *
        Transactions!$I$3:$I$1007
    )
    - SUMPRODUCT(
        (Transactions!$D$3:$D$1007=B145) *
        (Transactions!$H$3:$H$1007={"Sell","Transfer Send","Cash Withdrawal","Crypto Withdrawal"}) *
        Transactions!$I$3:$I$1007
    )
)</f>
        <v>20</v>
      </c>
    </row>
    <row r="146" spans="1:18">
      <c r="A146" s="1" t="str">
        <v>VET</v>
      </c>
      <c r="B146" s="1" t="s">
        <v>13</v>
      </c>
      <c r="C146" s="1" cm="1">
        <f t="array" ref="C146">IF(ISBLANK(B146), "",
    SUMPRODUCT(
        (Transactions!$D$3:$D$74=B146) *
        (Transactions!$H$3:$H$74={"Cash Deposit","Crypto Deposit","Buy","Transfer Deposit","DRIP","Airdrop/Rewards"}) *
        Transactions!$I$3:$I$74
    )
    - SUMPRODUCT(
        (Transactions!$D$3:$D$74=B146) *
        (Transactions!$H$3:$H$74={"Sell","Transfer Send","Cash Withdrawal","Crypto Withdrawal"}) *
        Transactions!$I$3:$I$74
    )
)</f>
        <v>1690</v>
      </c>
      <c r="D146" s="1" cm="1">
        <f t="array" ref="D146">IF(ISBLANK(B146), "",
    SUMPRODUCT(
        (Transactions!$D$3:$D$76=B146) *
        (Transactions!$H$3:$H$76={"Cash Deposit","Crypto Deposit","Buy","Transfer Deposit","DRIP","Airdrop/Rewards"}) *
        Transactions!$I$3:$I$76
    )
    - SUMPRODUCT(
        (Transactions!$D$3:$D$76=B146) *
        (Transactions!$H$3:$H$76={"Sell","Transfer Send","Cash Withdrawal","Crypto Withdrawal"}) *
        Transactions!$I$3:$I$76
    )
)</f>
        <v>1690</v>
      </c>
      <c r="E146" s="1" cm="1">
        <f t="array" ref="E146">IF(ISBLANK(B146), "",
    SUMPRODUCT(
        (Transactions!$D$3:$D$83=B146) *
        (Transactions!$H$3:$H$83={"Cash Deposit","Crypto Deposit","Buy","Transfer Deposit","DRIP","Airdrop/Rewards"}) *
        Transactions!$I$3:$I$83
    )
    - SUMPRODUCT(
        (Transactions!$D$3:$D$83=B146) *
        (Transactions!$H$3:$H$83={"Sell","Transfer Send","Cash Withdrawal","Crypto Withdrawal"}) *
        Transactions!$I$3:$I$83
    )
)</f>
        <v>1690</v>
      </c>
      <c r="F146" s="1" cm="1">
        <f t="array" ref="F146">IF(ISBLANK(B146), "",
    SUMPRODUCT(
        (Transactions!$D$3:$D$98=B146) *
        (Transactions!$H$3:$H$98={"Cash Deposit","Crypto Deposit","Buy","Transfer Deposit","DRIP","Airdrop/Rewards"}) *
        Transactions!$I$3:$I$98
    )
    - SUMPRODUCT(
        (Transactions!$D$3:$D$98=B146) *
        (Transactions!$H$3:$H$98={"Sell","Transfer Send","Cash Withdrawal","Crypto Withdrawal"}) *
        Transactions!$I$3:$I$98
    )
)</f>
        <v>1690</v>
      </c>
      <c r="G146" s="1" cm="1">
        <f t="array" ref="G146">IF(ISBLANK(B146), "",
    SUMPRODUCT(
        (Transactions!$D$3:$D$114=B146) *
        (Transactions!$H$3:$H$114={"Cash Deposit","Crypto Deposit","Buy","Transfer Deposit","DRIP","Airdrop/Rewards"}) *
        Transactions!$I$3:$I$114
    )
    - SUMPRODUCT(
        (Transactions!$D$3:$D$114=B146) *
        (Transactions!$H$3:$H$114={"Sell","Transfer Send","Cash Withdrawal","Crypto Withdrawal"}) *
        Transactions!$I$3:$I$114
    )
)</f>
        <v>1690</v>
      </c>
      <c r="H146" s="1" cm="1">
        <f t="array" ref="H146">IF(ISBLANK(B146), "",
    SUMPRODUCT(
        (Transactions!$D$3:$D$139=B146) *
        (Transactions!$H$3:$H$139={"Cash Deposit","Crypto Deposit","Buy","Transfer Deposit","DRIP","Airdrop/Rewards"}) *
        Transactions!$I$3:$I$139
    )
    - SUMPRODUCT(
        (Transactions!$D$3:$D$139=B146) *
        (Transactions!$H$3:$H$139={"Sell","Transfer Send","Cash Withdrawal","Crypto Withdrawal"}) *
        Transactions!$I$3:$I$139
    )
)</f>
        <v>1690</v>
      </c>
      <c r="I146" s="1" cm="1">
        <f t="array" ref="I146">IF(ISBLANK(B146), "",
    SUMPRODUCT(
        (Transactions!$D$3:$D$165=B146) *
        (Transactions!$H$3:$H$165={"Cash Deposit","Crypto Deposit","Buy","Transfer Deposit","DRIP","Airdrop/Rewards"}) *
        Transactions!$I$3:$I$165
    )
    - SUMPRODUCT(
        (Transactions!$D$3:$D$165=B146) *
        (Transactions!$H$3:$H$165={"Sell","Transfer Send","Cash Withdrawal","Crypto Withdrawal"}) *
        Transactions!$I$3:$I$165
    )
)</f>
        <v>1690</v>
      </c>
      <c r="J146" s="1" cm="1">
        <f t="array" ref="J146">IF(ISBLANK(B146), "",
    SUMPRODUCT(
        (Transactions!$D$3:$D$174=B146) *
        (Transactions!$H$3:$H$174={"Cash Deposit","Crypto Deposit","Buy","Transfer Deposit","DRIP","Airdrop/Rewards"}) *
        Transactions!$I$3:$I$174
    )
    - SUMPRODUCT(
        (Transactions!$D$3:$D$174=B146) *
        (Transactions!$H$3:$H$174={"Sell","Transfer Send","Cash Withdrawal","Crypto Withdrawal"}) *
        Transactions!$I$3:$I$174
    )
)</f>
        <v>1690</v>
      </c>
      <c r="K146" s="1" cm="1">
        <f t="array" ref="K146">IF(ISBLANK(B146), "",
    SUMPRODUCT(
        (Transactions!$D$3:$D$181=B146) *
        (Transactions!$H$3:$H$181={"Cash Deposit","Crypto Deposit","Buy","Transfer Deposit","DRIP","Airdrop/Rewards"}) *
        Transactions!$I$3:$I$181
    )
    - SUMPRODUCT(
        (Transactions!$D$3:$D$181=B146) *
        (Transactions!$H$3:$H$181={"Sell","Transfer Send","Cash Withdrawal","Crypto Withdrawal"}) *
        Transactions!$I$3:$I$181
    )
)</f>
        <v>1690</v>
      </c>
      <c r="L146" s="1" cm="1">
        <f t="array" ref="L146">IF(ISBLANK(B146), "",
    SUMPRODUCT(
        (Transactions!$D$3:$D$185=B146) *
        (Transactions!$H$3:$H$185={"Cash Deposit","Crypto Deposit","Buy","Transfer Deposit","DRIP","Airdrop/Rewards"}) *
        Transactions!$I$3:$I$185
    )
    - SUMPRODUCT(
        (Transactions!$D$3:$D$185=B146) *
        (Transactions!$H$3:$H$185={"Sell","Transfer Send","Cash Withdrawal","Crypto Withdrawal"}) *
        Transactions!$I$3:$I$185
    )
)</f>
        <v>1690</v>
      </c>
      <c r="M146" s="1" cm="1">
        <f t="array" ref="M146">IF(ISBLANK(B146), "",
    SUMPRODUCT(
        (Transactions!$D$3:$D$194=B146) *
        (Transactions!$H$3:$H$194={"Cash Deposit","Crypto Deposit","Buy","Transfer Deposit","DRIP","Airdrop/Rewards"}) *
        Transactions!$I$3:$I$194
    )
    - SUMPRODUCT(
        (Transactions!$D$3:$D$194=B146) *
        (Transactions!$H$3:$H$194={"Sell","Transfer Send","Cash Withdrawal","Crypto Withdrawal"}) *
        Transactions!$I$3:$I$194
    )
)</f>
        <v>1690</v>
      </c>
      <c r="N146" s="1" cm="1">
        <f t="array" ref="N146">IF(ISBLANK(B146), "",
    SUMPRODUCT(
        (Transactions!$D$3:$D$201=B146) *
        (Transactions!$H$3:$H$201={"Cash Deposit","Crypto Deposit","Buy","Transfer Deposit","DRIP","Airdrop/Rewards"}) *
        Transactions!$I$3:$I$201
    )
    - SUMPRODUCT(
        (Transactions!$D$3:$D$201=B146) *
        (Transactions!$H$3:$H$201={"Sell","Transfer Send","Cash Withdrawal","Crypto Withdrawal"}) *
        Transactions!$I$3:$I$201
    )
)</f>
        <v>1690</v>
      </c>
      <c r="O146" s="1" cm="1">
        <f t="array" ref="O146">IF(ISBLANK(B146), "",
    SUMPRODUCT(
        (Transactions!$D$3:$D$229=B146) *
        (Transactions!$H$3:$H$229={"Cash Deposit","Crypto Deposit","Buy","Transfer Deposit","DRIP","Airdrop/Rewards"}) *
        Transactions!$I$3:$I$229
    )
    - SUMPRODUCT(
        (Transactions!$D$3:$D$229=B146) *
        (Transactions!$H$3:$H$229={"Sell","Transfer Send","Cash Withdrawal","Crypto Withdrawal"}) *
        Transactions!$I$3:$I$229
    )
)</f>
        <v>1690</v>
      </c>
      <c r="P146" s="1" cm="1">
        <f t="array" ref="P146">IF(ISBLANK(B146), "",
    SUMPRODUCT(
        (Transactions!$D$3:$D$305=B146) *
        (Transactions!$H$3:$H$305={"Cash Deposit","Crypto Deposit","Buy","Transfer Deposit","DRIP","Airdrop/Rewards"}) *
        Transactions!$I$3:$I$305
    )
    - SUMPRODUCT(
        (Transactions!$D$3:$D$305=B146) *
        (Transactions!$H$3:$H$305={"Sell","Transfer Send","Cash Withdrawal","Crypto Withdrawal"}) *
        Transactions!$I$3:$I$305
    )
)</f>
        <v>1690</v>
      </c>
      <c r="Q146" s="1" cm="1">
        <f t="array" ref="Q146">IF(ISBLANK(B146), "",
    SUMPRODUCT(
        (Transactions!$D$3:$D$376=B146) *
        (Transactions!$H$3:$H$376={"Cash Deposit","Crypto Deposit","Buy","Transfer Deposit","DRIP","Airdrop/Rewards"}) *
        Transactions!$I$3:$I$376
    )
    - SUMPRODUCT(
        (Transactions!$D$3:$D$376=B146) *
        (Transactions!$H$3:$H$376={"Sell","Transfer Send","Cash Withdrawal","Crypto Withdrawal"}) *
        Transactions!$I$3:$I$376
    )
)</f>
        <v>1690</v>
      </c>
      <c r="R146" s="1" cm="1">
        <f t="array" ref="R146">IF(ISBLANK(B146), "",
    SUMPRODUCT(
        (Transactions!$D$3:$D$1007=B146) *
        (Transactions!$H$3:$H$1007={"Cash Deposit","Crypto Deposit","Buy","Transfer Deposit","DRIP","Airdrop/Rewards"}) *
        Transactions!$I$3:$I$1007
    )
    - SUMPRODUCT(
        (Transactions!$D$3:$D$1007=B146) *
        (Transactions!$H$3:$H$1007={"Sell","Transfer Send","Cash Withdrawal","Crypto Withdrawal"}) *
        Transactions!$I$3:$I$1007
    )
)</f>
        <v>1690</v>
      </c>
    </row>
    <row r="147" spans="1:18">
      <c r="A147" s="1" t="str">
        <v>WAVAX</v>
      </c>
      <c r="B147" s="1" t="s">
        <v>64</v>
      </c>
      <c r="C147" s="1" cm="1">
        <f t="array" ref="C147">IF(ISBLANK(B147), "",
    SUMPRODUCT(
        (Transactions!$D$3:$D$74=B147) *
        (Transactions!$H$3:$H$74={"Cash Deposit","Crypto Deposit","Buy","Transfer Deposit","DRIP","Airdrop/Rewards"}) *
        Transactions!$I$3:$I$74
    )
    - SUMPRODUCT(
        (Transactions!$D$3:$D$74=B147) *
        (Transactions!$H$3:$H$74={"Sell","Transfer Send","Cash Withdrawal","Crypto Withdrawal"}) *
        Transactions!$I$3:$I$74
    )
)</f>
        <v>8</v>
      </c>
      <c r="D147" s="1" cm="1">
        <f t="array" ref="D147">IF(ISBLANK(B147), "",
    SUMPRODUCT(
        (Transactions!$D$3:$D$76=B147) *
        (Transactions!$H$3:$H$76={"Cash Deposit","Crypto Deposit","Buy","Transfer Deposit","DRIP","Airdrop/Rewards"}) *
        Transactions!$I$3:$I$76
    )
    - SUMPRODUCT(
        (Transactions!$D$3:$D$76=B147) *
        (Transactions!$H$3:$H$76={"Sell","Transfer Send","Cash Withdrawal","Crypto Withdrawal"}) *
        Transactions!$I$3:$I$76
    )
)</f>
        <v>8</v>
      </c>
      <c r="E147" s="1" cm="1">
        <f t="array" ref="E147">IF(ISBLANK(B147), "",
    SUMPRODUCT(
        (Transactions!$D$3:$D$83=B147) *
        (Transactions!$H$3:$H$83={"Cash Deposit","Crypto Deposit","Buy","Transfer Deposit","DRIP","Airdrop/Rewards"}) *
        Transactions!$I$3:$I$83
    )
    - SUMPRODUCT(
        (Transactions!$D$3:$D$83=B147) *
        (Transactions!$H$3:$H$83={"Sell","Transfer Send","Cash Withdrawal","Crypto Withdrawal"}) *
        Transactions!$I$3:$I$83
    )
)</f>
        <v>8</v>
      </c>
      <c r="F147" s="1" cm="1">
        <f t="array" ref="F147">IF(ISBLANK(B147), "",
    SUMPRODUCT(
        (Transactions!$D$3:$D$98=B147) *
        (Transactions!$H$3:$H$98={"Cash Deposit","Crypto Deposit","Buy","Transfer Deposit","DRIP","Airdrop/Rewards"}) *
        Transactions!$I$3:$I$98
    )
    - SUMPRODUCT(
        (Transactions!$D$3:$D$98=B147) *
        (Transactions!$H$3:$H$98={"Sell","Transfer Send","Cash Withdrawal","Crypto Withdrawal"}) *
        Transactions!$I$3:$I$98
    )
)</f>
        <v>8</v>
      </c>
      <c r="G147" s="1" cm="1">
        <f t="array" ref="G147">IF(ISBLANK(B147), "",
    SUMPRODUCT(
        (Transactions!$D$3:$D$114=B147) *
        (Transactions!$H$3:$H$114={"Cash Deposit","Crypto Deposit","Buy","Transfer Deposit","DRIP","Airdrop/Rewards"}) *
        Transactions!$I$3:$I$114
    )
    - SUMPRODUCT(
        (Transactions!$D$3:$D$114=B147) *
        (Transactions!$H$3:$H$114={"Sell","Transfer Send","Cash Withdrawal","Crypto Withdrawal"}) *
        Transactions!$I$3:$I$114
    )
)</f>
        <v>8</v>
      </c>
      <c r="H147" s="1" cm="1">
        <f t="array" ref="H147">IF(ISBLANK(B147), "",
    SUMPRODUCT(
        (Transactions!$D$3:$D$139=B147) *
        (Transactions!$H$3:$H$139={"Cash Deposit","Crypto Deposit","Buy","Transfer Deposit","DRIP","Airdrop/Rewards"}) *
        Transactions!$I$3:$I$139
    )
    - SUMPRODUCT(
        (Transactions!$D$3:$D$139=B147) *
        (Transactions!$H$3:$H$139={"Sell","Transfer Send","Cash Withdrawal","Crypto Withdrawal"}) *
        Transactions!$I$3:$I$139
    )
)</f>
        <v>8</v>
      </c>
      <c r="I147" s="1" cm="1">
        <f t="array" ref="I147">IF(ISBLANK(B147), "",
    SUMPRODUCT(
        (Transactions!$D$3:$D$165=B147) *
        (Transactions!$H$3:$H$165={"Cash Deposit","Crypto Deposit","Buy","Transfer Deposit","DRIP","Airdrop/Rewards"}) *
        Transactions!$I$3:$I$165
    )
    - SUMPRODUCT(
        (Transactions!$D$3:$D$165=B147) *
        (Transactions!$H$3:$H$165={"Sell","Transfer Send","Cash Withdrawal","Crypto Withdrawal"}) *
        Transactions!$I$3:$I$165
    )
)</f>
        <v>8</v>
      </c>
      <c r="J147" s="1" cm="1">
        <f t="array" ref="J147">IF(ISBLANK(B147), "",
    SUMPRODUCT(
        (Transactions!$D$3:$D$174=B147) *
        (Transactions!$H$3:$H$174={"Cash Deposit","Crypto Deposit","Buy","Transfer Deposit","DRIP","Airdrop/Rewards"}) *
        Transactions!$I$3:$I$174
    )
    - SUMPRODUCT(
        (Transactions!$D$3:$D$174=B147) *
        (Transactions!$H$3:$H$174={"Sell","Transfer Send","Cash Withdrawal","Crypto Withdrawal"}) *
        Transactions!$I$3:$I$174
    )
)</f>
        <v>8</v>
      </c>
      <c r="K147" s="1" cm="1">
        <f t="array" ref="K147">IF(ISBLANK(B147), "",
    SUMPRODUCT(
        (Transactions!$D$3:$D$181=B147) *
        (Transactions!$H$3:$H$181={"Cash Deposit","Crypto Deposit","Buy","Transfer Deposit","DRIP","Airdrop/Rewards"}) *
        Transactions!$I$3:$I$181
    )
    - SUMPRODUCT(
        (Transactions!$D$3:$D$181=B147) *
        (Transactions!$H$3:$H$181={"Sell","Transfer Send","Cash Withdrawal","Crypto Withdrawal"}) *
        Transactions!$I$3:$I$181
    )
)</f>
        <v>8</v>
      </c>
      <c r="L147" s="1" cm="1">
        <f t="array" ref="L147">IF(ISBLANK(B147), "",
    SUMPRODUCT(
        (Transactions!$D$3:$D$185=B147) *
        (Transactions!$H$3:$H$185={"Cash Deposit","Crypto Deposit","Buy","Transfer Deposit","DRIP","Airdrop/Rewards"}) *
        Transactions!$I$3:$I$185
    )
    - SUMPRODUCT(
        (Transactions!$D$3:$D$185=B147) *
        (Transactions!$H$3:$H$185={"Sell","Transfer Send","Cash Withdrawal","Crypto Withdrawal"}) *
        Transactions!$I$3:$I$185
    )
)</f>
        <v>8</v>
      </c>
      <c r="M147" s="1" cm="1">
        <f t="array" ref="M147">IF(ISBLANK(B147), "",
    SUMPRODUCT(
        (Transactions!$D$3:$D$194=B147) *
        (Transactions!$H$3:$H$194={"Cash Deposit","Crypto Deposit","Buy","Transfer Deposit","DRIP","Airdrop/Rewards"}) *
        Transactions!$I$3:$I$194
    )
    - SUMPRODUCT(
        (Transactions!$D$3:$D$194=B147) *
        (Transactions!$H$3:$H$194={"Sell","Transfer Send","Cash Withdrawal","Crypto Withdrawal"}) *
        Transactions!$I$3:$I$194
    )
)</f>
        <v>8</v>
      </c>
      <c r="N147" s="1" cm="1">
        <f t="array" ref="N147">IF(ISBLANK(B147), "",
    SUMPRODUCT(
        (Transactions!$D$3:$D$201=B147) *
        (Transactions!$H$3:$H$201={"Cash Deposit","Crypto Deposit","Buy","Transfer Deposit","DRIP","Airdrop/Rewards"}) *
        Transactions!$I$3:$I$201
    )
    - SUMPRODUCT(
        (Transactions!$D$3:$D$201=B147) *
        (Transactions!$H$3:$H$201={"Sell","Transfer Send","Cash Withdrawal","Crypto Withdrawal"}) *
        Transactions!$I$3:$I$201
    )
)</f>
        <v>8</v>
      </c>
      <c r="O147" s="1" cm="1">
        <f t="array" ref="O147">IF(ISBLANK(B147), "",
    SUMPRODUCT(
        (Transactions!$D$3:$D$229=B147) *
        (Transactions!$H$3:$H$229={"Cash Deposit","Crypto Deposit","Buy","Transfer Deposit","DRIP","Airdrop/Rewards"}) *
        Transactions!$I$3:$I$229
    )
    - SUMPRODUCT(
        (Transactions!$D$3:$D$229=B147) *
        (Transactions!$H$3:$H$229={"Sell","Transfer Send","Cash Withdrawal","Crypto Withdrawal"}) *
        Transactions!$I$3:$I$229
    )
)</f>
        <v>8</v>
      </c>
      <c r="P147" s="1" cm="1">
        <f t="array" ref="P147">IF(ISBLANK(B147), "",
    SUMPRODUCT(
        (Transactions!$D$3:$D$305=B147) *
        (Transactions!$H$3:$H$305={"Cash Deposit","Crypto Deposit","Buy","Transfer Deposit","DRIP","Airdrop/Rewards"}) *
        Transactions!$I$3:$I$305
    )
    - SUMPRODUCT(
        (Transactions!$D$3:$D$305=B147) *
        (Transactions!$H$3:$H$305={"Sell","Transfer Send","Cash Withdrawal","Crypto Withdrawal"}) *
        Transactions!$I$3:$I$305
    )
)</f>
        <v>8</v>
      </c>
      <c r="Q147" s="1" cm="1">
        <f t="array" ref="Q147">IF(ISBLANK(B147), "",
    SUMPRODUCT(
        (Transactions!$D$3:$D$376=B147) *
        (Transactions!$H$3:$H$376={"Cash Deposit","Crypto Deposit","Buy","Transfer Deposit","DRIP","Airdrop/Rewards"}) *
        Transactions!$I$3:$I$376
    )
    - SUMPRODUCT(
        (Transactions!$D$3:$D$376=B147) *
        (Transactions!$H$3:$H$376={"Sell","Transfer Send","Cash Withdrawal","Crypto Withdrawal"}) *
        Transactions!$I$3:$I$376
    )
)</f>
        <v>8</v>
      </c>
      <c r="R147" s="1" cm="1">
        <f t="array" ref="R147">IF(ISBLANK(B147), "",
    SUMPRODUCT(
        (Transactions!$D$3:$D$1007=B147) *
        (Transactions!$H$3:$H$1007={"Cash Deposit","Crypto Deposit","Buy","Transfer Deposit","DRIP","Airdrop/Rewards"}) *
        Transactions!$I$3:$I$1007
    )
    - SUMPRODUCT(
        (Transactions!$D$3:$D$1007=B147) *
        (Transactions!$H$3:$H$1007={"Sell","Transfer Send","Cash Withdrawal","Crypto Withdrawal"}) *
        Transactions!$I$3:$I$1007
    )
)</f>
        <v>8</v>
      </c>
    </row>
    <row r="148" spans="1:18">
      <c r="A148" s="1" t="str">
        <v>WETH</v>
      </c>
      <c r="B148" s="1" t="s">
        <v>361</v>
      </c>
      <c r="C148" s="1" cm="1">
        <f t="array" ref="C148">IF(ISBLANK(B148), "",
    SUMPRODUCT(
        (Transactions!$D$3:$D$74=B148) *
        (Transactions!$H$3:$H$74={"Cash Deposit","Crypto Deposit","Buy","Transfer Deposit","DRIP","Airdrop/Rewards"}) *
        Transactions!$I$3:$I$74
    )
    - SUMPRODUCT(
        (Transactions!$D$3:$D$74=B148) *
        (Transactions!$H$3:$H$74={"Sell","Transfer Send","Cash Withdrawal","Crypto Withdrawal"}) *
        Transactions!$I$3:$I$74
    )
)</f>
        <v>1.2909999999999999</v>
      </c>
      <c r="D148" s="1" cm="1">
        <f t="array" ref="D148">IF(ISBLANK(B148), "",
    SUMPRODUCT(
        (Transactions!$D$3:$D$76=B148) *
        (Transactions!$H$3:$H$76={"Cash Deposit","Crypto Deposit","Buy","Transfer Deposit","DRIP","Airdrop/Rewards"}) *
        Transactions!$I$3:$I$76
    )
    - SUMPRODUCT(
        (Transactions!$D$3:$D$76=B148) *
        (Transactions!$H$3:$H$76={"Sell","Transfer Send","Cash Withdrawal","Crypto Withdrawal"}) *
        Transactions!$I$3:$I$76
    )
)</f>
        <v>1.2909999999999999</v>
      </c>
      <c r="E148" s="1" cm="1">
        <f t="array" ref="E148">IF(ISBLANK(B148), "",
    SUMPRODUCT(
        (Transactions!$D$3:$D$83=B148) *
        (Transactions!$H$3:$H$83={"Cash Deposit","Crypto Deposit","Buy","Transfer Deposit","DRIP","Airdrop/Rewards"}) *
        Transactions!$I$3:$I$83
    )
    - SUMPRODUCT(
        (Transactions!$D$3:$D$83=B148) *
        (Transactions!$H$3:$H$83={"Sell","Transfer Send","Cash Withdrawal","Crypto Withdrawal"}) *
        Transactions!$I$3:$I$83
    )
)</f>
        <v>1.2909999999999999</v>
      </c>
      <c r="F148" s="1" cm="1">
        <f t="array" ref="F148">IF(ISBLANK(B148), "",
    SUMPRODUCT(
        (Transactions!$D$3:$D$98=B148) *
        (Transactions!$H$3:$H$98={"Cash Deposit","Crypto Deposit","Buy","Transfer Deposit","DRIP","Airdrop/Rewards"}) *
        Transactions!$I$3:$I$98
    )
    - SUMPRODUCT(
        (Transactions!$D$3:$D$98=B148) *
        (Transactions!$H$3:$H$98={"Sell","Transfer Send","Cash Withdrawal","Crypto Withdrawal"}) *
        Transactions!$I$3:$I$98
    )
)</f>
        <v>1.2909999999999999</v>
      </c>
      <c r="G148" s="1" cm="1">
        <f t="array" ref="G148">IF(ISBLANK(B148), "",
    SUMPRODUCT(
        (Transactions!$D$3:$D$114=B148) *
        (Transactions!$H$3:$H$114={"Cash Deposit","Crypto Deposit","Buy","Transfer Deposit","DRIP","Airdrop/Rewards"}) *
        Transactions!$I$3:$I$114
    )
    - SUMPRODUCT(
        (Transactions!$D$3:$D$114=B148) *
        (Transactions!$H$3:$H$114={"Sell","Transfer Send","Cash Withdrawal","Crypto Withdrawal"}) *
        Transactions!$I$3:$I$114
    )
)</f>
        <v>1.2909999999999999</v>
      </c>
      <c r="H148" s="1" cm="1">
        <f t="array" ref="H148">IF(ISBLANK(B148), "",
    SUMPRODUCT(
        (Transactions!$D$3:$D$139=B148) *
        (Transactions!$H$3:$H$139={"Cash Deposit","Crypto Deposit","Buy","Transfer Deposit","DRIP","Airdrop/Rewards"}) *
        Transactions!$I$3:$I$139
    )
    - SUMPRODUCT(
        (Transactions!$D$3:$D$139=B148) *
        (Transactions!$H$3:$H$139={"Sell","Transfer Send","Cash Withdrawal","Crypto Withdrawal"}) *
        Transactions!$I$3:$I$139
    )
)</f>
        <v>1.2909999999999999</v>
      </c>
      <c r="I148" s="1" cm="1">
        <f t="array" ref="I148">IF(ISBLANK(B148), "",
    SUMPRODUCT(
        (Transactions!$D$3:$D$165=B148) *
        (Transactions!$H$3:$H$165={"Cash Deposit","Crypto Deposit","Buy","Transfer Deposit","DRIP","Airdrop/Rewards"}) *
        Transactions!$I$3:$I$165
    )
    - SUMPRODUCT(
        (Transactions!$D$3:$D$165=B148) *
        (Transactions!$H$3:$H$165={"Sell","Transfer Send","Cash Withdrawal","Crypto Withdrawal"}) *
        Transactions!$I$3:$I$165
    )
)</f>
        <v>1.2909999999999999</v>
      </c>
      <c r="J148" s="1" cm="1">
        <f t="array" ref="J148">IF(ISBLANK(B148), "",
    SUMPRODUCT(
        (Transactions!$D$3:$D$174=B148) *
        (Transactions!$H$3:$H$174={"Cash Deposit","Crypto Deposit","Buy","Transfer Deposit","DRIP","Airdrop/Rewards"}) *
        Transactions!$I$3:$I$174
    )
    - SUMPRODUCT(
        (Transactions!$D$3:$D$174=B148) *
        (Transactions!$H$3:$H$174={"Sell","Transfer Send","Cash Withdrawal","Crypto Withdrawal"}) *
        Transactions!$I$3:$I$174
    )
)</f>
        <v>1.2909999999999999</v>
      </c>
      <c r="K148" s="1" cm="1">
        <f t="array" ref="K148">IF(ISBLANK(B148), "",
    SUMPRODUCT(
        (Transactions!$D$3:$D$181=B148) *
        (Transactions!$H$3:$H$181={"Cash Deposit","Crypto Deposit","Buy","Transfer Deposit","DRIP","Airdrop/Rewards"}) *
        Transactions!$I$3:$I$181
    )
    - SUMPRODUCT(
        (Transactions!$D$3:$D$181=B148) *
        (Transactions!$H$3:$H$181={"Sell","Transfer Send","Cash Withdrawal","Crypto Withdrawal"}) *
        Transactions!$I$3:$I$181
    )
)</f>
        <v>1.2909999999999999</v>
      </c>
      <c r="L148" s="1" cm="1">
        <f t="array" ref="L148">IF(ISBLANK(B148), "",
    SUMPRODUCT(
        (Transactions!$D$3:$D$185=B148) *
        (Transactions!$H$3:$H$185={"Cash Deposit","Crypto Deposit","Buy","Transfer Deposit","DRIP","Airdrop/Rewards"}) *
        Transactions!$I$3:$I$185
    )
    - SUMPRODUCT(
        (Transactions!$D$3:$D$185=B148) *
        (Transactions!$H$3:$H$185={"Sell","Transfer Send","Cash Withdrawal","Crypto Withdrawal"}) *
        Transactions!$I$3:$I$185
    )
)</f>
        <v>1.2909999999999999</v>
      </c>
      <c r="M148" s="1" cm="1">
        <f t="array" ref="M148">IF(ISBLANK(B148), "",
    SUMPRODUCT(
        (Transactions!$D$3:$D$194=B148) *
        (Transactions!$H$3:$H$194={"Cash Deposit","Crypto Deposit","Buy","Transfer Deposit","DRIP","Airdrop/Rewards"}) *
        Transactions!$I$3:$I$194
    )
    - SUMPRODUCT(
        (Transactions!$D$3:$D$194=B148) *
        (Transactions!$H$3:$H$194={"Sell","Transfer Send","Cash Withdrawal","Crypto Withdrawal"}) *
        Transactions!$I$3:$I$194
    )
)</f>
        <v>1.2909999999999999</v>
      </c>
      <c r="N148" s="1" cm="1">
        <f t="array" ref="N148">IF(ISBLANK(B148), "",
    SUMPRODUCT(
        (Transactions!$D$3:$D$201=B148) *
        (Transactions!$H$3:$H$201={"Cash Deposit","Crypto Deposit","Buy","Transfer Deposit","DRIP","Airdrop/Rewards"}) *
        Transactions!$I$3:$I$201
    )
    - SUMPRODUCT(
        (Transactions!$D$3:$D$201=B148) *
        (Transactions!$H$3:$H$201={"Sell","Transfer Send","Cash Withdrawal","Crypto Withdrawal"}) *
        Transactions!$I$3:$I$201
    )
)</f>
        <v>1.2909999999999999</v>
      </c>
      <c r="O148" s="1" cm="1">
        <f t="array" ref="O148">IF(ISBLANK(B148), "",
    SUMPRODUCT(
        (Transactions!$D$3:$D$229=B148) *
        (Transactions!$H$3:$H$229={"Cash Deposit","Crypto Deposit","Buy","Transfer Deposit","DRIP","Airdrop/Rewards"}) *
        Transactions!$I$3:$I$229
    )
    - SUMPRODUCT(
        (Transactions!$D$3:$D$229=B148) *
        (Transactions!$H$3:$H$229={"Sell","Transfer Send","Cash Withdrawal","Crypto Withdrawal"}) *
        Transactions!$I$3:$I$229
    )
)</f>
        <v>1.2909999999999999</v>
      </c>
      <c r="P148" s="1" cm="1">
        <f t="array" ref="P148">IF(ISBLANK(B148), "",
    SUMPRODUCT(
        (Transactions!$D$3:$D$305=B148) *
        (Transactions!$H$3:$H$305={"Cash Deposit","Crypto Deposit","Buy","Transfer Deposit","DRIP","Airdrop/Rewards"}) *
        Transactions!$I$3:$I$305
    )
    - SUMPRODUCT(
        (Transactions!$D$3:$D$305=B148) *
        (Transactions!$H$3:$H$305={"Sell","Transfer Send","Cash Withdrawal","Crypto Withdrawal"}) *
        Transactions!$I$3:$I$305
    )
)</f>
        <v>1.2909999999999999</v>
      </c>
      <c r="Q148" s="1" cm="1">
        <f t="array" ref="Q148">IF(ISBLANK(B148), "",
    SUMPRODUCT(
        (Transactions!$D$3:$D$376=B148) *
        (Transactions!$H$3:$H$376={"Cash Deposit","Crypto Deposit","Buy","Transfer Deposit","DRIP","Airdrop/Rewards"}) *
        Transactions!$I$3:$I$376
    )
    - SUMPRODUCT(
        (Transactions!$D$3:$D$376=B148) *
        (Transactions!$H$3:$H$376={"Sell","Transfer Send","Cash Withdrawal","Crypto Withdrawal"}) *
        Transactions!$I$3:$I$376
    )
)</f>
        <v>1.2909999999999999</v>
      </c>
      <c r="R148" s="1" cm="1">
        <f t="array" ref="R148">IF(ISBLANK(B148), "",
    SUMPRODUCT(
        (Transactions!$D$3:$D$1007=B148) *
        (Transactions!$H$3:$H$1007={"Cash Deposit","Crypto Deposit","Buy","Transfer Deposit","DRIP","Airdrop/Rewards"}) *
        Transactions!$I$3:$I$1007
    )
    - SUMPRODUCT(
        (Transactions!$D$3:$D$1007=B148) *
        (Transactions!$H$3:$H$1007={"Sell","Transfer Send","Cash Withdrawal","Crypto Withdrawal"}) *
        Transactions!$I$3:$I$1007
    )
)</f>
        <v>1.2909999999999999</v>
      </c>
    </row>
    <row r="149" spans="1:18">
      <c r="A149" s="1" t="str">
        <v>XAI</v>
      </c>
      <c r="B149" s="1" t="s">
        <v>376</v>
      </c>
      <c r="C149" s="1" cm="1">
        <f t="array" ref="C149">IF(ISBLANK(B149), "",
    SUMPRODUCT(
        (Transactions!$D$3:$D$74=B149) *
        (Transactions!$H$3:$H$74={"Cash Deposit","Crypto Deposit","Buy","Transfer Deposit","DRIP","Airdrop/Rewards"}) *
        Transactions!$I$3:$I$74
    )
    - SUMPRODUCT(
        (Transactions!$D$3:$D$74=B149) *
        (Transactions!$H$3:$H$74={"Sell","Transfer Send","Cash Withdrawal","Crypto Withdrawal"}) *
        Transactions!$I$3:$I$74
    )
)</f>
        <v>0</v>
      </c>
      <c r="D149" s="1" cm="1">
        <f t="array" ref="D149">IF(ISBLANK(B149), "",
    SUMPRODUCT(
        (Transactions!$D$3:$D$76=B149) *
        (Transactions!$H$3:$H$76={"Cash Deposit","Crypto Deposit","Buy","Transfer Deposit","DRIP","Airdrop/Rewards"}) *
        Transactions!$I$3:$I$76
    )
    - SUMPRODUCT(
        (Transactions!$D$3:$D$76=B149) *
        (Transactions!$H$3:$H$76={"Sell","Transfer Send","Cash Withdrawal","Crypto Withdrawal"}) *
        Transactions!$I$3:$I$76
    )
)</f>
        <v>0</v>
      </c>
      <c r="E149" s="1" cm="1">
        <f t="array" ref="E149">IF(ISBLANK(B149), "",
    SUMPRODUCT(
        (Transactions!$D$3:$D$83=B149) *
        (Transactions!$H$3:$H$83={"Cash Deposit","Crypto Deposit","Buy","Transfer Deposit","DRIP","Airdrop/Rewards"}) *
        Transactions!$I$3:$I$83
    )
    - SUMPRODUCT(
        (Transactions!$D$3:$D$83=B149) *
        (Transactions!$H$3:$H$83={"Sell","Transfer Send","Cash Withdrawal","Crypto Withdrawal"}) *
        Transactions!$I$3:$I$83
    )
)</f>
        <v>0</v>
      </c>
      <c r="F149" s="1" cm="1">
        <f t="array" ref="F149">IF(ISBLANK(B149), "",
    SUMPRODUCT(
        (Transactions!$D$3:$D$98=B149) *
        (Transactions!$H$3:$H$98={"Cash Deposit","Crypto Deposit","Buy","Transfer Deposit","DRIP","Airdrop/Rewards"}) *
        Transactions!$I$3:$I$98
    )
    - SUMPRODUCT(
        (Transactions!$D$3:$D$98=B149) *
        (Transactions!$H$3:$H$98={"Sell","Transfer Send","Cash Withdrawal","Crypto Withdrawal"}) *
        Transactions!$I$3:$I$98
    )
)</f>
        <v>0</v>
      </c>
      <c r="G149" s="1" cm="1">
        <f t="array" ref="G149">IF(ISBLANK(B149), "",
    SUMPRODUCT(
        (Transactions!$D$3:$D$114=B149) *
        (Transactions!$H$3:$H$114={"Cash Deposit","Crypto Deposit","Buy","Transfer Deposit","DRIP","Airdrop/Rewards"}) *
        Transactions!$I$3:$I$114
    )
    - SUMPRODUCT(
        (Transactions!$D$3:$D$114=B149) *
        (Transactions!$H$3:$H$114={"Sell","Transfer Send","Cash Withdrawal","Crypto Withdrawal"}) *
        Transactions!$I$3:$I$114
    )
)</f>
        <v>0</v>
      </c>
      <c r="H149" s="1" cm="1">
        <f t="array" ref="H149">IF(ISBLANK(B149), "",
    SUMPRODUCT(
        (Transactions!$D$3:$D$139=B149) *
        (Transactions!$H$3:$H$139={"Cash Deposit","Crypto Deposit","Buy","Transfer Deposit","DRIP","Airdrop/Rewards"}) *
        Transactions!$I$3:$I$139
    )
    - SUMPRODUCT(
        (Transactions!$D$3:$D$139=B149) *
        (Transactions!$H$3:$H$139={"Sell","Transfer Send","Cash Withdrawal","Crypto Withdrawal"}) *
        Transactions!$I$3:$I$139
    )
)</f>
        <v>0</v>
      </c>
      <c r="I149" s="1" cm="1">
        <f t="array" ref="I149">IF(ISBLANK(B149), "",
    SUMPRODUCT(
        (Transactions!$D$3:$D$165=B149) *
        (Transactions!$H$3:$H$165={"Cash Deposit","Crypto Deposit","Buy","Transfer Deposit","DRIP","Airdrop/Rewards"}) *
        Transactions!$I$3:$I$165
    )
    - SUMPRODUCT(
        (Transactions!$D$3:$D$165=B149) *
        (Transactions!$H$3:$H$165={"Sell","Transfer Send","Cash Withdrawal","Crypto Withdrawal"}) *
        Transactions!$I$3:$I$165
    )
)</f>
        <v>0</v>
      </c>
      <c r="J149" s="1" cm="1">
        <f t="array" ref="J149">IF(ISBLANK(B149), "",
    SUMPRODUCT(
        (Transactions!$D$3:$D$174=B149) *
        (Transactions!$H$3:$H$174={"Cash Deposit","Crypto Deposit","Buy","Transfer Deposit","DRIP","Airdrop/Rewards"}) *
        Transactions!$I$3:$I$174
    )
    - SUMPRODUCT(
        (Transactions!$D$3:$D$174=B149) *
        (Transactions!$H$3:$H$174={"Sell","Transfer Send","Cash Withdrawal","Crypto Withdrawal"}) *
        Transactions!$I$3:$I$174
    )
)</f>
        <v>0</v>
      </c>
      <c r="K149" s="1" cm="1">
        <f t="array" ref="K149">IF(ISBLANK(B149), "",
    SUMPRODUCT(
        (Transactions!$D$3:$D$181=B149) *
        (Transactions!$H$3:$H$181={"Cash Deposit","Crypto Deposit","Buy","Transfer Deposit","DRIP","Airdrop/Rewards"}) *
        Transactions!$I$3:$I$181
    )
    - SUMPRODUCT(
        (Transactions!$D$3:$D$181=B149) *
        (Transactions!$H$3:$H$181={"Sell","Transfer Send","Cash Withdrawal","Crypto Withdrawal"}) *
        Transactions!$I$3:$I$181
    )
)</f>
        <v>0</v>
      </c>
      <c r="L149" s="1" cm="1">
        <f t="array" ref="L149">IF(ISBLANK(B149), "",
    SUMPRODUCT(
        (Transactions!$D$3:$D$185=B149) *
        (Transactions!$H$3:$H$185={"Cash Deposit","Crypto Deposit","Buy","Transfer Deposit","DRIP","Airdrop/Rewards"}) *
        Transactions!$I$3:$I$185
    )
    - SUMPRODUCT(
        (Transactions!$D$3:$D$185=B149) *
        (Transactions!$H$3:$H$185={"Sell","Transfer Send","Cash Withdrawal","Crypto Withdrawal"}) *
        Transactions!$I$3:$I$185
    )
)</f>
        <v>0</v>
      </c>
      <c r="M149" s="1" cm="1">
        <f t="array" ref="M149">IF(ISBLANK(B149), "",
    SUMPRODUCT(
        (Transactions!$D$3:$D$194=B149) *
        (Transactions!$H$3:$H$194={"Cash Deposit","Crypto Deposit","Buy","Transfer Deposit","DRIP","Airdrop/Rewards"}) *
        Transactions!$I$3:$I$194
    )
    - SUMPRODUCT(
        (Transactions!$D$3:$D$194=B149) *
        (Transactions!$H$3:$H$194={"Sell","Transfer Send","Cash Withdrawal","Crypto Withdrawal"}) *
        Transactions!$I$3:$I$194
    )
)</f>
        <v>0</v>
      </c>
      <c r="N149" s="1" cm="1">
        <f t="array" ref="N149">IF(ISBLANK(B149), "",
    SUMPRODUCT(
        (Transactions!$D$3:$D$201=B149) *
        (Transactions!$H$3:$H$201={"Cash Deposit","Crypto Deposit","Buy","Transfer Deposit","DRIP","Airdrop/Rewards"}) *
        Transactions!$I$3:$I$201
    )
    - SUMPRODUCT(
        (Transactions!$D$3:$D$201=B149) *
        (Transactions!$H$3:$H$201={"Sell","Transfer Send","Cash Withdrawal","Crypto Withdrawal"}) *
        Transactions!$I$3:$I$201
    )
)</f>
        <v>0</v>
      </c>
      <c r="O149" s="1" cm="1">
        <f t="array" ref="O149">IF(ISBLANK(B149), "",
    SUMPRODUCT(
        (Transactions!$D$3:$D$229=B149) *
        (Transactions!$H$3:$H$229={"Cash Deposit","Crypto Deposit","Buy","Transfer Deposit","DRIP","Airdrop/Rewards"}) *
        Transactions!$I$3:$I$229
    )
    - SUMPRODUCT(
        (Transactions!$D$3:$D$229=B149) *
        (Transactions!$H$3:$H$229={"Sell","Transfer Send","Cash Withdrawal","Crypto Withdrawal"}) *
        Transactions!$I$3:$I$229
    )
)</f>
        <v>0</v>
      </c>
      <c r="P149" s="1" cm="1">
        <f t="array" ref="P149">IF(ISBLANK(B149), "",
    SUMPRODUCT(
        (Transactions!$D$3:$D$305=B149) *
        (Transactions!$H$3:$H$305={"Cash Deposit","Crypto Deposit","Buy","Transfer Deposit","DRIP","Airdrop/Rewards"}) *
        Transactions!$I$3:$I$305
    )
    - SUMPRODUCT(
        (Transactions!$D$3:$D$305=B149) *
        (Transactions!$H$3:$H$305={"Sell","Transfer Send","Cash Withdrawal","Crypto Withdrawal"}) *
        Transactions!$I$3:$I$305
    )
)</f>
        <v>0</v>
      </c>
      <c r="Q149" s="1" cm="1">
        <f t="array" ref="Q149">IF(ISBLANK(B149), "",
    SUMPRODUCT(
        (Transactions!$D$3:$D$376=B149) *
        (Transactions!$H$3:$H$376={"Cash Deposit","Crypto Deposit","Buy","Transfer Deposit","DRIP","Airdrop/Rewards"}) *
        Transactions!$I$3:$I$376
    )
    - SUMPRODUCT(
        (Transactions!$D$3:$D$376=B149) *
        (Transactions!$H$3:$H$376={"Sell","Transfer Send","Cash Withdrawal","Crypto Withdrawal"}) *
        Transactions!$I$3:$I$376
    )
)</f>
        <v>0</v>
      </c>
      <c r="R149" s="1" cm="1">
        <f t="array" ref="R149">IF(ISBLANK(B149), "",
    SUMPRODUCT(
        (Transactions!$D$3:$D$1007=B149) *
        (Transactions!$H$3:$H$1007={"Cash Deposit","Crypto Deposit","Buy","Transfer Deposit","DRIP","Airdrop/Rewards"}) *
        Transactions!$I$3:$I$1007
    )
    - SUMPRODUCT(
        (Transactions!$D$3:$D$1007=B149) *
        (Transactions!$H$3:$H$1007={"Sell","Transfer Send","Cash Withdrawal","Crypto Withdrawal"}) *
        Transactions!$I$3:$I$1007
    )
)</f>
        <v>0</v>
      </c>
    </row>
    <row r="150" spans="1:18">
      <c r="A150" s="1" t="e" vm="19">
        <v>#VALUE!</v>
      </c>
      <c r="B150" s="1" t="e" vm="19">
        <v>#VALUE!</v>
      </c>
      <c r="C150" s="1" cm="1">
        <f t="array" ref="C150">IF(ISBLANK(B150), "",
    SUMPRODUCT(
        (Transactions!$D$3:$D$74=B150) *
        (Transactions!$H$3:$H$74={"Cash Deposit","Crypto Deposit","Buy","Transfer Deposit","DRIP","Airdrop/Rewards"}) *
        Transactions!$I$3:$I$74
    )
    - SUMPRODUCT(
        (Transactions!$D$3:$D$74=B150) *
        (Transactions!$H$3:$H$74={"Sell","Transfer Send","Cash Withdrawal","Crypto Withdrawal"}) *
        Transactions!$I$3:$I$74
    )
)</f>
        <v>0</v>
      </c>
      <c r="D150" s="1" cm="1">
        <f t="array" ref="D150">IF(ISBLANK(B150), "",
    SUMPRODUCT(
        (Transactions!$D$3:$D$76=B150) *
        (Transactions!$H$3:$H$76={"Cash Deposit","Crypto Deposit","Buy","Transfer Deposit","DRIP","Airdrop/Rewards"}) *
        Transactions!$I$3:$I$76
    )
    - SUMPRODUCT(
        (Transactions!$D$3:$D$76=B150) *
        (Transactions!$H$3:$H$76={"Sell","Transfer Send","Cash Withdrawal","Crypto Withdrawal"}) *
        Transactions!$I$3:$I$76
    )
)</f>
        <v>0</v>
      </c>
      <c r="E150" s="1" cm="1">
        <f t="array" ref="E150">IF(ISBLANK(B150), "",
    SUMPRODUCT(
        (Transactions!$D$3:$D$83=B150) *
        (Transactions!$H$3:$H$83={"Cash Deposit","Crypto Deposit","Buy","Transfer Deposit","DRIP","Airdrop/Rewards"}) *
        Transactions!$I$3:$I$83
    )
    - SUMPRODUCT(
        (Transactions!$D$3:$D$83=B150) *
        (Transactions!$H$3:$H$83={"Sell","Transfer Send","Cash Withdrawal","Crypto Withdrawal"}) *
        Transactions!$I$3:$I$83
    )
)</f>
        <v>0</v>
      </c>
      <c r="F150" s="1" cm="1">
        <f t="array" ref="F150">IF(ISBLANK(B150), "",
    SUMPRODUCT(
        (Transactions!$D$3:$D$98=B150) *
        (Transactions!$H$3:$H$98={"Cash Deposit","Crypto Deposit","Buy","Transfer Deposit","DRIP","Airdrop/Rewards"}) *
        Transactions!$I$3:$I$98
    )
    - SUMPRODUCT(
        (Transactions!$D$3:$D$98=B150) *
        (Transactions!$H$3:$H$98={"Sell","Transfer Send","Cash Withdrawal","Crypto Withdrawal"}) *
        Transactions!$I$3:$I$98
    )
)</f>
        <v>0</v>
      </c>
      <c r="G150" s="1" cm="1">
        <f t="array" ref="G150">IF(ISBLANK(B150), "",
    SUMPRODUCT(
        (Transactions!$D$3:$D$114=B150) *
        (Transactions!$H$3:$H$114={"Cash Deposit","Crypto Deposit","Buy","Transfer Deposit","DRIP","Airdrop/Rewards"}) *
        Transactions!$I$3:$I$114
    )
    - SUMPRODUCT(
        (Transactions!$D$3:$D$114=B150) *
        (Transactions!$H$3:$H$114={"Sell","Transfer Send","Cash Withdrawal","Crypto Withdrawal"}) *
        Transactions!$I$3:$I$114
    )
)</f>
        <v>0</v>
      </c>
      <c r="H150" s="1" cm="1">
        <f t="array" ref="H150">IF(ISBLANK(B150), "",
    SUMPRODUCT(
        (Transactions!$D$3:$D$139=B150) *
        (Transactions!$H$3:$H$139={"Cash Deposit","Crypto Deposit","Buy","Transfer Deposit","DRIP","Airdrop/Rewards"}) *
        Transactions!$I$3:$I$139
    )
    - SUMPRODUCT(
        (Transactions!$D$3:$D$139=B150) *
        (Transactions!$H$3:$H$139={"Sell","Transfer Send","Cash Withdrawal","Crypto Withdrawal"}) *
        Transactions!$I$3:$I$139
    )
)</f>
        <v>0</v>
      </c>
      <c r="I150" s="1" cm="1">
        <f t="array" ref="I150">IF(ISBLANK(B150), "",
    SUMPRODUCT(
        (Transactions!$D$3:$D$165=B150) *
        (Transactions!$H$3:$H$165={"Cash Deposit","Crypto Deposit","Buy","Transfer Deposit","DRIP","Airdrop/Rewards"}) *
        Transactions!$I$3:$I$165
    )
    - SUMPRODUCT(
        (Transactions!$D$3:$D$165=B150) *
        (Transactions!$H$3:$H$165={"Sell","Transfer Send","Cash Withdrawal","Crypto Withdrawal"}) *
        Transactions!$I$3:$I$165
    )
)</f>
        <v>0</v>
      </c>
      <c r="J150" s="1" cm="1">
        <f t="array" ref="J150">IF(ISBLANK(B150), "",
    SUMPRODUCT(
        (Transactions!$D$3:$D$174=B150) *
        (Transactions!$H$3:$H$174={"Cash Deposit","Crypto Deposit","Buy","Transfer Deposit","DRIP","Airdrop/Rewards"}) *
        Transactions!$I$3:$I$174
    )
    - SUMPRODUCT(
        (Transactions!$D$3:$D$174=B150) *
        (Transactions!$H$3:$H$174={"Sell","Transfer Send","Cash Withdrawal","Crypto Withdrawal"}) *
        Transactions!$I$3:$I$174
    )
)</f>
        <v>0</v>
      </c>
      <c r="K150" s="1" cm="1">
        <f t="array" ref="K150">IF(ISBLANK(B150), "",
    SUMPRODUCT(
        (Transactions!$D$3:$D$181=B150) *
        (Transactions!$H$3:$H$181={"Cash Deposit","Crypto Deposit","Buy","Transfer Deposit","DRIP","Airdrop/Rewards"}) *
        Transactions!$I$3:$I$181
    )
    - SUMPRODUCT(
        (Transactions!$D$3:$D$181=B150) *
        (Transactions!$H$3:$H$181={"Sell","Transfer Send","Cash Withdrawal","Crypto Withdrawal"}) *
        Transactions!$I$3:$I$181
    )
)</f>
        <v>0</v>
      </c>
      <c r="L150" s="1" cm="1">
        <f t="array" ref="L150">IF(ISBLANK(B150), "",
    SUMPRODUCT(
        (Transactions!$D$3:$D$185=B150) *
        (Transactions!$H$3:$H$185={"Cash Deposit","Crypto Deposit","Buy","Transfer Deposit","DRIP","Airdrop/Rewards"}) *
        Transactions!$I$3:$I$185
    )
    - SUMPRODUCT(
        (Transactions!$D$3:$D$185=B150) *
        (Transactions!$H$3:$H$185={"Sell","Transfer Send","Cash Withdrawal","Crypto Withdrawal"}) *
        Transactions!$I$3:$I$185
    )
)</f>
        <v>0</v>
      </c>
      <c r="M150" s="1" cm="1">
        <f t="array" ref="M150">IF(ISBLANK(B150), "",
    SUMPRODUCT(
        (Transactions!$D$3:$D$194=B150) *
        (Transactions!$H$3:$H$194={"Cash Deposit","Crypto Deposit","Buy","Transfer Deposit","DRIP","Airdrop/Rewards"}) *
        Transactions!$I$3:$I$194
    )
    - SUMPRODUCT(
        (Transactions!$D$3:$D$194=B150) *
        (Transactions!$H$3:$H$194={"Sell","Transfer Send","Cash Withdrawal","Crypto Withdrawal"}) *
        Transactions!$I$3:$I$194
    )
)</f>
        <v>0</v>
      </c>
      <c r="N150" s="1" cm="1">
        <f t="array" ref="N150">IF(ISBLANK(B150), "",
    SUMPRODUCT(
        (Transactions!$D$3:$D$201=B150) *
        (Transactions!$H$3:$H$201={"Cash Deposit","Crypto Deposit","Buy","Transfer Deposit","DRIP","Airdrop/Rewards"}) *
        Transactions!$I$3:$I$201
    )
    - SUMPRODUCT(
        (Transactions!$D$3:$D$201=B150) *
        (Transactions!$H$3:$H$201={"Sell","Transfer Send","Cash Withdrawal","Crypto Withdrawal"}) *
        Transactions!$I$3:$I$201
    )
)</f>
        <v>0</v>
      </c>
      <c r="O150" s="1" cm="1">
        <f t="array" ref="O150">IF(ISBLANK(B150), "",
    SUMPRODUCT(
        (Transactions!$D$3:$D$229=B150) *
        (Transactions!$H$3:$H$229={"Cash Deposit","Crypto Deposit","Buy","Transfer Deposit","DRIP","Airdrop/Rewards"}) *
        Transactions!$I$3:$I$229
    )
    - SUMPRODUCT(
        (Transactions!$D$3:$D$229=B150) *
        (Transactions!$H$3:$H$229={"Sell","Transfer Send","Cash Withdrawal","Crypto Withdrawal"}) *
        Transactions!$I$3:$I$229
    )
)</f>
        <v>0</v>
      </c>
      <c r="P150" s="1" cm="1">
        <f t="array" ref="P150">IF(ISBLANK(B150), "",
    SUMPRODUCT(
        (Transactions!$D$3:$D$305=B150) *
        (Transactions!$H$3:$H$305={"Cash Deposit","Crypto Deposit","Buy","Transfer Deposit","DRIP","Airdrop/Rewards"}) *
        Transactions!$I$3:$I$305
    )
    - SUMPRODUCT(
        (Transactions!$D$3:$D$305=B150) *
        (Transactions!$H$3:$H$305={"Sell","Transfer Send","Cash Withdrawal","Crypto Withdrawal"}) *
        Transactions!$I$3:$I$305
    )
)</f>
        <v>0</v>
      </c>
      <c r="Q150" s="1" cm="1">
        <f t="array" ref="Q150">IF(ISBLANK(B150), "",
    SUMPRODUCT(
        (Transactions!$D$3:$D$376=B150) *
        (Transactions!$H$3:$H$376={"Cash Deposit","Crypto Deposit","Buy","Transfer Deposit","DRIP","Airdrop/Rewards"}) *
        Transactions!$I$3:$I$376
    )
    - SUMPRODUCT(
        (Transactions!$D$3:$D$376=B150) *
        (Transactions!$H$3:$H$376={"Sell","Transfer Send","Cash Withdrawal","Crypto Withdrawal"}) *
        Transactions!$I$3:$I$376
    )
)</f>
        <v>0</v>
      </c>
      <c r="R150" s="1" cm="1">
        <f t="array" ref="R150">IF(ISBLANK(B150), "",
    SUMPRODUCT(
        (Transactions!$D$3:$D$1007=B150) *
        (Transactions!$H$3:$H$1007={"Cash Deposit","Crypto Deposit","Buy","Transfer Deposit","DRIP","Airdrop/Rewards"}) *
        Transactions!$I$3:$I$1007
    )
    - SUMPRODUCT(
        (Transactions!$D$3:$D$1007=B150) *
        (Transactions!$H$3:$H$1007={"Sell","Transfer Send","Cash Withdrawal","Crypto Withdrawal"}) *
        Transactions!$I$3:$I$1007
    )
)</f>
        <v>0</v>
      </c>
    </row>
    <row r="151" spans="1:18">
      <c r="A151" s="1" t="e" vm="18">
        <v>#VALUE!</v>
      </c>
      <c r="B151" s="1" t="e" vm="18">
        <v>#VALUE!</v>
      </c>
      <c r="C151" s="1" cm="1">
        <f t="array" ref="C151">IF(ISBLANK(B151), "",
    SUMPRODUCT(
        (Transactions!$D$3:$D$74=B151) *
        (Transactions!$H$3:$H$74={"Cash Deposit","Crypto Deposit","Buy","Transfer Deposit","DRIP","Airdrop/Rewards"}) *
        Transactions!$I$3:$I$74
    )
    - SUMPRODUCT(
        (Transactions!$D$3:$D$74=B151) *
        (Transactions!$H$3:$H$74={"Sell","Transfer Send","Cash Withdrawal","Crypto Withdrawal"}) *
        Transactions!$I$3:$I$74
    )
)</f>
        <v>0</v>
      </c>
      <c r="D151" s="1" cm="1">
        <f t="array" ref="D151">IF(ISBLANK(B151), "",
    SUMPRODUCT(
        (Transactions!$D$3:$D$76=B151) *
        (Transactions!$H$3:$H$76={"Cash Deposit","Crypto Deposit","Buy","Transfer Deposit","DRIP","Airdrop/Rewards"}) *
        Transactions!$I$3:$I$76
    )
    - SUMPRODUCT(
        (Transactions!$D$3:$D$76=B151) *
        (Transactions!$H$3:$H$76={"Sell","Transfer Send","Cash Withdrawal","Crypto Withdrawal"}) *
        Transactions!$I$3:$I$76
    )
)</f>
        <v>0</v>
      </c>
      <c r="E151" s="1" cm="1">
        <f t="array" ref="E151">IF(ISBLANK(B151), "",
    SUMPRODUCT(
        (Transactions!$D$3:$D$83=B151) *
        (Transactions!$H$3:$H$83={"Cash Deposit","Crypto Deposit","Buy","Transfer Deposit","DRIP","Airdrop/Rewards"}) *
        Transactions!$I$3:$I$83
    )
    - SUMPRODUCT(
        (Transactions!$D$3:$D$83=B151) *
        (Transactions!$H$3:$H$83={"Sell","Transfer Send","Cash Withdrawal","Crypto Withdrawal"}) *
        Transactions!$I$3:$I$83
    )
)</f>
        <v>0</v>
      </c>
      <c r="F151" s="1" cm="1">
        <f t="array" ref="F151">IF(ISBLANK(B151), "",
    SUMPRODUCT(
        (Transactions!$D$3:$D$98=B151) *
        (Transactions!$H$3:$H$98={"Cash Deposit","Crypto Deposit","Buy","Transfer Deposit","DRIP","Airdrop/Rewards"}) *
        Transactions!$I$3:$I$98
    )
    - SUMPRODUCT(
        (Transactions!$D$3:$D$98=B151) *
        (Transactions!$H$3:$H$98={"Sell","Transfer Send","Cash Withdrawal","Crypto Withdrawal"}) *
        Transactions!$I$3:$I$98
    )
)</f>
        <v>2</v>
      </c>
      <c r="G151" s="1" cm="1">
        <f t="array" ref="G151">IF(ISBLANK(B151), "",
    SUMPRODUCT(
        (Transactions!$D$3:$D$114=B151) *
        (Transactions!$H$3:$H$114={"Cash Deposit","Crypto Deposit","Buy","Transfer Deposit","DRIP","Airdrop/Rewards"}) *
        Transactions!$I$3:$I$114
    )
    - SUMPRODUCT(
        (Transactions!$D$3:$D$114=B151) *
        (Transactions!$H$3:$H$114={"Sell","Transfer Send","Cash Withdrawal","Crypto Withdrawal"}) *
        Transactions!$I$3:$I$114
    )
)</f>
        <v>2</v>
      </c>
      <c r="H151" s="1" cm="1">
        <f t="array" ref="H151">IF(ISBLANK(B151), "",
    SUMPRODUCT(
        (Transactions!$D$3:$D$139=B151) *
        (Transactions!$H$3:$H$139={"Cash Deposit","Crypto Deposit","Buy","Transfer Deposit","DRIP","Airdrop/Rewards"}) *
        Transactions!$I$3:$I$139
    )
    - SUMPRODUCT(
        (Transactions!$D$3:$D$139=B151) *
        (Transactions!$H$3:$H$139={"Sell","Transfer Send","Cash Withdrawal","Crypto Withdrawal"}) *
        Transactions!$I$3:$I$139
    )
)</f>
        <v>6</v>
      </c>
      <c r="I151" s="1" cm="1">
        <f t="array" ref="I151">IF(ISBLANK(B151), "",
    SUMPRODUCT(
        (Transactions!$D$3:$D$165=B151) *
        (Transactions!$H$3:$H$165={"Cash Deposit","Crypto Deposit","Buy","Transfer Deposit","DRIP","Airdrop/Rewards"}) *
        Transactions!$I$3:$I$165
    )
    - SUMPRODUCT(
        (Transactions!$D$3:$D$165=B151) *
        (Transactions!$H$3:$H$165={"Sell","Transfer Send","Cash Withdrawal","Crypto Withdrawal"}) *
        Transactions!$I$3:$I$165
    )
)</f>
        <v>6</v>
      </c>
      <c r="J151" s="1" cm="1">
        <f t="array" ref="J151">IF(ISBLANK(B151), "",
    SUMPRODUCT(
        (Transactions!$D$3:$D$174=B151) *
        (Transactions!$H$3:$H$174={"Cash Deposit","Crypto Deposit","Buy","Transfer Deposit","DRIP","Airdrop/Rewards"}) *
        Transactions!$I$3:$I$174
    )
    - SUMPRODUCT(
        (Transactions!$D$3:$D$174=B151) *
        (Transactions!$H$3:$H$174={"Sell","Transfer Send","Cash Withdrawal","Crypto Withdrawal"}) *
        Transactions!$I$3:$I$174
    )
)</f>
        <v>11</v>
      </c>
      <c r="K151" s="1" cm="1">
        <f t="array" ref="K151">IF(ISBLANK(B151), "",
    SUMPRODUCT(
        (Transactions!$D$3:$D$181=B151) *
        (Transactions!$H$3:$H$181={"Cash Deposit","Crypto Deposit","Buy","Transfer Deposit","DRIP","Airdrop/Rewards"}) *
        Transactions!$I$3:$I$181
    )
    - SUMPRODUCT(
        (Transactions!$D$3:$D$181=B151) *
        (Transactions!$H$3:$H$181={"Sell","Transfer Send","Cash Withdrawal","Crypto Withdrawal"}) *
        Transactions!$I$3:$I$181
    )
)</f>
        <v>15</v>
      </c>
      <c r="L151" s="1" cm="1">
        <f t="array" ref="L151">IF(ISBLANK(B151), "",
    SUMPRODUCT(
        (Transactions!$D$3:$D$185=B151) *
        (Transactions!$H$3:$H$185={"Cash Deposit","Crypto Deposit","Buy","Transfer Deposit","DRIP","Airdrop/Rewards"}) *
        Transactions!$I$3:$I$185
    )
    - SUMPRODUCT(
        (Transactions!$D$3:$D$185=B151) *
        (Transactions!$H$3:$H$185={"Sell","Transfer Send","Cash Withdrawal","Crypto Withdrawal"}) *
        Transactions!$I$3:$I$185
    )
)</f>
        <v>15</v>
      </c>
      <c r="M151" s="1" cm="1">
        <f t="array" ref="M151">IF(ISBLANK(B151), "",
    SUMPRODUCT(
        (Transactions!$D$3:$D$194=B151) *
        (Transactions!$H$3:$H$194={"Cash Deposit","Crypto Deposit","Buy","Transfer Deposit","DRIP","Airdrop/Rewards"}) *
        Transactions!$I$3:$I$194
    )
    - SUMPRODUCT(
        (Transactions!$D$3:$D$194=B151) *
        (Transactions!$H$3:$H$194={"Sell","Transfer Send","Cash Withdrawal","Crypto Withdrawal"}) *
        Transactions!$I$3:$I$194
    )
)</f>
        <v>15</v>
      </c>
      <c r="N151" s="1" cm="1">
        <f t="array" ref="N151">IF(ISBLANK(B151), "",
    SUMPRODUCT(
        (Transactions!$D$3:$D$201=B151) *
        (Transactions!$H$3:$H$201={"Cash Deposit","Crypto Deposit","Buy","Transfer Deposit","DRIP","Airdrop/Rewards"}) *
        Transactions!$I$3:$I$201
    )
    - SUMPRODUCT(
        (Transactions!$D$3:$D$201=B151) *
        (Transactions!$H$3:$H$201={"Sell","Transfer Send","Cash Withdrawal","Crypto Withdrawal"}) *
        Transactions!$I$3:$I$201
    )
)</f>
        <v>15</v>
      </c>
      <c r="O151" s="1" cm="1">
        <f t="array" ref="O151">IF(ISBLANK(B151), "",
    SUMPRODUCT(
        (Transactions!$D$3:$D$229=B151) *
        (Transactions!$H$3:$H$229={"Cash Deposit","Crypto Deposit","Buy","Transfer Deposit","DRIP","Airdrop/Rewards"}) *
        Transactions!$I$3:$I$229
    )
    - SUMPRODUCT(
        (Transactions!$D$3:$D$229=B151) *
        (Transactions!$H$3:$H$229={"Sell","Transfer Send","Cash Withdrawal","Crypto Withdrawal"}) *
        Transactions!$I$3:$I$229
    )
)</f>
        <v>15</v>
      </c>
      <c r="P151" s="1" cm="1">
        <f t="array" ref="P151">IF(ISBLANK(B151), "",
    SUMPRODUCT(
        (Transactions!$D$3:$D$305=B151) *
        (Transactions!$H$3:$H$305={"Cash Deposit","Crypto Deposit","Buy","Transfer Deposit","DRIP","Airdrop/Rewards"}) *
        Transactions!$I$3:$I$305
    )
    - SUMPRODUCT(
        (Transactions!$D$3:$D$305=B151) *
        (Transactions!$H$3:$H$305={"Sell","Transfer Send","Cash Withdrawal","Crypto Withdrawal"}) *
        Transactions!$I$3:$I$305
    )
)</f>
        <v>25</v>
      </c>
      <c r="Q151" s="1" cm="1">
        <f t="array" ref="Q151">IF(ISBLANK(B151), "",
    SUMPRODUCT(
        (Transactions!$D$3:$D$376=B151) *
        (Transactions!$H$3:$H$376={"Cash Deposit","Crypto Deposit","Buy","Transfer Deposit","DRIP","Airdrop/Rewards"}) *
        Transactions!$I$3:$I$376
    )
    - SUMPRODUCT(
        (Transactions!$D$3:$D$376=B151) *
        (Transactions!$H$3:$H$376={"Sell","Transfer Send","Cash Withdrawal","Crypto Withdrawal"}) *
        Transactions!$I$3:$I$376
    )
)</f>
        <v>25</v>
      </c>
      <c r="R151" s="1" cm="1">
        <f t="array" ref="R151">IF(ISBLANK(B151), "",
    SUMPRODUCT(
        (Transactions!$D$3:$D$1007=B151) *
        (Transactions!$H$3:$H$1007={"Cash Deposit","Crypto Deposit","Buy","Transfer Deposit","DRIP","Airdrop/Rewards"}) *
        Transactions!$I$3:$I$1007
    )
    - SUMPRODUCT(
        (Transactions!$D$3:$D$1007=B151) *
        (Transactions!$H$3:$H$1007={"Sell","Transfer Send","Cash Withdrawal","Crypto Withdrawal"}) *
        Transactions!$I$3:$I$1007
    )
)</f>
        <v>25</v>
      </c>
    </row>
    <row r="152" spans="1:18">
      <c r="A152" s="1" t="e" vm="24">
        <v>#VALUE!</v>
      </c>
      <c r="B152" s="1" t="e" vm="24">
        <v>#VALUE!</v>
      </c>
      <c r="C152" s="1" cm="1">
        <f t="array" ref="C152">IF(ISBLANK(B152), "",
    SUMPRODUCT(
        (Transactions!$D$3:$D$74=B152) *
        (Transactions!$H$3:$H$74={"Cash Deposit","Crypto Deposit","Buy","Transfer Deposit","DRIP","Airdrop/Rewards"}) *
        Transactions!$I$3:$I$74
    )
    - SUMPRODUCT(
        (Transactions!$D$3:$D$74=B152) *
        (Transactions!$H$3:$H$74={"Sell","Transfer Send","Cash Withdrawal","Crypto Withdrawal"}) *
        Transactions!$I$3:$I$74
    )
)</f>
        <v>0</v>
      </c>
      <c r="D152" s="1" cm="1">
        <f t="array" ref="D152">IF(ISBLANK(B152), "",
    SUMPRODUCT(
        (Transactions!$D$3:$D$76=B152) *
        (Transactions!$H$3:$H$76={"Cash Deposit","Crypto Deposit","Buy","Transfer Deposit","DRIP","Airdrop/Rewards"}) *
        Transactions!$I$3:$I$76
    )
    - SUMPRODUCT(
        (Transactions!$D$3:$D$76=B152) *
        (Transactions!$H$3:$H$76={"Sell","Transfer Send","Cash Withdrawal","Crypto Withdrawal"}) *
        Transactions!$I$3:$I$76
    )
)</f>
        <v>0</v>
      </c>
      <c r="E152" s="1" cm="1">
        <f t="array" ref="E152">IF(ISBLANK(B152), "",
    SUMPRODUCT(
        (Transactions!$D$3:$D$83=B152) *
        (Transactions!$H$3:$H$83={"Cash Deposit","Crypto Deposit","Buy","Transfer Deposit","DRIP","Airdrop/Rewards"}) *
        Transactions!$I$3:$I$83
    )
    - SUMPRODUCT(
        (Transactions!$D$3:$D$83=B152) *
        (Transactions!$H$3:$H$83={"Sell","Transfer Send","Cash Withdrawal","Crypto Withdrawal"}) *
        Transactions!$I$3:$I$83
    )
)</f>
        <v>0</v>
      </c>
      <c r="F152" s="1" cm="1">
        <f t="array" ref="F152">IF(ISBLANK(B152), "",
    SUMPRODUCT(
        (Transactions!$D$3:$D$98=B152) *
        (Transactions!$H$3:$H$98={"Cash Deposit","Crypto Deposit","Buy","Transfer Deposit","DRIP","Airdrop/Rewards"}) *
        Transactions!$I$3:$I$98
    )
    - SUMPRODUCT(
        (Transactions!$D$3:$D$98=B152) *
        (Transactions!$H$3:$H$98={"Sell","Transfer Send","Cash Withdrawal","Crypto Withdrawal"}) *
        Transactions!$I$3:$I$98
    )
)</f>
        <v>0</v>
      </c>
      <c r="G152" s="1" cm="1">
        <f t="array" ref="G152">IF(ISBLANK(B152), "",
    SUMPRODUCT(
        (Transactions!$D$3:$D$114=B152) *
        (Transactions!$H$3:$H$114={"Cash Deposit","Crypto Deposit","Buy","Transfer Deposit","DRIP","Airdrop/Rewards"}) *
        Transactions!$I$3:$I$114
    )
    - SUMPRODUCT(
        (Transactions!$D$3:$D$114=B152) *
        (Transactions!$H$3:$H$114={"Sell","Transfer Send","Cash Withdrawal","Crypto Withdrawal"}) *
        Transactions!$I$3:$I$114
    )
)</f>
        <v>0</v>
      </c>
      <c r="H152" s="1" cm="1">
        <f t="array" ref="H152">IF(ISBLANK(B152), "",
    SUMPRODUCT(
        (Transactions!$D$3:$D$139=B152) *
        (Transactions!$H$3:$H$139={"Cash Deposit","Crypto Deposit","Buy","Transfer Deposit","DRIP","Airdrop/Rewards"}) *
        Transactions!$I$3:$I$139
    )
    - SUMPRODUCT(
        (Transactions!$D$3:$D$139=B152) *
        (Transactions!$H$3:$H$139={"Sell","Transfer Send","Cash Withdrawal","Crypto Withdrawal"}) *
        Transactions!$I$3:$I$139
    )
)</f>
        <v>0</v>
      </c>
      <c r="I152" s="1" cm="1">
        <f t="array" ref="I152">IF(ISBLANK(B152), "",
    SUMPRODUCT(
        (Transactions!$D$3:$D$165=B152) *
        (Transactions!$H$3:$H$165={"Cash Deposit","Crypto Deposit","Buy","Transfer Deposit","DRIP","Airdrop/Rewards"}) *
        Transactions!$I$3:$I$165
    )
    - SUMPRODUCT(
        (Transactions!$D$3:$D$165=B152) *
        (Transactions!$H$3:$H$165={"Sell","Transfer Send","Cash Withdrawal","Crypto Withdrawal"}) *
        Transactions!$I$3:$I$165
    )
)</f>
        <v>0</v>
      </c>
      <c r="J152" s="1" cm="1">
        <f t="array" ref="J152">IF(ISBLANK(B152), "",
    SUMPRODUCT(
        (Transactions!$D$3:$D$174=B152) *
        (Transactions!$H$3:$H$174={"Cash Deposit","Crypto Deposit","Buy","Transfer Deposit","DRIP","Airdrop/Rewards"}) *
        Transactions!$I$3:$I$174
    )
    - SUMPRODUCT(
        (Transactions!$D$3:$D$174=B152) *
        (Transactions!$H$3:$H$174={"Sell","Transfer Send","Cash Withdrawal","Crypto Withdrawal"}) *
        Transactions!$I$3:$I$174
    )
)</f>
        <v>0</v>
      </c>
      <c r="K152" s="1" cm="1">
        <f t="array" ref="K152">IF(ISBLANK(B152), "",
    SUMPRODUCT(
        (Transactions!$D$3:$D$181=B152) *
        (Transactions!$H$3:$H$181={"Cash Deposit","Crypto Deposit","Buy","Transfer Deposit","DRIP","Airdrop/Rewards"}) *
        Transactions!$I$3:$I$181
    )
    - SUMPRODUCT(
        (Transactions!$D$3:$D$181=B152) *
        (Transactions!$H$3:$H$181={"Sell","Transfer Send","Cash Withdrawal","Crypto Withdrawal"}) *
        Transactions!$I$3:$I$181
    )
)</f>
        <v>0</v>
      </c>
      <c r="L152" s="1" cm="1">
        <f t="array" ref="L152">IF(ISBLANK(B152), "",
    SUMPRODUCT(
        (Transactions!$D$3:$D$185=B152) *
        (Transactions!$H$3:$H$185={"Cash Deposit","Crypto Deposit","Buy","Transfer Deposit","DRIP","Airdrop/Rewards"}) *
        Transactions!$I$3:$I$185
    )
    - SUMPRODUCT(
        (Transactions!$D$3:$D$185=B152) *
        (Transactions!$H$3:$H$185={"Sell","Transfer Send","Cash Withdrawal","Crypto Withdrawal"}) *
        Transactions!$I$3:$I$185
    )
)</f>
        <v>0</v>
      </c>
      <c r="M152" s="1" cm="1">
        <f t="array" ref="M152">IF(ISBLANK(B152), "",
    SUMPRODUCT(
        (Transactions!$D$3:$D$194=B152) *
        (Transactions!$H$3:$H$194={"Cash Deposit","Crypto Deposit","Buy","Transfer Deposit","DRIP","Airdrop/Rewards"}) *
        Transactions!$I$3:$I$194
    )
    - SUMPRODUCT(
        (Transactions!$D$3:$D$194=B152) *
        (Transactions!$H$3:$H$194={"Sell","Transfer Send","Cash Withdrawal","Crypto Withdrawal"}) *
        Transactions!$I$3:$I$194
    )
)</f>
        <v>0</v>
      </c>
      <c r="N152" s="1" cm="1">
        <f t="array" ref="N152">IF(ISBLANK(B152), "",
    SUMPRODUCT(
        (Transactions!$D$3:$D$201=B152) *
        (Transactions!$H$3:$H$201={"Cash Deposit","Crypto Deposit","Buy","Transfer Deposit","DRIP","Airdrop/Rewards"}) *
        Transactions!$I$3:$I$201
    )
    - SUMPRODUCT(
        (Transactions!$D$3:$D$201=B152) *
        (Transactions!$H$3:$H$201={"Sell","Transfer Send","Cash Withdrawal","Crypto Withdrawal"}) *
        Transactions!$I$3:$I$201
    )
)</f>
        <v>0</v>
      </c>
      <c r="O152" s="1" cm="1">
        <f t="array" ref="O152">IF(ISBLANK(B152), "",
    SUMPRODUCT(
        (Transactions!$D$3:$D$229=B152) *
        (Transactions!$H$3:$H$229={"Cash Deposit","Crypto Deposit","Buy","Transfer Deposit","DRIP","Airdrop/Rewards"}) *
        Transactions!$I$3:$I$229
    )
    - SUMPRODUCT(
        (Transactions!$D$3:$D$229=B152) *
        (Transactions!$H$3:$H$229={"Sell","Transfer Send","Cash Withdrawal","Crypto Withdrawal"}) *
        Transactions!$I$3:$I$229
    )
)</f>
        <v>0</v>
      </c>
      <c r="P152" s="1" cm="1">
        <f t="array" ref="P152">IF(ISBLANK(B152), "",
    SUMPRODUCT(
        (Transactions!$D$3:$D$305=B152) *
        (Transactions!$H$3:$H$305={"Cash Deposit","Crypto Deposit","Buy","Transfer Deposit","DRIP","Airdrop/Rewards"}) *
        Transactions!$I$3:$I$305
    )
    - SUMPRODUCT(
        (Transactions!$D$3:$D$305=B152) *
        (Transactions!$H$3:$H$305={"Sell","Transfer Send","Cash Withdrawal","Crypto Withdrawal"}) *
        Transactions!$I$3:$I$305
    )
)</f>
        <v>20</v>
      </c>
      <c r="Q152" s="1" cm="1">
        <f t="array" ref="Q152">IF(ISBLANK(B152), "",
    SUMPRODUCT(
        (Transactions!$D$3:$D$376=B152) *
        (Transactions!$H$3:$H$376={"Cash Deposit","Crypto Deposit","Buy","Transfer Deposit","DRIP","Airdrop/Rewards"}) *
        Transactions!$I$3:$I$376
    )
    - SUMPRODUCT(
        (Transactions!$D$3:$D$376=B152) *
        (Transactions!$H$3:$H$376={"Sell","Transfer Send","Cash Withdrawal","Crypto Withdrawal"}) *
        Transactions!$I$3:$I$376
    )
)</f>
        <v>20</v>
      </c>
      <c r="R152" s="1" cm="1">
        <f t="array" ref="R152">IF(ISBLANK(B152), "",
    SUMPRODUCT(
        (Transactions!$D$3:$D$1007=B152) *
        (Transactions!$H$3:$H$1007={"Cash Deposit","Crypto Deposit","Buy","Transfer Deposit","DRIP","Airdrop/Rewards"}) *
        Transactions!$I$3:$I$1007
    )
    - SUMPRODUCT(
        (Transactions!$D$3:$D$1007=B152) *
        (Transactions!$H$3:$H$1007={"Sell","Transfer Send","Cash Withdrawal","Crypto Withdrawal"}) *
        Transactions!$I$3:$I$1007
    )
)</f>
        <v>20</v>
      </c>
    </row>
    <row r="153" spans="1:18">
      <c r="A153" s="1" t="e" vm="25">
        <v>#VALUE!</v>
      </c>
      <c r="B153" s="1" t="e" vm="25">
        <v>#VALUE!</v>
      </c>
      <c r="C153" s="1" cm="1">
        <f t="array" ref="C153">IF(ISBLANK(B153), "",
    SUMPRODUCT(
        (Transactions!$D$3:$D$74=B153) *
        (Transactions!$H$3:$H$74={"Cash Deposit","Crypto Deposit","Buy","Transfer Deposit","DRIP","Airdrop/Rewards"}) *
        Transactions!$I$3:$I$74
    )
    - SUMPRODUCT(
        (Transactions!$D$3:$D$74=B153) *
        (Transactions!$H$3:$H$74={"Sell","Transfer Send","Cash Withdrawal","Crypto Withdrawal"}) *
        Transactions!$I$3:$I$74
    )
)</f>
        <v>0</v>
      </c>
      <c r="D153" s="1" cm="1">
        <f t="array" ref="D153">IF(ISBLANK(B153), "",
    SUMPRODUCT(
        (Transactions!$D$3:$D$76=B153) *
        (Transactions!$H$3:$H$76={"Cash Deposit","Crypto Deposit","Buy","Transfer Deposit","DRIP","Airdrop/Rewards"}) *
        Transactions!$I$3:$I$76
    )
    - SUMPRODUCT(
        (Transactions!$D$3:$D$76=B153) *
        (Transactions!$H$3:$H$76={"Sell","Transfer Send","Cash Withdrawal","Crypto Withdrawal"}) *
        Transactions!$I$3:$I$76
    )
)</f>
        <v>0</v>
      </c>
      <c r="E153" s="1" cm="1">
        <f t="array" ref="E153">IF(ISBLANK(B153), "",
    SUMPRODUCT(
        (Transactions!$D$3:$D$83=B153) *
        (Transactions!$H$3:$H$83={"Cash Deposit","Crypto Deposit","Buy","Transfer Deposit","DRIP","Airdrop/Rewards"}) *
        Transactions!$I$3:$I$83
    )
    - SUMPRODUCT(
        (Transactions!$D$3:$D$83=B153) *
        (Transactions!$H$3:$H$83={"Sell","Transfer Send","Cash Withdrawal","Crypto Withdrawal"}) *
        Transactions!$I$3:$I$83
    )
)</f>
        <v>0</v>
      </c>
      <c r="F153" s="1" cm="1">
        <f t="array" ref="F153">IF(ISBLANK(B153), "",
    SUMPRODUCT(
        (Transactions!$D$3:$D$98=B153) *
        (Transactions!$H$3:$H$98={"Cash Deposit","Crypto Deposit","Buy","Transfer Deposit","DRIP","Airdrop/Rewards"}) *
        Transactions!$I$3:$I$98
    )
    - SUMPRODUCT(
        (Transactions!$D$3:$D$98=B153) *
        (Transactions!$H$3:$H$98={"Sell","Transfer Send","Cash Withdrawal","Crypto Withdrawal"}) *
        Transactions!$I$3:$I$98
    )
)</f>
        <v>0</v>
      </c>
      <c r="G153" s="1" cm="1">
        <f t="array" ref="G153">IF(ISBLANK(B153), "",
    SUMPRODUCT(
        (Transactions!$D$3:$D$114=B153) *
        (Transactions!$H$3:$H$114={"Cash Deposit","Crypto Deposit","Buy","Transfer Deposit","DRIP","Airdrop/Rewards"}) *
        Transactions!$I$3:$I$114
    )
    - SUMPRODUCT(
        (Transactions!$D$3:$D$114=B153) *
        (Transactions!$H$3:$H$114={"Sell","Transfer Send","Cash Withdrawal","Crypto Withdrawal"}) *
        Transactions!$I$3:$I$114
    )
)</f>
        <v>0</v>
      </c>
      <c r="H153" s="1" cm="1">
        <f t="array" ref="H153">IF(ISBLANK(B153), "",
    SUMPRODUCT(
        (Transactions!$D$3:$D$139=B153) *
        (Transactions!$H$3:$H$139={"Cash Deposit","Crypto Deposit","Buy","Transfer Deposit","DRIP","Airdrop/Rewards"}) *
        Transactions!$I$3:$I$139
    )
    - SUMPRODUCT(
        (Transactions!$D$3:$D$139=B153) *
        (Transactions!$H$3:$H$139={"Sell","Transfer Send","Cash Withdrawal","Crypto Withdrawal"}) *
        Transactions!$I$3:$I$139
    )
)</f>
        <v>0</v>
      </c>
      <c r="I153" s="1" cm="1">
        <f t="array" ref="I153">IF(ISBLANK(B153), "",
    SUMPRODUCT(
        (Transactions!$D$3:$D$165=B153) *
        (Transactions!$H$3:$H$165={"Cash Deposit","Crypto Deposit","Buy","Transfer Deposit","DRIP","Airdrop/Rewards"}) *
        Transactions!$I$3:$I$165
    )
    - SUMPRODUCT(
        (Transactions!$D$3:$D$165=B153) *
        (Transactions!$H$3:$H$165={"Sell","Transfer Send","Cash Withdrawal","Crypto Withdrawal"}) *
        Transactions!$I$3:$I$165
    )
)</f>
        <v>0</v>
      </c>
      <c r="J153" s="1" cm="1">
        <f t="array" ref="J153">IF(ISBLANK(B153), "",
    SUMPRODUCT(
        (Transactions!$D$3:$D$174=B153) *
        (Transactions!$H$3:$H$174={"Cash Deposit","Crypto Deposit","Buy","Transfer Deposit","DRIP","Airdrop/Rewards"}) *
        Transactions!$I$3:$I$174
    )
    - SUMPRODUCT(
        (Transactions!$D$3:$D$174=B153) *
        (Transactions!$H$3:$H$174={"Sell","Transfer Send","Cash Withdrawal","Crypto Withdrawal"}) *
        Transactions!$I$3:$I$174
    )
)</f>
        <v>0</v>
      </c>
      <c r="K153" s="1" cm="1">
        <f t="array" ref="K153">IF(ISBLANK(B153), "",
    SUMPRODUCT(
        (Transactions!$D$3:$D$181=B153) *
        (Transactions!$H$3:$H$181={"Cash Deposit","Crypto Deposit","Buy","Transfer Deposit","DRIP","Airdrop/Rewards"}) *
        Transactions!$I$3:$I$181
    )
    - SUMPRODUCT(
        (Transactions!$D$3:$D$181=B153) *
        (Transactions!$H$3:$H$181={"Sell","Transfer Send","Cash Withdrawal","Crypto Withdrawal"}) *
        Transactions!$I$3:$I$181
    )
)</f>
        <v>0</v>
      </c>
      <c r="L153" s="1" cm="1">
        <f t="array" ref="L153">IF(ISBLANK(B153), "",
    SUMPRODUCT(
        (Transactions!$D$3:$D$185=B153) *
        (Transactions!$H$3:$H$185={"Cash Deposit","Crypto Deposit","Buy","Transfer Deposit","DRIP","Airdrop/Rewards"}) *
        Transactions!$I$3:$I$185
    )
    - SUMPRODUCT(
        (Transactions!$D$3:$D$185=B153) *
        (Transactions!$H$3:$H$185={"Sell","Transfer Send","Cash Withdrawal","Crypto Withdrawal"}) *
        Transactions!$I$3:$I$185
    )
)</f>
        <v>0</v>
      </c>
      <c r="M153" s="1" cm="1">
        <f t="array" ref="M153">IF(ISBLANK(B153), "",
    SUMPRODUCT(
        (Transactions!$D$3:$D$194=B153) *
        (Transactions!$H$3:$H$194={"Cash Deposit","Crypto Deposit","Buy","Transfer Deposit","DRIP","Airdrop/Rewards"}) *
        Transactions!$I$3:$I$194
    )
    - SUMPRODUCT(
        (Transactions!$D$3:$D$194=B153) *
        (Transactions!$H$3:$H$194={"Sell","Transfer Send","Cash Withdrawal","Crypto Withdrawal"}) *
        Transactions!$I$3:$I$194
    )
)</f>
        <v>0</v>
      </c>
      <c r="N153" s="1" cm="1">
        <f t="array" ref="N153">IF(ISBLANK(B153), "",
    SUMPRODUCT(
        (Transactions!$D$3:$D$201=B153) *
        (Transactions!$H$3:$H$201={"Cash Deposit","Crypto Deposit","Buy","Transfer Deposit","DRIP","Airdrop/Rewards"}) *
        Transactions!$I$3:$I$201
    )
    - SUMPRODUCT(
        (Transactions!$D$3:$D$201=B153) *
        (Transactions!$H$3:$H$201={"Sell","Transfer Send","Cash Withdrawal","Crypto Withdrawal"}) *
        Transactions!$I$3:$I$201
    )
)</f>
        <v>0</v>
      </c>
      <c r="O153" s="1" cm="1">
        <f t="array" ref="O153">IF(ISBLANK(B153), "",
    SUMPRODUCT(
        (Transactions!$D$3:$D$229=B153) *
        (Transactions!$H$3:$H$229={"Cash Deposit","Crypto Deposit","Buy","Transfer Deposit","DRIP","Airdrop/Rewards"}) *
        Transactions!$I$3:$I$229
    )
    - SUMPRODUCT(
        (Transactions!$D$3:$D$229=B153) *
        (Transactions!$H$3:$H$229={"Sell","Transfer Send","Cash Withdrawal","Crypto Withdrawal"}) *
        Transactions!$I$3:$I$229
    )
)</f>
        <v>0</v>
      </c>
      <c r="P153" s="1" cm="1">
        <f t="array" ref="P153">IF(ISBLANK(B153), "",
    SUMPRODUCT(
        (Transactions!$D$3:$D$305=B153) *
        (Transactions!$H$3:$H$305={"Cash Deposit","Crypto Deposit","Buy","Transfer Deposit","DRIP","Airdrop/Rewards"}) *
        Transactions!$I$3:$I$305
    )
    - SUMPRODUCT(
        (Transactions!$D$3:$D$305=B153) *
        (Transactions!$H$3:$H$305={"Sell","Transfer Send","Cash Withdrawal","Crypto Withdrawal"}) *
        Transactions!$I$3:$I$305
    )
)</f>
        <v>70</v>
      </c>
      <c r="Q153" s="1" cm="1">
        <f t="array" ref="Q153">IF(ISBLANK(B153), "",
    SUMPRODUCT(
        (Transactions!$D$3:$D$376=B153) *
        (Transactions!$H$3:$H$376={"Cash Deposit","Crypto Deposit","Buy","Transfer Deposit","DRIP","Airdrop/Rewards"}) *
        Transactions!$I$3:$I$376
    )
    - SUMPRODUCT(
        (Transactions!$D$3:$D$376=B153) *
        (Transactions!$H$3:$H$376={"Sell","Transfer Send","Cash Withdrawal","Crypto Withdrawal"}) *
        Transactions!$I$3:$I$376
    )
)</f>
        <v>70</v>
      </c>
      <c r="R153" s="1" cm="1">
        <f t="array" ref="R153">IF(ISBLANK(B153), "",
    SUMPRODUCT(
        (Transactions!$D$3:$D$1007=B153) *
        (Transactions!$H$3:$H$1007={"Cash Deposit","Crypto Deposit","Buy","Transfer Deposit","DRIP","Airdrop/Rewards"}) *
        Transactions!$I$3:$I$1007
    )
    - SUMPRODUCT(
        (Transactions!$D$3:$D$1007=B153) *
        (Transactions!$H$3:$H$1007={"Sell","Transfer Send","Cash Withdrawal","Crypto Withdrawal"}) *
        Transactions!$I$3:$I$1007
    )
)</f>
        <v>70</v>
      </c>
    </row>
    <row r="154" spans="1:18">
      <c r="A154" s="1" t="e" vm="17">
        <v>#VALUE!</v>
      </c>
      <c r="B154" s="1" t="e" vm="17">
        <v>#VALUE!</v>
      </c>
      <c r="C154" s="1" cm="1">
        <f t="array" ref="C154">IF(ISBLANK(B154), "",
    SUMPRODUCT(
        (Transactions!$D$3:$D$74=B154) *
        (Transactions!$H$3:$H$74={"Cash Deposit","Crypto Deposit","Buy","Transfer Deposit","DRIP","Airdrop/Rewards"}) *
        Transactions!$I$3:$I$74
    )
    - SUMPRODUCT(
        (Transactions!$D$3:$D$74=B154) *
        (Transactions!$H$3:$H$74={"Sell","Transfer Send","Cash Withdrawal","Crypto Withdrawal"}) *
        Transactions!$I$3:$I$74
    )
)</f>
        <v>0</v>
      </c>
      <c r="D154" s="1" cm="1">
        <f t="array" ref="D154">IF(ISBLANK(B154), "",
    SUMPRODUCT(
        (Transactions!$D$3:$D$76=B154) *
        (Transactions!$H$3:$H$76={"Cash Deposit","Crypto Deposit","Buy","Transfer Deposit","DRIP","Airdrop/Rewards"}) *
        Transactions!$I$3:$I$76
    )
    - SUMPRODUCT(
        (Transactions!$D$3:$D$76=B154) *
        (Transactions!$H$3:$H$76={"Sell","Transfer Send","Cash Withdrawal","Crypto Withdrawal"}) *
        Transactions!$I$3:$I$76
    )
)</f>
        <v>0</v>
      </c>
      <c r="E154" s="1" cm="1">
        <f t="array" ref="E154">IF(ISBLANK(B154), "",
    SUMPRODUCT(
        (Transactions!$D$3:$D$83=B154) *
        (Transactions!$H$3:$H$83={"Cash Deposit","Crypto Deposit","Buy","Transfer Deposit","DRIP","Airdrop/Rewards"}) *
        Transactions!$I$3:$I$83
    )
    - SUMPRODUCT(
        (Transactions!$D$3:$D$83=B154) *
        (Transactions!$H$3:$H$83={"Sell","Transfer Send","Cash Withdrawal","Crypto Withdrawal"}) *
        Transactions!$I$3:$I$83
    )
)</f>
        <v>15</v>
      </c>
      <c r="F154" s="1" cm="1">
        <f t="array" ref="F154">IF(ISBLANK(B154), "",
    SUMPRODUCT(
        (Transactions!$D$3:$D$98=B154) *
        (Transactions!$H$3:$H$98={"Cash Deposit","Crypto Deposit","Buy","Transfer Deposit","DRIP","Airdrop/Rewards"}) *
        Transactions!$I$3:$I$98
    )
    - SUMPRODUCT(
        (Transactions!$D$3:$D$98=B154) *
        (Transactions!$H$3:$H$98={"Sell","Transfer Send","Cash Withdrawal","Crypto Withdrawal"}) *
        Transactions!$I$3:$I$98
    )
)</f>
        <v>34</v>
      </c>
      <c r="G154" s="1" cm="1">
        <f t="array" ref="G154">IF(ISBLANK(B154), "",
    SUMPRODUCT(
        (Transactions!$D$3:$D$114=B154) *
        (Transactions!$H$3:$H$114={"Cash Deposit","Crypto Deposit","Buy","Transfer Deposit","DRIP","Airdrop/Rewards"}) *
        Transactions!$I$3:$I$114
    )
    - SUMPRODUCT(
        (Transactions!$D$3:$D$114=B154) *
        (Transactions!$H$3:$H$114={"Sell","Transfer Send","Cash Withdrawal","Crypto Withdrawal"}) *
        Transactions!$I$3:$I$114
    )
)</f>
        <v>50</v>
      </c>
      <c r="H154" s="1" cm="1">
        <f t="array" ref="H154">IF(ISBLANK(B154), "",
    SUMPRODUCT(
        (Transactions!$D$3:$D$139=B154) *
        (Transactions!$H$3:$H$139={"Cash Deposit","Crypto Deposit","Buy","Transfer Deposit","DRIP","Airdrop/Rewards"}) *
        Transactions!$I$3:$I$139
    )
    - SUMPRODUCT(
        (Transactions!$D$3:$D$139=B154) *
        (Transactions!$H$3:$H$139={"Sell","Transfer Send","Cash Withdrawal","Crypto Withdrawal"}) *
        Transactions!$I$3:$I$139
    )
)</f>
        <v>60</v>
      </c>
      <c r="I154" s="1" cm="1">
        <f t="array" ref="I154">IF(ISBLANK(B154), "",
    SUMPRODUCT(
        (Transactions!$D$3:$D$165=B154) *
        (Transactions!$H$3:$H$165={"Cash Deposit","Crypto Deposit","Buy","Transfer Deposit","DRIP","Airdrop/Rewards"}) *
        Transactions!$I$3:$I$165
    )
    - SUMPRODUCT(
        (Transactions!$D$3:$D$165=B154) *
        (Transactions!$H$3:$H$165={"Sell","Transfer Send","Cash Withdrawal","Crypto Withdrawal"}) *
        Transactions!$I$3:$I$165
    )
)</f>
        <v>67</v>
      </c>
      <c r="J154" s="1" cm="1">
        <f t="array" ref="J154">IF(ISBLANK(B154), "",
    SUMPRODUCT(
        (Transactions!$D$3:$D$174=B154) *
        (Transactions!$H$3:$H$174={"Cash Deposit","Crypto Deposit","Buy","Transfer Deposit","DRIP","Airdrop/Rewards"}) *
        Transactions!$I$3:$I$174
    )
    - SUMPRODUCT(
        (Transactions!$D$3:$D$174=B154) *
        (Transactions!$H$3:$H$174={"Sell","Transfer Send","Cash Withdrawal","Crypto Withdrawal"}) *
        Transactions!$I$3:$I$174
    )
)</f>
        <v>68</v>
      </c>
      <c r="K154" s="1" cm="1">
        <f t="array" ref="K154">IF(ISBLANK(B154), "",
    SUMPRODUCT(
        (Transactions!$D$3:$D$181=B154) *
        (Transactions!$H$3:$H$181={"Cash Deposit","Crypto Deposit","Buy","Transfer Deposit","DRIP","Airdrop/Rewards"}) *
        Transactions!$I$3:$I$181
    )
    - SUMPRODUCT(
        (Transactions!$D$3:$D$181=B154) *
        (Transactions!$H$3:$H$181={"Sell","Transfer Send","Cash Withdrawal","Crypto Withdrawal"}) *
        Transactions!$I$3:$I$181
    )
)</f>
        <v>75</v>
      </c>
      <c r="L154" s="1" cm="1">
        <f t="array" ref="L154">IF(ISBLANK(B154), "",
    SUMPRODUCT(
        (Transactions!$D$3:$D$185=B154) *
        (Transactions!$H$3:$H$185={"Cash Deposit","Crypto Deposit","Buy","Transfer Deposit","DRIP","Airdrop/Rewards"}) *
        Transactions!$I$3:$I$185
    )
    - SUMPRODUCT(
        (Transactions!$D$3:$D$185=B154) *
        (Transactions!$H$3:$H$185={"Sell","Transfer Send","Cash Withdrawal","Crypto Withdrawal"}) *
        Transactions!$I$3:$I$185
    )
)</f>
        <v>80</v>
      </c>
      <c r="M154" s="1" cm="1">
        <f t="array" ref="M154">IF(ISBLANK(B154), "",
    SUMPRODUCT(
        (Transactions!$D$3:$D$194=B154) *
        (Transactions!$H$3:$H$194={"Cash Deposit","Crypto Deposit","Buy","Transfer Deposit","DRIP","Airdrop/Rewards"}) *
        Transactions!$I$3:$I$194
    )
    - SUMPRODUCT(
        (Transactions!$D$3:$D$194=B154) *
        (Transactions!$H$3:$H$194={"Sell","Transfer Send","Cash Withdrawal","Crypto Withdrawal"}) *
        Transactions!$I$3:$I$194
    )
)</f>
        <v>84</v>
      </c>
      <c r="N154" s="1" cm="1">
        <f t="array" ref="N154">IF(ISBLANK(B154), "",
    SUMPRODUCT(
        (Transactions!$D$3:$D$201=B154) *
        (Transactions!$H$3:$H$201={"Cash Deposit","Crypto Deposit","Buy","Transfer Deposit","DRIP","Airdrop/Rewards"}) *
        Transactions!$I$3:$I$201
    )
    - SUMPRODUCT(
        (Transactions!$D$3:$D$201=B154) *
        (Transactions!$H$3:$H$201={"Sell","Transfer Send","Cash Withdrawal","Crypto Withdrawal"}) *
        Transactions!$I$3:$I$201
    )
)</f>
        <v>84</v>
      </c>
      <c r="O154" s="1" cm="1">
        <f t="array" ref="O154">IF(ISBLANK(B154), "",
    SUMPRODUCT(
        (Transactions!$D$3:$D$229=B154) *
        (Transactions!$H$3:$H$229={"Cash Deposit","Crypto Deposit","Buy","Transfer Deposit","DRIP","Airdrop/Rewards"}) *
        Transactions!$I$3:$I$229
    )
    - SUMPRODUCT(
        (Transactions!$D$3:$D$229=B154) *
        (Transactions!$H$3:$H$229={"Sell","Transfer Send","Cash Withdrawal","Crypto Withdrawal"}) *
        Transactions!$I$3:$I$229
    )
)</f>
        <v>68</v>
      </c>
      <c r="P154" s="1" cm="1">
        <f t="array" ref="P154">IF(ISBLANK(B154), "",
    SUMPRODUCT(
        (Transactions!$D$3:$D$305=B154) *
        (Transactions!$H$3:$H$305={"Cash Deposit","Crypto Deposit","Buy","Transfer Deposit","DRIP","Airdrop/Rewards"}) *
        Transactions!$I$3:$I$305
    )
    - SUMPRODUCT(
        (Transactions!$D$3:$D$305=B154) *
        (Transactions!$H$3:$H$305={"Sell","Transfer Send","Cash Withdrawal","Crypto Withdrawal"}) *
        Transactions!$I$3:$I$305
    )
)</f>
        <v>88</v>
      </c>
      <c r="Q154" s="1" cm="1">
        <f t="array" ref="Q154">IF(ISBLANK(B154), "",
    SUMPRODUCT(
        (Transactions!$D$3:$D$376=B154) *
        (Transactions!$H$3:$H$376={"Cash Deposit","Crypto Deposit","Buy","Transfer Deposit","DRIP","Airdrop/Rewards"}) *
        Transactions!$I$3:$I$376
    )
    - SUMPRODUCT(
        (Transactions!$D$3:$D$376=B154) *
        (Transactions!$H$3:$H$376={"Sell","Transfer Send","Cash Withdrawal","Crypto Withdrawal"}) *
        Transactions!$I$3:$I$376
    )
)</f>
        <v>88</v>
      </c>
      <c r="R154" s="1" cm="1">
        <f t="array" ref="R154">IF(ISBLANK(B154), "",
    SUMPRODUCT(
        (Transactions!$D$3:$D$1007=B154) *
        (Transactions!$H$3:$H$1007={"Cash Deposit","Crypto Deposit","Buy","Transfer Deposit","DRIP","Airdrop/Rewards"}) *
        Transactions!$I$3:$I$1007
    )
    - SUMPRODUCT(
        (Transactions!$D$3:$D$1007=B154) *
        (Transactions!$H$3:$H$1007={"Sell","Transfer Send","Cash Withdrawal","Crypto Withdrawal"}) *
        Transactions!$I$3:$I$1007
    )
)</f>
        <v>58</v>
      </c>
    </row>
    <row r="155" spans="1:18">
      <c r="A155" s="1" t="e" vm="14">
        <v>#VALUE!</v>
      </c>
      <c r="B155" s="1" t="e" vm="14">
        <v>#VALUE!</v>
      </c>
      <c r="C155" s="1" cm="1">
        <f t="array" ref="C155">IF(ISBLANK(B155), "",
    SUMPRODUCT(
        (Transactions!$D$3:$D$74=B155) *
        (Transactions!$H$3:$H$74={"Cash Deposit","Crypto Deposit","Buy","Transfer Deposit","DRIP","Airdrop/Rewards"}) *
        Transactions!$I$3:$I$74
    )
    - SUMPRODUCT(
        (Transactions!$D$3:$D$74=B155) *
        (Transactions!$H$3:$H$74={"Sell","Transfer Send","Cash Withdrawal","Crypto Withdrawal"}) *
        Transactions!$I$3:$I$74
    )
)</f>
        <v>0</v>
      </c>
      <c r="D155" s="1" cm="1">
        <f t="array" ref="D155">IF(ISBLANK(B155), "",
    SUMPRODUCT(
        (Transactions!$D$3:$D$76=B155) *
        (Transactions!$H$3:$H$76={"Cash Deposit","Crypto Deposit","Buy","Transfer Deposit","DRIP","Airdrop/Rewards"}) *
        Transactions!$I$3:$I$76
    )
    - SUMPRODUCT(
        (Transactions!$D$3:$D$76=B155) *
        (Transactions!$H$3:$H$76={"Sell","Transfer Send","Cash Withdrawal","Crypto Withdrawal"}) *
        Transactions!$I$3:$I$76
    )
)</f>
        <v>2</v>
      </c>
      <c r="E155" s="1" cm="1">
        <f t="array" ref="E155">IF(ISBLANK(B155), "",
    SUMPRODUCT(
        (Transactions!$D$3:$D$83=B155) *
        (Transactions!$H$3:$H$83={"Cash Deposit","Crypto Deposit","Buy","Transfer Deposit","DRIP","Airdrop/Rewards"}) *
        Transactions!$I$3:$I$83
    )
    - SUMPRODUCT(
        (Transactions!$D$3:$D$83=B155) *
        (Transactions!$H$3:$H$83={"Sell","Transfer Send","Cash Withdrawal","Crypto Withdrawal"}) *
        Transactions!$I$3:$I$83
    )
)</f>
        <v>2</v>
      </c>
      <c r="F155" s="1" cm="1">
        <f t="array" ref="F155">IF(ISBLANK(B155), "",
    SUMPRODUCT(
        (Transactions!$D$3:$D$98=B155) *
        (Transactions!$H$3:$H$98={"Cash Deposit","Crypto Deposit","Buy","Transfer Deposit","DRIP","Airdrop/Rewards"}) *
        Transactions!$I$3:$I$98
    )
    - SUMPRODUCT(
        (Transactions!$D$3:$D$98=B155) *
        (Transactions!$H$3:$H$98={"Sell","Transfer Send","Cash Withdrawal","Crypto Withdrawal"}) *
        Transactions!$I$3:$I$98
    )
)</f>
        <v>1</v>
      </c>
      <c r="G155" s="1" cm="1">
        <f t="array" ref="G155">IF(ISBLANK(B155), "",
    SUMPRODUCT(
        (Transactions!$D$3:$D$114=B155) *
        (Transactions!$H$3:$H$114={"Cash Deposit","Crypto Deposit","Buy","Transfer Deposit","DRIP","Airdrop/Rewards"}) *
        Transactions!$I$3:$I$114
    )
    - SUMPRODUCT(
        (Transactions!$D$3:$D$114=B155) *
        (Transactions!$H$3:$H$114={"Sell","Transfer Send","Cash Withdrawal","Crypto Withdrawal"}) *
        Transactions!$I$3:$I$114
    )
)</f>
        <v>1</v>
      </c>
      <c r="H155" s="1" cm="1">
        <f t="array" ref="H155">IF(ISBLANK(B155), "",
    SUMPRODUCT(
        (Transactions!$D$3:$D$139=B155) *
        (Transactions!$H$3:$H$139={"Cash Deposit","Crypto Deposit","Buy","Transfer Deposit","DRIP","Airdrop/Rewards"}) *
        Transactions!$I$3:$I$139
    )
    - SUMPRODUCT(
        (Transactions!$D$3:$D$139=B155) *
        (Transactions!$H$3:$H$139={"Sell","Transfer Send","Cash Withdrawal","Crypto Withdrawal"}) *
        Transactions!$I$3:$I$139
    )
)</f>
        <v>1</v>
      </c>
      <c r="I155" s="1" cm="1">
        <f t="array" ref="I155">IF(ISBLANK(B155), "",
    SUMPRODUCT(
        (Transactions!$D$3:$D$165=B155) *
        (Transactions!$H$3:$H$165={"Cash Deposit","Crypto Deposit","Buy","Transfer Deposit","DRIP","Airdrop/Rewards"}) *
        Transactions!$I$3:$I$165
    )
    - SUMPRODUCT(
        (Transactions!$D$3:$D$165=B155) *
        (Transactions!$H$3:$H$165={"Sell","Transfer Send","Cash Withdrawal","Crypto Withdrawal"}) *
        Transactions!$I$3:$I$165
    )
)</f>
        <v>0</v>
      </c>
      <c r="J155" s="1" cm="1">
        <f t="array" ref="J155">IF(ISBLANK(B155), "",
    SUMPRODUCT(
        (Transactions!$D$3:$D$174=B155) *
        (Transactions!$H$3:$H$174={"Cash Deposit","Crypto Deposit","Buy","Transfer Deposit","DRIP","Airdrop/Rewards"}) *
        Transactions!$I$3:$I$174
    )
    - SUMPRODUCT(
        (Transactions!$D$3:$D$174=B155) *
        (Transactions!$H$3:$H$174={"Sell","Transfer Send","Cash Withdrawal","Crypto Withdrawal"}) *
        Transactions!$I$3:$I$174
    )
)</f>
        <v>0</v>
      </c>
      <c r="K155" s="1" cm="1">
        <f t="array" ref="K155">IF(ISBLANK(B155), "",
    SUMPRODUCT(
        (Transactions!$D$3:$D$181=B155) *
        (Transactions!$H$3:$H$181={"Cash Deposit","Crypto Deposit","Buy","Transfer Deposit","DRIP","Airdrop/Rewards"}) *
        Transactions!$I$3:$I$181
    )
    - SUMPRODUCT(
        (Transactions!$D$3:$D$181=B155) *
        (Transactions!$H$3:$H$181={"Sell","Transfer Send","Cash Withdrawal","Crypto Withdrawal"}) *
        Transactions!$I$3:$I$181
    )
)</f>
        <v>0</v>
      </c>
      <c r="L155" s="1" cm="1">
        <f t="array" ref="L155">IF(ISBLANK(B155), "",
    SUMPRODUCT(
        (Transactions!$D$3:$D$185=B155) *
        (Transactions!$H$3:$H$185={"Cash Deposit","Crypto Deposit","Buy","Transfer Deposit","DRIP","Airdrop/Rewards"}) *
        Transactions!$I$3:$I$185
    )
    - SUMPRODUCT(
        (Transactions!$D$3:$D$185=B155) *
        (Transactions!$H$3:$H$185={"Sell","Transfer Send","Cash Withdrawal","Crypto Withdrawal"}) *
        Transactions!$I$3:$I$185
    )
)</f>
        <v>0</v>
      </c>
      <c r="M155" s="1" cm="1">
        <f t="array" ref="M155">IF(ISBLANK(B155), "",
    SUMPRODUCT(
        (Transactions!$D$3:$D$194=B155) *
        (Transactions!$H$3:$H$194={"Cash Deposit","Crypto Deposit","Buy","Transfer Deposit","DRIP","Airdrop/Rewards"}) *
        Transactions!$I$3:$I$194
    )
    - SUMPRODUCT(
        (Transactions!$D$3:$D$194=B155) *
        (Transactions!$H$3:$H$194={"Sell","Transfer Send","Cash Withdrawal","Crypto Withdrawal"}) *
        Transactions!$I$3:$I$194
    )
)</f>
        <v>0</v>
      </c>
      <c r="N155" s="1" cm="1">
        <f t="array" ref="N155">IF(ISBLANK(B155), "",
    SUMPRODUCT(
        (Transactions!$D$3:$D$201=B155) *
        (Transactions!$H$3:$H$201={"Cash Deposit","Crypto Deposit","Buy","Transfer Deposit","DRIP","Airdrop/Rewards"}) *
        Transactions!$I$3:$I$201
    )
    - SUMPRODUCT(
        (Transactions!$D$3:$D$201=B155) *
        (Transactions!$H$3:$H$201={"Sell","Transfer Send","Cash Withdrawal","Crypto Withdrawal"}) *
        Transactions!$I$3:$I$201
    )
)</f>
        <v>0</v>
      </c>
      <c r="O155" s="1" cm="1">
        <f t="array" ref="O155">IF(ISBLANK(B155), "",
    SUMPRODUCT(
        (Transactions!$D$3:$D$229=B155) *
        (Transactions!$H$3:$H$229={"Cash Deposit","Crypto Deposit","Buy","Transfer Deposit","DRIP","Airdrop/Rewards"}) *
        Transactions!$I$3:$I$229
    )
    - SUMPRODUCT(
        (Transactions!$D$3:$D$229=B155) *
        (Transactions!$H$3:$H$229={"Sell","Transfer Send","Cash Withdrawal","Crypto Withdrawal"}) *
        Transactions!$I$3:$I$229
    )
)</f>
        <v>0</v>
      </c>
      <c r="P155" s="1" cm="1">
        <f t="array" ref="P155">IF(ISBLANK(B155), "",
    SUMPRODUCT(
        (Transactions!$D$3:$D$305=B155) *
        (Transactions!$H$3:$H$305={"Cash Deposit","Crypto Deposit","Buy","Transfer Deposit","DRIP","Airdrop/Rewards"}) *
        Transactions!$I$3:$I$305
    )
    - SUMPRODUCT(
        (Transactions!$D$3:$D$305=B155) *
        (Transactions!$H$3:$H$305={"Sell","Transfer Send","Cash Withdrawal","Crypto Withdrawal"}) *
        Transactions!$I$3:$I$305
    )
)</f>
        <v>0</v>
      </c>
      <c r="Q155" s="1" cm="1">
        <f t="array" ref="Q155">IF(ISBLANK(B155), "",
    SUMPRODUCT(
        (Transactions!$D$3:$D$376=B155) *
        (Transactions!$H$3:$H$376={"Cash Deposit","Crypto Deposit","Buy","Transfer Deposit","DRIP","Airdrop/Rewards"}) *
        Transactions!$I$3:$I$376
    )
    - SUMPRODUCT(
        (Transactions!$D$3:$D$376=B155) *
        (Transactions!$H$3:$H$376={"Sell","Transfer Send","Cash Withdrawal","Crypto Withdrawal"}) *
        Transactions!$I$3:$I$376
    )
)</f>
        <v>0</v>
      </c>
      <c r="R155" s="1" cm="1">
        <f t="array" ref="R155">IF(ISBLANK(B155), "",
    SUMPRODUCT(
        (Transactions!$D$3:$D$1007=B155) *
        (Transactions!$H$3:$H$1007={"Cash Deposit","Crypto Deposit","Buy","Transfer Deposit","DRIP","Airdrop/Rewards"}) *
        Transactions!$I$3:$I$1007
    )
    - SUMPRODUCT(
        (Transactions!$D$3:$D$1007=B155) *
        (Transactions!$H$3:$H$1007={"Sell","Transfer Send","Cash Withdrawal","Crypto Withdrawal"}) *
        Transactions!$I$3:$I$1007
    )
)</f>
        <v>0</v>
      </c>
    </row>
    <row r="156" spans="1:18">
      <c r="A156" s="1" t="e" vm="15">
        <v>#VALUE!</v>
      </c>
      <c r="B156" s="1" t="e" vm="15">
        <v>#VALUE!</v>
      </c>
      <c r="C156" s="1" cm="1">
        <f t="array" ref="C156">IF(ISBLANK(B156), "",
    SUMPRODUCT(
        (Transactions!$D$3:$D$74=B156) *
        (Transactions!$H$3:$H$74={"Cash Deposit","Crypto Deposit","Buy","Transfer Deposit","DRIP","Airdrop/Rewards"}) *
        Transactions!$I$3:$I$74
    )
    - SUMPRODUCT(
        (Transactions!$D$3:$D$74=B156) *
        (Transactions!$H$3:$H$74={"Sell","Transfer Send","Cash Withdrawal","Crypto Withdrawal"}) *
        Transactions!$I$3:$I$74
    )
)</f>
        <v>0</v>
      </c>
      <c r="D156" s="1" cm="1">
        <f t="array" ref="D156">IF(ISBLANK(B156), "",
    SUMPRODUCT(
        (Transactions!$D$3:$D$76=B156) *
        (Transactions!$H$3:$H$76={"Cash Deposit","Crypto Deposit","Buy","Transfer Deposit","DRIP","Airdrop/Rewards"}) *
        Transactions!$I$3:$I$76
    )
    - SUMPRODUCT(
        (Transactions!$D$3:$D$76=B156) *
        (Transactions!$H$3:$H$76={"Sell","Transfer Send","Cash Withdrawal","Crypto Withdrawal"}) *
        Transactions!$I$3:$I$76
    )
)</f>
        <v>0</v>
      </c>
      <c r="E156" s="1" cm="1">
        <f t="array" ref="E156">IF(ISBLANK(B156), "",
    SUMPRODUCT(
        (Transactions!$D$3:$D$83=B156) *
        (Transactions!$H$3:$H$83={"Cash Deposit","Crypto Deposit","Buy","Transfer Deposit","DRIP","Airdrop/Rewards"}) *
        Transactions!$I$3:$I$83
    )
    - SUMPRODUCT(
        (Transactions!$D$3:$D$83=B156) *
        (Transactions!$H$3:$H$83={"Sell","Transfer Send","Cash Withdrawal","Crypto Withdrawal"}) *
        Transactions!$I$3:$I$83
    )
)</f>
        <v>40</v>
      </c>
      <c r="F156" s="1" cm="1">
        <f t="array" ref="F156">IF(ISBLANK(B156), "",
    SUMPRODUCT(
        (Transactions!$D$3:$D$98=B156) *
        (Transactions!$H$3:$H$98={"Cash Deposit","Crypto Deposit","Buy","Transfer Deposit","DRIP","Airdrop/Rewards"}) *
        Transactions!$I$3:$I$98
    )
    - SUMPRODUCT(
        (Transactions!$D$3:$D$98=B156) *
        (Transactions!$H$3:$H$98={"Sell","Transfer Send","Cash Withdrawal","Crypto Withdrawal"}) *
        Transactions!$I$3:$I$98
    )
)</f>
        <v>60</v>
      </c>
      <c r="G156" s="1" cm="1">
        <f t="array" ref="G156">IF(ISBLANK(B156), "",
    SUMPRODUCT(
        (Transactions!$D$3:$D$114=B156) *
        (Transactions!$H$3:$H$114={"Cash Deposit","Crypto Deposit","Buy","Transfer Deposit","DRIP","Airdrop/Rewards"}) *
        Transactions!$I$3:$I$114
    )
    - SUMPRODUCT(
        (Transactions!$D$3:$D$114=B156) *
        (Transactions!$H$3:$H$114={"Sell","Transfer Send","Cash Withdrawal","Crypto Withdrawal"}) *
        Transactions!$I$3:$I$114
    )
)</f>
        <v>70</v>
      </c>
      <c r="H156" s="1" cm="1">
        <f t="array" ref="H156">IF(ISBLANK(B156), "",
    SUMPRODUCT(
        (Transactions!$D$3:$D$139=B156) *
        (Transactions!$H$3:$H$139={"Cash Deposit","Crypto Deposit","Buy","Transfer Deposit","DRIP","Airdrop/Rewards"}) *
        Transactions!$I$3:$I$139
    )
    - SUMPRODUCT(
        (Transactions!$D$3:$D$139=B156) *
        (Transactions!$H$3:$H$139={"Sell","Transfer Send","Cash Withdrawal","Crypto Withdrawal"}) *
        Transactions!$I$3:$I$139
    )
)</f>
        <v>70</v>
      </c>
      <c r="I156" s="1" cm="1">
        <f t="array" ref="I156">IF(ISBLANK(B156), "",
    SUMPRODUCT(
        (Transactions!$D$3:$D$165=B156) *
        (Transactions!$H$3:$H$165={"Cash Deposit","Crypto Deposit","Buy","Transfer Deposit","DRIP","Airdrop/Rewards"}) *
        Transactions!$I$3:$I$165
    )
    - SUMPRODUCT(
        (Transactions!$D$3:$D$165=B156) *
        (Transactions!$H$3:$H$165={"Sell","Transfer Send","Cash Withdrawal","Crypto Withdrawal"}) *
        Transactions!$I$3:$I$165
    )
)</f>
        <v>70</v>
      </c>
      <c r="J156" s="1" cm="1">
        <f t="array" ref="J156">IF(ISBLANK(B156), "",
    SUMPRODUCT(
        (Transactions!$D$3:$D$174=B156) *
        (Transactions!$H$3:$H$174={"Cash Deposit","Crypto Deposit","Buy","Transfer Deposit","DRIP","Airdrop/Rewards"}) *
        Transactions!$I$3:$I$174
    )
    - SUMPRODUCT(
        (Transactions!$D$3:$D$174=B156) *
        (Transactions!$H$3:$H$174={"Sell","Transfer Send","Cash Withdrawal","Crypto Withdrawal"}) *
        Transactions!$I$3:$I$174
    )
)</f>
        <v>70</v>
      </c>
      <c r="K156" s="1" cm="1">
        <f t="array" ref="K156">IF(ISBLANK(B156), "",
    SUMPRODUCT(
        (Transactions!$D$3:$D$181=B156) *
        (Transactions!$H$3:$H$181={"Cash Deposit","Crypto Deposit","Buy","Transfer Deposit","DRIP","Airdrop/Rewards"}) *
        Transactions!$I$3:$I$181
    )
    - SUMPRODUCT(
        (Transactions!$D$3:$D$181=B156) *
        (Transactions!$H$3:$H$181={"Sell","Transfer Send","Cash Withdrawal","Crypto Withdrawal"}) *
        Transactions!$I$3:$I$181
    )
)</f>
        <v>70</v>
      </c>
      <c r="L156" s="1" cm="1">
        <f t="array" ref="L156">IF(ISBLANK(B156), "",
    SUMPRODUCT(
        (Transactions!$D$3:$D$185=B156) *
        (Transactions!$H$3:$H$185={"Cash Deposit","Crypto Deposit","Buy","Transfer Deposit","DRIP","Airdrop/Rewards"}) *
        Transactions!$I$3:$I$185
    )
    - SUMPRODUCT(
        (Transactions!$D$3:$D$185=B156) *
        (Transactions!$H$3:$H$185={"Sell","Transfer Send","Cash Withdrawal","Crypto Withdrawal"}) *
        Transactions!$I$3:$I$185
    )
)</f>
        <v>70</v>
      </c>
      <c r="M156" s="1" cm="1">
        <f t="array" ref="M156">IF(ISBLANK(B156), "",
    SUMPRODUCT(
        (Transactions!$D$3:$D$194=B156) *
        (Transactions!$H$3:$H$194={"Cash Deposit","Crypto Deposit","Buy","Transfer Deposit","DRIP","Airdrop/Rewards"}) *
        Transactions!$I$3:$I$194
    )
    - SUMPRODUCT(
        (Transactions!$D$3:$D$194=B156) *
        (Transactions!$H$3:$H$194={"Sell","Transfer Send","Cash Withdrawal","Crypto Withdrawal"}) *
        Transactions!$I$3:$I$194
    )
)</f>
        <v>70</v>
      </c>
      <c r="N156" s="1" cm="1">
        <f t="array" ref="N156">IF(ISBLANK(B156), "",
    SUMPRODUCT(
        (Transactions!$D$3:$D$201=B156) *
        (Transactions!$H$3:$H$201={"Cash Deposit","Crypto Deposit","Buy","Transfer Deposit","DRIP","Airdrop/Rewards"}) *
        Transactions!$I$3:$I$201
    )
    - SUMPRODUCT(
        (Transactions!$D$3:$D$201=B156) *
        (Transactions!$H$3:$H$201={"Sell","Transfer Send","Cash Withdrawal","Crypto Withdrawal"}) *
        Transactions!$I$3:$I$201
    )
)</f>
        <v>70</v>
      </c>
      <c r="O156" s="1" cm="1">
        <f t="array" ref="O156">IF(ISBLANK(B156), "",
    SUMPRODUCT(
        (Transactions!$D$3:$D$229=B156) *
        (Transactions!$H$3:$H$229={"Cash Deposit","Crypto Deposit","Buy","Transfer Deposit","DRIP","Airdrop/Rewards"}) *
        Transactions!$I$3:$I$229
    )
    - SUMPRODUCT(
        (Transactions!$D$3:$D$229=B156) *
        (Transactions!$H$3:$H$229={"Sell","Transfer Send","Cash Withdrawal","Crypto Withdrawal"}) *
        Transactions!$I$3:$I$229
    )
)</f>
        <v>70</v>
      </c>
      <c r="P156" s="1" cm="1">
        <f t="array" ref="P156">IF(ISBLANK(B156), "",
    SUMPRODUCT(
        (Transactions!$D$3:$D$305=B156) *
        (Transactions!$H$3:$H$305={"Cash Deposit","Crypto Deposit","Buy","Transfer Deposit","DRIP","Airdrop/Rewards"}) *
        Transactions!$I$3:$I$305
    )
    - SUMPRODUCT(
        (Transactions!$D$3:$D$305=B156) *
        (Transactions!$H$3:$H$305={"Sell","Transfer Send","Cash Withdrawal","Crypto Withdrawal"}) *
        Transactions!$I$3:$I$305
    )
)</f>
        <v>70</v>
      </c>
      <c r="Q156" s="1" cm="1">
        <f t="array" ref="Q156">IF(ISBLANK(B156), "",
    SUMPRODUCT(
        (Transactions!$D$3:$D$376=B156) *
        (Transactions!$H$3:$H$376={"Cash Deposit","Crypto Deposit","Buy","Transfer Deposit","DRIP","Airdrop/Rewards"}) *
        Transactions!$I$3:$I$376
    )
    - SUMPRODUCT(
        (Transactions!$D$3:$D$376=B156) *
        (Transactions!$H$3:$H$376={"Sell","Transfer Send","Cash Withdrawal","Crypto Withdrawal"}) *
        Transactions!$I$3:$I$376
    )
)</f>
        <v>70</v>
      </c>
      <c r="R156" s="1" cm="1">
        <f t="array" ref="R156">IF(ISBLANK(B156), "",
    SUMPRODUCT(
        (Transactions!$D$3:$D$1007=B156) *
        (Transactions!$H$3:$H$1007={"Cash Deposit","Crypto Deposit","Buy","Transfer Deposit","DRIP","Airdrop/Rewards"}) *
        Transactions!$I$3:$I$1007
    )
    - SUMPRODUCT(
        (Transactions!$D$3:$D$1007=B156) *
        (Transactions!$H$3:$H$1007={"Sell","Transfer Send","Cash Withdrawal","Crypto Withdrawal"}) *
        Transactions!$I$3:$I$1007
    )
)</f>
        <v>70</v>
      </c>
    </row>
    <row r="157" spans="1:18">
      <c r="A157" s="1" t="e" vm="13">
        <v>#VALUE!</v>
      </c>
      <c r="B157" s="1" t="e" vm="13">
        <v>#VALUE!</v>
      </c>
      <c r="C157" s="1" cm="1">
        <f t="array" ref="C157">IF(ISBLANK(B157), "",
    SUMPRODUCT(
        (Transactions!$D$3:$D$74=B157) *
        (Transactions!$H$3:$H$74={"Cash Deposit","Crypto Deposit","Buy","Transfer Deposit","DRIP","Airdrop/Rewards"}) *
        Transactions!$I$3:$I$74
    )
    - SUMPRODUCT(
        (Transactions!$D$3:$D$74=B157) *
        (Transactions!$H$3:$H$74={"Sell","Transfer Send","Cash Withdrawal","Crypto Withdrawal"}) *
        Transactions!$I$3:$I$74
    )
)</f>
        <v>5</v>
      </c>
      <c r="D157" s="1" cm="1">
        <f t="array" ref="D157">IF(ISBLANK(B157), "",
    SUMPRODUCT(
        (Transactions!$D$3:$D$76=B157) *
        (Transactions!$H$3:$H$76={"Cash Deposit","Crypto Deposit","Buy","Transfer Deposit","DRIP","Airdrop/Rewards"}) *
        Transactions!$I$3:$I$76
    )
    - SUMPRODUCT(
        (Transactions!$D$3:$D$76=B157) *
        (Transactions!$H$3:$H$76={"Sell","Transfer Send","Cash Withdrawal","Crypto Withdrawal"}) *
        Transactions!$I$3:$I$76
    )
)</f>
        <v>5</v>
      </c>
      <c r="E157" s="1" cm="1">
        <f t="array" ref="E157">IF(ISBLANK(B157), "",
    SUMPRODUCT(
        (Transactions!$D$3:$D$83=B157) *
        (Transactions!$H$3:$H$83={"Cash Deposit","Crypto Deposit","Buy","Transfer Deposit","DRIP","Airdrop/Rewards"}) *
        Transactions!$I$3:$I$83
    )
    - SUMPRODUCT(
        (Transactions!$D$3:$D$83=B157) *
        (Transactions!$H$3:$H$83={"Sell","Transfer Send","Cash Withdrawal","Crypto Withdrawal"}) *
        Transactions!$I$3:$I$83
    )
)</f>
        <v>5</v>
      </c>
      <c r="F157" s="1" cm="1">
        <f t="array" ref="F157">IF(ISBLANK(B157), "",
    SUMPRODUCT(
        (Transactions!$D$3:$D$98=B157) *
        (Transactions!$H$3:$H$98={"Cash Deposit","Crypto Deposit","Buy","Transfer Deposit","DRIP","Airdrop/Rewards"}) *
        Transactions!$I$3:$I$98
    )
    - SUMPRODUCT(
        (Transactions!$D$3:$D$98=B157) *
        (Transactions!$H$3:$H$98={"Sell","Transfer Send","Cash Withdrawal","Crypto Withdrawal"}) *
        Transactions!$I$3:$I$98
    )
)</f>
        <v>5</v>
      </c>
      <c r="G157" s="1" cm="1">
        <f t="array" ref="G157">IF(ISBLANK(B157), "",
    SUMPRODUCT(
        (Transactions!$D$3:$D$114=B157) *
        (Transactions!$H$3:$H$114={"Cash Deposit","Crypto Deposit","Buy","Transfer Deposit","DRIP","Airdrop/Rewards"}) *
        Transactions!$I$3:$I$114
    )
    - SUMPRODUCT(
        (Transactions!$D$3:$D$114=B157) *
        (Transactions!$H$3:$H$114={"Sell","Transfer Send","Cash Withdrawal","Crypto Withdrawal"}) *
        Transactions!$I$3:$I$114
    )
)</f>
        <v>5</v>
      </c>
      <c r="H157" s="1" cm="1">
        <f t="array" ref="H157">IF(ISBLANK(B157), "",
    SUMPRODUCT(
        (Transactions!$D$3:$D$139=B157) *
        (Transactions!$H$3:$H$139={"Cash Deposit","Crypto Deposit","Buy","Transfer Deposit","DRIP","Airdrop/Rewards"}) *
        Transactions!$I$3:$I$139
    )
    - SUMPRODUCT(
        (Transactions!$D$3:$D$139=B157) *
        (Transactions!$H$3:$H$139={"Sell","Transfer Send","Cash Withdrawal","Crypto Withdrawal"}) *
        Transactions!$I$3:$I$139
    )
)</f>
        <v>5</v>
      </c>
      <c r="I157" s="1" cm="1">
        <f t="array" ref="I157">IF(ISBLANK(B157), "",
    SUMPRODUCT(
        (Transactions!$D$3:$D$165=B157) *
        (Transactions!$H$3:$H$165={"Cash Deposit","Crypto Deposit","Buy","Transfer Deposit","DRIP","Airdrop/Rewards"}) *
        Transactions!$I$3:$I$165
    )
    - SUMPRODUCT(
        (Transactions!$D$3:$D$165=B157) *
        (Transactions!$H$3:$H$165={"Sell","Transfer Send","Cash Withdrawal","Crypto Withdrawal"}) *
        Transactions!$I$3:$I$165
    )
)</f>
        <v>5</v>
      </c>
      <c r="J157" s="1" cm="1">
        <f t="array" ref="J157">IF(ISBLANK(B157), "",
    SUMPRODUCT(
        (Transactions!$D$3:$D$174=B157) *
        (Transactions!$H$3:$H$174={"Cash Deposit","Crypto Deposit","Buy","Transfer Deposit","DRIP","Airdrop/Rewards"}) *
        Transactions!$I$3:$I$174
    )
    - SUMPRODUCT(
        (Transactions!$D$3:$D$174=B157) *
        (Transactions!$H$3:$H$174={"Sell","Transfer Send","Cash Withdrawal","Crypto Withdrawal"}) *
        Transactions!$I$3:$I$174
    )
)</f>
        <v>5</v>
      </c>
      <c r="K157" s="1" cm="1">
        <f t="array" ref="K157">IF(ISBLANK(B157), "",
    SUMPRODUCT(
        (Transactions!$D$3:$D$181=B157) *
        (Transactions!$H$3:$H$181={"Cash Deposit","Crypto Deposit","Buy","Transfer Deposit","DRIP","Airdrop/Rewards"}) *
        Transactions!$I$3:$I$181
    )
    - SUMPRODUCT(
        (Transactions!$D$3:$D$181=B157) *
        (Transactions!$H$3:$H$181={"Sell","Transfer Send","Cash Withdrawal","Crypto Withdrawal"}) *
        Transactions!$I$3:$I$181
    )
)</f>
        <v>5</v>
      </c>
      <c r="L157" s="1" cm="1">
        <f t="array" ref="L157">IF(ISBLANK(B157), "",
    SUMPRODUCT(
        (Transactions!$D$3:$D$185=B157) *
        (Transactions!$H$3:$H$185={"Cash Deposit","Crypto Deposit","Buy","Transfer Deposit","DRIP","Airdrop/Rewards"}) *
        Transactions!$I$3:$I$185
    )
    - SUMPRODUCT(
        (Transactions!$D$3:$D$185=B157) *
        (Transactions!$H$3:$H$185={"Sell","Transfer Send","Cash Withdrawal","Crypto Withdrawal"}) *
        Transactions!$I$3:$I$185
    )
)</f>
        <v>5</v>
      </c>
      <c r="M157" s="1" cm="1">
        <f t="array" ref="M157">IF(ISBLANK(B157), "",
    SUMPRODUCT(
        (Transactions!$D$3:$D$194=B157) *
        (Transactions!$H$3:$H$194={"Cash Deposit","Crypto Deposit","Buy","Transfer Deposit","DRIP","Airdrop/Rewards"}) *
        Transactions!$I$3:$I$194
    )
    - SUMPRODUCT(
        (Transactions!$D$3:$D$194=B157) *
        (Transactions!$H$3:$H$194={"Sell","Transfer Send","Cash Withdrawal","Crypto Withdrawal"}) *
        Transactions!$I$3:$I$194
    )
)</f>
        <v>5</v>
      </c>
      <c r="N157" s="1" cm="1">
        <f t="array" ref="N157">IF(ISBLANK(B157), "",
    SUMPRODUCT(
        (Transactions!$D$3:$D$201=B157) *
        (Transactions!$H$3:$H$201={"Cash Deposit","Crypto Deposit","Buy","Transfer Deposit","DRIP","Airdrop/Rewards"}) *
        Transactions!$I$3:$I$201
    )
    - SUMPRODUCT(
        (Transactions!$D$3:$D$201=B157) *
        (Transactions!$H$3:$H$201={"Sell","Transfer Send","Cash Withdrawal","Crypto Withdrawal"}) *
        Transactions!$I$3:$I$201
    )
)</f>
        <v>5</v>
      </c>
      <c r="O157" s="1" cm="1">
        <f t="array" ref="O157">IF(ISBLANK(B157), "",
    SUMPRODUCT(
        (Transactions!$D$3:$D$229=B157) *
        (Transactions!$H$3:$H$229={"Cash Deposit","Crypto Deposit","Buy","Transfer Deposit","DRIP","Airdrop/Rewards"}) *
        Transactions!$I$3:$I$229
    )
    - SUMPRODUCT(
        (Transactions!$D$3:$D$229=B157) *
        (Transactions!$H$3:$H$229={"Sell","Transfer Send","Cash Withdrawal","Crypto Withdrawal"}) *
        Transactions!$I$3:$I$229
    )
)</f>
        <v>5</v>
      </c>
      <c r="P157" s="1" cm="1">
        <f t="array" ref="P157">IF(ISBLANK(B157), "",
    SUMPRODUCT(
        (Transactions!$D$3:$D$305=B157) *
        (Transactions!$H$3:$H$305={"Cash Deposit","Crypto Deposit","Buy","Transfer Deposit","DRIP","Airdrop/Rewards"}) *
        Transactions!$I$3:$I$305
    )
    - SUMPRODUCT(
        (Transactions!$D$3:$D$305=B157) *
        (Transactions!$H$3:$H$305={"Sell","Transfer Send","Cash Withdrawal","Crypto Withdrawal"}) *
        Transactions!$I$3:$I$305
    )
)</f>
        <v>5</v>
      </c>
      <c r="Q157" s="1" cm="1">
        <f t="array" ref="Q157">IF(ISBLANK(B157), "",
    SUMPRODUCT(
        (Transactions!$D$3:$D$376=B157) *
        (Transactions!$H$3:$H$376={"Cash Deposit","Crypto Deposit","Buy","Transfer Deposit","DRIP","Airdrop/Rewards"}) *
        Transactions!$I$3:$I$376
    )
    - SUMPRODUCT(
        (Transactions!$D$3:$D$376=B157) *
        (Transactions!$H$3:$H$376={"Sell","Transfer Send","Cash Withdrawal","Crypto Withdrawal"}) *
        Transactions!$I$3:$I$376
    )
)</f>
        <v>5</v>
      </c>
      <c r="R157" s="1" cm="1">
        <f t="array" ref="R157">IF(ISBLANK(B157), "",
    SUMPRODUCT(
        (Transactions!$D$3:$D$1007=B157) *
        (Transactions!$H$3:$H$1007={"Cash Deposit","Crypto Deposit","Buy","Transfer Deposit","DRIP","Airdrop/Rewards"}) *
        Transactions!$I$3:$I$1007
    )
    - SUMPRODUCT(
        (Transactions!$D$3:$D$1007=B157) *
        (Transactions!$H$3:$H$1007={"Sell","Transfer Send","Cash Withdrawal","Crypto Withdrawal"}) *
        Transactions!$I$3:$I$1007
    )
)</f>
        <v>5</v>
      </c>
    </row>
    <row r="158" spans="1:18">
      <c r="A158" s="1" t="e" vm="20">
        <v>#VALUE!</v>
      </c>
      <c r="B158" s="1" t="e" vm="20">
        <v>#VALUE!</v>
      </c>
      <c r="C158" s="1" cm="1">
        <f t="array" ref="C158">IF(ISBLANK(B158), "",
    SUMPRODUCT(
        (Transactions!$D$3:$D$74=B158) *
        (Transactions!$H$3:$H$74={"Cash Deposit","Crypto Deposit","Buy","Transfer Deposit","DRIP","Airdrop/Rewards"}) *
        Transactions!$I$3:$I$74
    )
    - SUMPRODUCT(
        (Transactions!$D$3:$D$74=B158) *
        (Transactions!$H$3:$H$74={"Sell","Transfer Send","Cash Withdrawal","Crypto Withdrawal"}) *
        Transactions!$I$3:$I$74
    )
)</f>
        <v>0</v>
      </c>
      <c r="D158" s="1" cm="1">
        <f t="array" ref="D158">IF(ISBLANK(B158), "",
    SUMPRODUCT(
        (Transactions!$D$3:$D$76=B158) *
        (Transactions!$H$3:$H$76={"Cash Deposit","Crypto Deposit","Buy","Transfer Deposit","DRIP","Airdrop/Rewards"}) *
        Transactions!$I$3:$I$76
    )
    - SUMPRODUCT(
        (Transactions!$D$3:$D$76=B158) *
        (Transactions!$H$3:$H$76={"Sell","Transfer Send","Cash Withdrawal","Crypto Withdrawal"}) *
        Transactions!$I$3:$I$76
    )
)</f>
        <v>0</v>
      </c>
      <c r="E158" s="1" cm="1">
        <f t="array" ref="E158">IF(ISBLANK(B158), "",
    SUMPRODUCT(
        (Transactions!$D$3:$D$83=B158) *
        (Transactions!$H$3:$H$83={"Cash Deposit","Crypto Deposit","Buy","Transfer Deposit","DRIP","Airdrop/Rewards"}) *
        Transactions!$I$3:$I$83
    )
    - SUMPRODUCT(
        (Transactions!$D$3:$D$83=B158) *
        (Transactions!$H$3:$H$83={"Sell","Transfer Send","Cash Withdrawal","Crypto Withdrawal"}) *
        Transactions!$I$3:$I$83
    )
)</f>
        <v>0</v>
      </c>
      <c r="F158" s="1" cm="1">
        <f t="array" ref="F158">IF(ISBLANK(B158), "",
    SUMPRODUCT(
        (Transactions!$D$3:$D$98=B158) *
        (Transactions!$H$3:$H$98={"Cash Deposit","Crypto Deposit","Buy","Transfer Deposit","DRIP","Airdrop/Rewards"}) *
        Transactions!$I$3:$I$98
    )
    - SUMPRODUCT(
        (Transactions!$D$3:$D$98=B158) *
        (Transactions!$H$3:$H$98={"Sell","Transfer Send","Cash Withdrawal","Crypto Withdrawal"}) *
        Transactions!$I$3:$I$98
    )
)</f>
        <v>0</v>
      </c>
      <c r="G158" s="1" cm="1">
        <f t="array" ref="G158">IF(ISBLANK(B158), "",
    SUMPRODUCT(
        (Transactions!$D$3:$D$114=B158) *
        (Transactions!$H$3:$H$114={"Cash Deposit","Crypto Deposit","Buy","Transfer Deposit","DRIP","Airdrop/Rewards"}) *
        Transactions!$I$3:$I$114
    )
    - SUMPRODUCT(
        (Transactions!$D$3:$D$114=B158) *
        (Transactions!$H$3:$H$114={"Sell","Transfer Send","Cash Withdrawal","Crypto Withdrawal"}) *
        Transactions!$I$3:$I$114
    )
)</f>
        <v>55</v>
      </c>
      <c r="H158" s="1" cm="1">
        <f t="array" ref="H158">IF(ISBLANK(B158), "",
    SUMPRODUCT(
        (Transactions!$D$3:$D$139=B158) *
        (Transactions!$H$3:$H$139={"Cash Deposit","Crypto Deposit","Buy","Transfer Deposit","DRIP","Airdrop/Rewards"}) *
        Transactions!$I$3:$I$139
    )
    - SUMPRODUCT(
        (Transactions!$D$3:$D$139=B158) *
        (Transactions!$H$3:$H$139={"Sell","Transfer Send","Cash Withdrawal","Crypto Withdrawal"}) *
        Transactions!$I$3:$I$139
    )
)</f>
        <v>115</v>
      </c>
      <c r="I158" s="1" cm="1">
        <f t="array" ref="I158">IF(ISBLANK(B158), "",
    SUMPRODUCT(
        (Transactions!$D$3:$D$165=B158) *
        (Transactions!$H$3:$H$165={"Cash Deposit","Crypto Deposit","Buy","Transfer Deposit","DRIP","Airdrop/Rewards"}) *
        Transactions!$I$3:$I$165
    )
    - SUMPRODUCT(
        (Transactions!$D$3:$D$165=B158) *
        (Transactions!$H$3:$H$165={"Sell","Transfer Send","Cash Withdrawal","Crypto Withdrawal"}) *
        Transactions!$I$3:$I$165
    )
)</f>
        <v>125</v>
      </c>
      <c r="J158" s="1" cm="1">
        <f t="array" ref="J158">IF(ISBLANK(B158), "",
    SUMPRODUCT(
        (Transactions!$D$3:$D$174=B158) *
        (Transactions!$H$3:$H$174={"Cash Deposit","Crypto Deposit","Buy","Transfer Deposit","DRIP","Airdrop/Rewards"}) *
        Transactions!$I$3:$I$174
    )
    - SUMPRODUCT(
        (Transactions!$D$3:$D$174=B158) *
        (Transactions!$H$3:$H$174={"Sell","Transfer Send","Cash Withdrawal","Crypto Withdrawal"}) *
        Transactions!$I$3:$I$174
    )
)</f>
        <v>148</v>
      </c>
      <c r="K158" s="1" cm="1">
        <f t="array" ref="K158">IF(ISBLANK(B158), "",
    SUMPRODUCT(
        (Transactions!$D$3:$D$181=B158) *
        (Transactions!$H$3:$H$181={"Cash Deposit","Crypto Deposit","Buy","Transfer Deposit","DRIP","Airdrop/Rewards"}) *
        Transactions!$I$3:$I$181
    )
    - SUMPRODUCT(
        (Transactions!$D$3:$D$181=B158) *
        (Transactions!$H$3:$H$181={"Sell","Transfer Send","Cash Withdrawal","Crypto Withdrawal"}) *
        Transactions!$I$3:$I$181
    )
)</f>
        <v>160</v>
      </c>
      <c r="L158" s="1" cm="1">
        <f t="array" ref="L158">IF(ISBLANK(B158), "",
    SUMPRODUCT(
        (Transactions!$D$3:$D$185=B158) *
        (Transactions!$H$3:$H$185={"Cash Deposit","Crypto Deposit","Buy","Transfer Deposit","DRIP","Airdrop/Rewards"}) *
        Transactions!$I$3:$I$185
    )
    - SUMPRODUCT(
        (Transactions!$D$3:$D$185=B158) *
        (Transactions!$H$3:$H$185={"Sell","Transfer Send","Cash Withdrawal","Crypto Withdrawal"}) *
        Transactions!$I$3:$I$185
    )
)</f>
        <v>200</v>
      </c>
      <c r="M158" s="1" cm="1">
        <f t="array" ref="M158">IF(ISBLANK(B158), "",
    SUMPRODUCT(
        (Transactions!$D$3:$D$194=B158) *
        (Transactions!$H$3:$H$194={"Cash Deposit","Crypto Deposit","Buy","Transfer Deposit","DRIP","Airdrop/Rewards"}) *
        Transactions!$I$3:$I$194
    )
    - SUMPRODUCT(
        (Transactions!$D$3:$D$194=B158) *
        (Transactions!$H$3:$H$194={"Sell","Transfer Send","Cash Withdrawal","Crypto Withdrawal"}) *
        Transactions!$I$3:$I$194
    )
)</f>
        <v>250</v>
      </c>
      <c r="N158" s="1" cm="1">
        <f t="array" ref="N158">IF(ISBLANK(B158), "",
    SUMPRODUCT(
        (Transactions!$D$3:$D$201=B158) *
        (Transactions!$H$3:$H$201={"Cash Deposit","Crypto Deposit","Buy","Transfer Deposit","DRIP","Airdrop/Rewards"}) *
        Transactions!$I$3:$I$201
    )
    - SUMPRODUCT(
        (Transactions!$D$3:$D$201=B158) *
        (Transactions!$H$3:$H$201={"Sell","Transfer Send","Cash Withdrawal","Crypto Withdrawal"}) *
        Transactions!$I$3:$I$201
    )
)</f>
        <v>250</v>
      </c>
      <c r="O158" s="1" cm="1">
        <f t="array" ref="O158">IF(ISBLANK(B158), "",
    SUMPRODUCT(
        (Transactions!$D$3:$D$229=B158) *
        (Transactions!$H$3:$H$229={"Cash Deposit","Crypto Deposit","Buy","Transfer Deposit","DRIP","Airdrop/Rewards"}) *
        Transactions!$I$3:$I$229
    )
    - SUMPRODUCT(
        (Transactions!$D$3:$D$229=B158) *
        (Transactions!$H$3:$H$229={"Sell","Transfer Send","Cash Withdrawal","Crypto Withdrawal"}) *
        Transactions!$I$3:$I$229
    )
)</f>
        <v>175</v>
      </c>
      <c r="P158" s="1" cm="1">
        <f t="array" ref="P158">IF(ISBLANK(B158), "",
    SUMPRODUCT(
        (Transactions!$D$3:$D$305=B158) *
        (Transactions!$H$3:$H$305={"Cash Deposit","Crypto Deposit","Buy","Transfer Deposit","DRIP","Airdrop/Rewards"}) *
        Transactions!$I$3:$I$305
    )
    - SUMPRODUCT(
        (Transactions!$D$3:$D$305=B158) *
        (Transactions!$H$3:$H$305={"Sell","Transfer Send","Cash Withdrawal","Crypto Withdrawal"}) *
        Transactions!$I$3:$I$305
    )
)</f>
        <v>235</v>
      </c>
      <c r="Q158" s="1" cm="1">
        <f t="array" ref="Q158">IF(ISBLANK(B158), "",
    SUMPRODUCT(
        (Transactions!$D$3:$D$376=B158) *
        (Transactions!$H$3:$H$376={"Cash Deposit","Crypto Deposit","Buy","Transfer Deposit","DRIP","Airdrop/Rewards"}) *
        Transactions!$I$3:$I$376
    )
    - SUMPRODUCT(
        (Transactions!$D$3:$D$376=B158) *
        (Transactions!$H$3:$H$376={"Sell","Transfer Send","Cash Withdrawal","Crypto Withdrawal"}) *
        Transactions!$I$3:$I$376
    )
)</f>
        <v>235</v>
      </c>
      <c r="R158" s="1" cm="1">
        <f t="array" ref="R158">IF(ISBLANK(B158), "",
    SUMPRODUCT(
        (Transactions!$D$3:$D$1007=B158) *
        (Transactions!$H$3:$H$1007={"Cash Deposit","Crypto Deposit","Buy","Transfer Deposit","DRIP","Airdrop/Rewards"}) *
        Transactions!$I$3:$I$1007
    )
    - SUMPRODUCT(
        (Transactions!$D$3:$D$1007=B158) *
        (Transactions!$H$3:$H$1007={"Sell","Transfer Send","Cash Withdrawal","Crypto Withdrawal"}) *
        Transactions!$I$3:$I$1007
    )
)</f>
        <v>235</v>
      </c>
    </row>
    <row r="159" spans="1:18">
      <c r="A159" s="1" t="e" vm="21">
        <v>#VALUE!</v>
      </c>
      <c r="B159" s="1" t="e" vm="21">
        <v>#VALUE!</v>
      </c>
      <c r="C159" s="1" cm="1">
        <f t="array" ref="C159">IF(ISBLANK(B159), "",
    SUMPRODUCT(
        (Transactions!$D$3:$D$74=B159) *
        (Transactions!$H$3:$H$74={"Cash Deposit","Crypto Deposit","Buy","Transfer Deposit","DRIP","Airdrop/Rewards"}) *
        Transactions!$I$3:$I$74
    )
    - SUMPRODUCT(
        (Transactions!$D$3:$D$74=B159) *
        (Transactions!$H$3:$H$74={"Sell","Transfer Send","Cash Withdrawal","Crypto Withdrawal"}) *
        Transactions!$I$3:$I$74
    )
)</f>
        <v>0</v>
      </c>
      <c r="D159" s="1" cm="1">
        <f t="array" ref="D159">IF(ISBLANK(B159), "",
    SUMPRODUCT(
        (Transactions!$D$3:$D$76=B159) *
        (Transactions!$H$3:$H$76={"Cash Deposit","Crypto Deposit","Buy","Transfer Deposit","DRIP","Airdrop/Rewards"}) *
        Transactions!$I$3:$I$76
    )
    - SUMPRODUCT(
        (Transactions!$D$3:$D$76=B159) *
        (Transactions!$H$3:$H$76={"Sell","Transfer Send","Cash Withdrawal","Crypto Withdrawal"}) *
        Transactions!$I$3:$I$76
    )
)</f>
        <v>0</v>
      </c>
      <c r="E159" s="1" cm="1">
        <f t="array" ref="E159">IF(ISBLANK(B159), "",
    SUMPRODUCT(
        (Transactions!$D$3:$D$83=B159) *
        (Transactions!$H$3:$H$83={"Cash Deposit","Crypto Deposit","Buy","Transfer Deposit","DRIP","Airdrop/Rewards"}) *
        Transactions!$I$3:$I$83
    )
    - SUMPRODUCT(
        (Transactions!$D$3:$D$83=B159) *
        (Transactions!$H$3:$H$83={"Sell","Transfer Send","Cash Withdrawal","Crypto Withdrawal"}) *
        Transactions!$I$3:$I$83
    )
)</f>
        <v>0</v>
      </c>
      <c r="F159" s="1" cm="1">
        <f t="array" ref="F159">IF(ISBLANK(B159), "",
    SUMPRODUCT(
        (Transactions!$D$3:$D$98=B159) *
        (Transactions!$H$3:$H$98={"Cash Deposit","Crypto Deposit","Buy","Transfer Deposit","DRIP","Airdrop/Rewards"}) *
        Transactions!$I$3:$I$98
    )
    - SUMPRODUCT(
        (Transactions!$D$3:$D$98=B159) *
        (Transactions!$H$3:$H$98={"Sell","Transfer Send","Cash Withdrawal","Crypto Withdrawal"}) *
        Transactions!$I$3:$I$98
    )
)</f>
        <v>0</v>
      </c>
      <c r="G159" s="1" cm="1">
        <f t="array" ref="G159">IF(ISBLANK(B159), "",
    SUMPRODUCT(
        (Transactions!$D$3:$D$114=B159) *
        (Transactions!$H$3:$H$114={"Cash Deposit","Crypto Deposit","Buy","Transfer Deposit","DRIP","Airdrop/Rewards"}) *
        Transactions!$I$3:$I$114
    )
    - SUMPRODUCT(
        (Transactions!$D$3:$D$114=B159) *
        (Transactions!$H$3:$H$114={"Sell","Transfer Send","Cash Withdrawal","Crypto Withdrawal"}) *
        Transactions!$I$3:$I$114
    )
)</f>
        <v>0</v>
      </c>
      <c r="H159" s="1" cm="1">
        <f t="array" ref="H159">IF(ISBLANK(B159), "",
    SUMPRODUCT(
        (Transactions!$D$3:$D$139=B159) *
        (Transactions!$H$3:$H$139={"Cash Deposit","Crypto Deposit","Buy","Transfer Deposit","DRIP","Airdrop/Rewards"}) *
        Transactions!$I$3:$I$139
    )
    - SUMPRODUCT(
        (Transactions!$D$3:$D$139=B159) *
        (Transactions!$H$3:$H$139={"Sell","Transfer Send","Cash Withdrawal","Crypto Withdrawal"}) *
        Transactions!$I$3:$I$139
    )
)</f>
        <v>1</v>
      </c>
      <c r="I159" s="1" cm="1">
        <f t="array" ref="I159">IF(ISBLANK(B159), "",
    SUMPRODUCT(
        (Transactions!$D$3:$D$165=B159) *
        (Transactions!$H$3:$H$165={"Cash Deposit","Crypto Deposit","Buy","Transfer Deposit","DRIP","Airdrop/Rewards"}) *
        Transactions!$I$3:$I$165
    )
    - SUMPRODUCT(
        (Transactions!$D$3:$D$165=B159) *
        (Transactions!$H$3:$H$165={"Sell","Transfer Send","Cash Withdrawal","Crypto Withdrawal"}) *
        Transactions!$I$3:$I$165
    )
)</f>
        <v>3</v>
      </c>
      <c r="J159" s="1" cm="1">
        <f t="array" ref="J159">IF(ISBLANK(B159), "",
    SUMPRODUCT(
        (Transactions!$D$3:$D$174=B159) *
        (Transactions!$H$3:$H$174={"Cash Deposit","Crypto Deposit","Buy","Transfer Deposit","DRIP","Airdrop/Rewards"}) *
        Transactions!$I$3:$I$174
    )
    - SUMPRODUCT(
        (Transactions!$D$3:$D$174=B159) *
        (Transactions!$H$3:$H$174={"Sell","Transfer Send","Cash Withdrawal","Crypto Withdrawal"}) *
        Transactions!$I$3:$I$174
    )
)</f>
        <v>4</v>
      </c>
      <c r="K159" s="1" cm="1">
        <f t="array" ref="K159">IF(ISBLANK(B159), "",
    SUMPRODUCT(
        (Transactions!$D$3:$D$181=B159) *
        (Transactions!$H$3:$H$181={"Cash Deposit","Crypto Deposit","Buy","Transfer Deposit","DRIP","Airdrop/Rewards"}) *
        Transactions!$I$3:$I$181
    )
    - SUMPRODUCT(
        (Transactions!$D$3:$D$181=B159) *
        (Transactions!$H$3:$H$181={"Sell","Transfer Send","Cash Withdrawal","Crypto Withdrawal"}) *
        Transactions!$I$3:$I$181
    )
)</f>
        <v>5</v>
      </c>
      <c r="L159" s="1" cm="1">
        <f t="array" ref="L159">IF(ISBLANK(B159), "",
    SUMPRODUCT(
        (Transactions!$D$3:$D$185=B159) *
        (Transactions!$H$3:$H$185={"Cash Deposit","Crypto Deposit","Buy","Transfer Deposit","DRIP","Airdrop/Rewards"}) *
        Transactions!$I$3:$I$185
    )
    - SUMPRODUCT(
        (Transactions!$D$3:$D$185=B159) *
        (Transactions!$H$3:$H$185={"Sell","Transfer Send","Cash Withdrawal","Crypto Withdrawal"}) *
        Transactions!$I$3:$I$185
    )
)</f>
        <v>5</v>
      </c>
      <c r="M159" s="1" cm="1">
        <f t="array" ref="M159">IF(ISBLANK(B159), "",
    SUMPRODUCT(
        (Transactions!$D$3:$D$194=B159) *
        (Transactions!$H$3:$H$194={"Cash Deposit","Crypto Deposit","Buy","Transfer Deposit","DRIP","Airdrop/Rewards"}) *
        Transactions!$I$3:$I$194
    )
    - SUMPRODUCT(
        (Transactions!$D$3:$D$194=B159) *
        (Transactions!$H$3:$H$194={"Sell","Transfer Send","Cash Withdrawal","Crypto Withdrawal"}) *
        Transactions!$I$3:$I$194
    )
)</f>
        <v>5</v>
      </c>
      <c r="N159" s="1" cm="1">
        <f t="array" ref="N159">IF(ISBLANK(B159), "",
    SUMPRODUCT(
        (Transactions!$D$3:$D$201=B159) *
        (Transactions!$H$3:$H$201={"Cash Deposit","Crypto Deposit","Buy","Transfer Deposit","DRIP","Airdrop/Rewards"}) *
        Transactions!$I$3:$I$201
    )
    - SUMPRODUCT(
        (Transactions!$D$3:$D$201=B159) *
        (Transactions!$H$3:$H$201={"Sell","Transfer Send","Cash Withdrawal","Crypto Withdrawal"}) *
        Transactions!$I$3:$I$201
    )
)</f>
        <v>5</v>
      </c>
      <c r="O159" s="1" cm="1">
        <f t="array" ref="O159">IF(ISBLANK(B159), "",
    SUMPRODUCT(
        (Transactions!$D$3:$D$229=B159) *
        (Transactions!$H$3:$H$229={"Cash Deposit","Crypto Deposit","Buy","Transfer Deposit","DRIP","Airdrop/Rewards"}) *
        Transactions!$I$3:$I$229
    )
    - SUMPRODUCT(
        (Transactions!$D$3:$D$229=B159) *
        (Transactions!$H$3:$H$229={"Sell","Transfer Send","Cash Withdrawal","Crypto Withdrawal"}) *
        Transactions!$I$3:$I$229
    )
)</f>
        <v>5</v>
      </c>
      <c r="P159" s="1" cm="1">
        <f t="array" ref="P159">IF(ISBLANK(B159), "",
    SUMPRODUCT(
        (Transactions!$D$3:$D$305=B159) *
        (Transactions!$H$3:$H$305={"Cash Deposit","Crypto Deposit","Buy","Transfer Deposit","DRIP","Airdrop/Rewards"}) *
        Transactions!$I$3:$I$305
    )
    - SUMPRODUCT(
        (Transactions!$D$3:$D$305=B159) *
        (Transactions!$H$3:$H$305={"Sell","Transfer Send","Cash Withdrawal","Crypto Withdrawal"}) *
        Transactions!$I$3:$I$305
    )
)</f>
        <v>6</v>
      </c>
      <c r="Q159" s="1" cm="1">
        <f t="array" ref="Q159">IF(ISBLANK(B159), "",
    SUMPRODUCT(
        (Transactions!$D$3:$D$376=B159) *
        (Transactions!$H$3:$H$376={"Cash Deposit","Crypto Deposit","Buy","Transfer Deposit","DRIP","Airdrop/Rewards"}) *
        Transactions!$I$3:$I$376
    )
    - SUMPRODUCT(
        (Transactions!$D$3:$D$376=B159) *
        (Transactions!$H$3:$H$376={"Sell","Transfer Send","Cash Withdrawal","Crypto Withdrawal"}) *
        Transactions!$I$3:$I$376
    )
)</f>
        <v>6</v>
      </c>
      <c r="R159" s="1" cm="1">
        <f t="array" ref="R159">IF(ISBLANK(B159), "",
    SUMPRODUCT(
        (Transactions!$D$3:$D$1007=B159) *
        (Transactions!$H$3:$H$1007={"Cash Deposit","Crypto Deposit","Buy","Transfer Deposit","DRIP","Airdrop/Rewards"}) *
        Transactions!$I$3:$I$1007
    )
    - SUMPRODUCT(
        (Transactions!$D$3:$D$1007=B159) *
        (Transactions!$H$3:$H$1007={"Sell","Transfer Send","Cash Withdrawal","Crypto Withdrawal"}) *
        Transactions!$I$3:$I$1007
    )
)</f>
        <v>2</v>
      </c>
    </row>
    <row r="160" spans="1:18">
      <c r="A160" s="1" t="e" vm="26">
        <v>#VALUE!</v>
      </c>
      <c r="B160" s="1" t="e" vm="26">
        <v>#VALUE!</v>
      </c>
      <c r="C160" s="1" cm="1">
        <f t="array" ref="C160">IF(ISBLANK(B160), "",
    SUMPRODUCT(
        (Transactions!$D$3:$D$74=B160) *
        (Transactions!$H$3:$H$74={"Cash Deposit","Crypto Deposit","Buy","Transfer Deposit","DRIP","Airdrop/Rewards"}) *
        Transactions!$I$3:$I$74
    )
    - SUMPRODUCT(
        (Transactions!$D$3:$D$74=B160) *
        (Transactions!$H$3:$H$74={"Sell","Transfer Send","Cash Withdrawal","Crypto Withdrawal"}) *
        Transactions!$I$3:$I$74
    )
)</f>
        <v>0</v>
      </c>
      <c r="D160" s="1" cm="1">
        <f t="array" ref="D160">IF(ISBLANK(B160), "",
    SUMPRODUCT(
        (Transactions!$D$3:$D$76=B160) *
        (Transactions!$H$3:$H$76={"Cash Deposit","Crypto Deposit","Buy","Transfer Deposit","DRIP","Airdrop/Rewards"}) *
        Transactions!$I$3:$I$76
    )
    - SUMPRODUCT(
        (Transactions!$D$3:$D$76=B160) *
        (Transactions!$H$3:$H$76={"Sell","Transfer Send","Cash Withdrawal","Crypto Withdrawal"}) *
        Transactions!$I$3:$I$76
    )
)</f>
        <v>0</v>
      </c>
      <c r="E160" s="1" cm="1">
        <f t="array" ref="E160">IF(ISBLANK(B160), "",
    SUMPRODUCT(
        (Transactions!$D$3:$D$83=B160) *
        (Transactions!$H$3:$H$83={"Cash Deposit","Crypto Deposit","Buy","Transfer Deposit","DRIP","Airdrop/Rewards"}) *
        Transactions!$I$3:$I$83
    )
    - SUMPRODUCT(
        (Transactions!$D$3:$D$83=B160) *
        (Transactions!$H$3:$H$83={"Sell","Transfer Send","Cash Withdrawal","Crypto Withdrawal"}) *
        Transactions!$I$3:$I$83
    )
)</f>
        <v>0</v>
      </c>
      <c r="F160" s="1" cm="1">
        <f t="array" ref="F160">IF(ISBLANK(B160), "",
    SUMPRODUCT(
        (Transactions!$D$3:$D$98=B160) *
        (Transactions!$H$3:$H$98={"Cash Deposit","Crypto Deposit","Buy","Transfer Deposit","DRIP","Airdrop/Rewards"}) *
        Transactions!$I$3:$I$98
    )
    - SUMPRODUCT(
        (Transactions!$D$3:$D$98=B160) *
        (Transactions!$H$3:$H$98={"Sell","Transfer Send","Cash Withdrawal","Crypto Withdrawal"}) *
        Transactions!$I$3:$I$98
    )
)</f>
        <v>0</v>
      </c>
      <c r="G160" s="1" cm="1">
        <f t="array" ref="G160">IF(ISBLANK(B160), "",
    SUMPRODUCT(
        (Transactions!$D$3:$D$114=B160) *
        (Transactions!$H$3:$H$114={"Cash Deposit","Crypto Deposit","Buy","Transfer Deposit","DRIP","Airdrop/Rewards"}) *
        Transactions!$I$3:$I$114
    )
    - SUMPRODUCT(
        (Transactions!$D$3:$D$114=B160) *
        (Transactions!$H$3:$H$114={"Sell","Transfer Send","Cash Withdrawal","Crypto Withdrawal"}) *
        Transactions!$I$3:$I$114
    )
)</f>
        <v>0</v>
      </c>
      <c r="H160" s="1" cm="1">
        <f t="array" ref="H160">IF(ISBLANK(B160), "",
    SUMPRODUCT(
        (Transactions!$D$3:$D$139=B160) *
        (Transactions!$H$3:$H$139={"Cash Deposit","Crypto Deposit","Buy","Transfer Deposit","DRIP","Airdrop/Rewards"}) *
        Transactions!$I$3:$I$139
    )
    - SUMPRODUCT(
        (Transactions!$D$3:$D$139=B160) *
        (Transactions!$H$3:$H$139={"Sell","Transfer Send","Cash Withdrawal","Crypto Withdrawal"}) *
        Transactions!$I$3:$I$139
    )
)</f>
        <v>0</v>
      </c>
      <c r="I160" s="1" cm="1">
        <f t="array" ref="I160">IF(ISBLANK(B160), "",
    SUMPRODUCT(
        (Transactions!$D$3:$D$165=B160) *
        (Transactions!$H$3:$H$165={"Cash Deposit","Crypto Deposit","Buy","Transfer Deposit","DRIP","Airdrop/Rewards"}) *
        Transactions!$I$3:$I$165
    )
    - SUMPRODUCT(
        (Transactions!$D$3:$D$165=B160) *
        (Transactions!$H$3:$H$165={"Sell","Transfer Send","Cash Withdrawal","Crypto Withdrawal"}) *
        Transactions!$I$3:$I$165
    )
)</f>
        <v>0</v>
      </c>
      <c r="J160" s="1" cm="1">
        <f t="array" ref="J160">IF(ISBLANK(B160), "",
    SUMPRODUCT(
        (Transactions!$D$3:$D$174=B160) *
        (Transactions!$H$3:$H$174={"Cash Deposit","Crypto Deposit","Buy","Transfer Deposit","DRIP","Airdrop/Rewards"}) *
        Transactions!$I$3:$I$174
    )
    - SUMPRODUCT(
        (Transactions!$D$3:$D$174=B160) *
        (Transactions!$H$3:$H$174={"Sell","Transfer Send","Cash Withdrawal","Crypto Withdrawal"}) *
        Transactions!$I$3:$I$174
    )
)</f>
        <v>0</v>
      </c>
      <c r="K160" s="1" cm="1">
        <f t="array" ref="K160">IF(ISBLANK(B160), "",
    SUMPRODUCT(
        (Transactions!$D$3:$D$181=B160) *
        (Transactions!$H$3:$H$181={"Cash Deposit","Crypto Deposit","Buy","Transfer Deposit","DRIP","Airdrop/Rewards"}) *
        Transactions!$I$3:$I$181
    )
    - SUMPRODUCT(
        (Transactions!$D$3:$D$181=B160) *
        (Transactions!$H$3:$H$181={"Sell","Transfer Send","Cash Withdrawal","Crypto Withdrawal"}) *
        Transactions!$I$3:$I$181
    )
)</f>
        <v>0</v>
      </c>
      <c r="L160" s="1" cm="1">
        <f t="array" ref="L160">IF(ISBLANK(B160), "",
    SUMPRODUCT(
        (Transactions!$D$3:$D$185=B160) *
        (Transactions!$H$3:$H$185={"Cash Deposit","Crypto Deposit","Buy","Transfer Deposit","DRIP","Airdrop/Rewards"}) *
        Transactions!$I$3:$I$185
    )
    - SUMPRODUCT(
        (Transactions!$D$3:$D$185=B160) *
        (Transactions!$H$3:$H$185={"Sell","Transfer Send","Cash Withdrawal","Crypto Withdrawal"}) *
        Transactions!$I$3:$I$185
    )
)</f>
        <v>0</v>
      </c>
      <c r="M160" s="1" cm="1">
        <f t="array" ref="M160">IF(ISBLANK(B160), "",
    SUMPRODUCT(
        (Transactions!$D$3:$D$194=B160) *
        (Transactions!$H$3:$H$194={"Cash Deposit","Crypto Deposit","Buy","Transfer Deposit","DRIP","Airdrop/Rewards"}) *
        Transactions!$I$3:$I$194
    )
    - SUMPRODUCT(
        (Transactions!$D$3:$D$194=B160) *
        (Transactions!$H$3:$H$194={"Sell","Transfer Send","Cash Withdrawal","Crypto Withdrawal"}) *
        Transactions!$I$3:$I$194
    )
)</f>
        <v>0</v>
      </c>
      <c r="N160" s="1" cm="1">
        <f t="array" ref="N160">IF(ISBLANK(B160), "",
    SUMPRODUCT(
        (Transactions!$D$3:$D$201=B160) *
        (Transactions!$H$3:$H$201={"Cash Deposit","Crypto Deposit","Buy","Transfer Deposit","DRIP","Airdrop/Rewards"}) *
        Transactions!$I$3:$I$201
    )
    - SUMPRODUCT(
        (Transactions!$D$3:$D$201=B160) *
        (Transactions!$H$3:$H$201={"Sell","Transfer Send","Cash Withdrawal","Crypto Withdrawal"}) *
        Transactions!$I$3:$I$201
    )
)</f>
        <v>0</v>
      </c>
      <c r="O160" s="1" cm="1">
        <f t="array" ref="O160">IF(ISBLANK(B160), "",
    SUMPRODUCT(
        (Transactions!$D$3:$D$229=B160) *
        (Transactions!$H$3:$H$229={"Cash Deposit","Crypto Deposit","Buy","Transfer Deposit","DRIP","Airdrop/Rewards"}) *
        Transactions!$I$3:$I$229
    )
    - SUMPRODUCT(
        (Transactions!$D$3:$D$229=B160) *
        (Transactions!$H$3:$H$229={"Sell","Transfer Send","Cash Withdrawal","Crypto Withdrawal"}) *
        Transactions!$I$3:$I$229
    )
)</f>
        <v>0</v>
      </c>
      <c r="P160" s="1" cm="1">
        <f t="array" ref="P160">IF(ISBLANK(B160), "",
    SUMPRODUCT(
        (Transactions!$D$3:$D$305=B160) *
        (Transactions!$H$3:$H$305={"Cash Deposit","Crypto Deposit","Buy","Transfer Deposit","DRIP","Airdrop/Rewards"}) *
        Transactions!$I$3:$I$305
    )
    - SUMPRODUCT(
        (Transactions!$D$3:$D$305=B160) *
        (Transactions!$H$3:$H$305={"Sell","Transfer Send","Cash Withdrawal","Crypto Withdrawal"}) *
        Transactions!$I$3:$I$305
    )
)</f>
        <v>60</v>
      </c>
      <c r="Q160" s="1" cm="1">
        <f t="array" ref="Q160">IF(ISBLANK(B160), "",
    SUMPRODUCT(
        (Transactions!$D$3:$D$376=B160) *
        (Transactions!$H$3:$H$376={"Cash Deposit","Crypto Deposit","Buy","Transfer Deposit","DRIP","Airdrop/Rewards"}) *
        Transactions!$I$3:$I$376
    )
    - SUMPRODUCT(
        (Transactions!$D$3:$D$376=B160) *
        (Transactions!$H$3:$H$376={"Sell","Transfer Send","Cash Withdrawal","Crypto Withdrawal"}) *
        Transactions!$I$3:$I$376
    )
)</f>
        <v>60</v>
      </c>
      <c r="R160" s="1" cm="1">
        <f t="array" ref="R160">IF(ISBLANK(B160), "",
    SUMPRODUCT(
        (Transactions!$D$3:$D$1007=B160) *
        (Transactions!$H$3:$H$1007={"Cash Deposit","Crypto Deposit","Buy","Transfer Deposit","DRIP","Airdrop/Rewards"}) *
        Transactions!$I$3:$I$1007
    )
    - SUMPRODUCT(
        (Transactions!$D$3:$D$1007=B160) *
        (Transactions!$H$3:$H$1007={"Sell","Transfer Send","Cash Withdrawal","Crypto Withdrawal"}) *
        Transactions!$I$3:$I$1007
    )
)</f>
        <v>60</v>
      </c>
    </row>
    <row r="161" spans="1:18">
      <c r="A161" s="1" t="e" vm="23">
        <v>#VALUE!</v>
      </c>
      <c r="B161" s="1" t="e" vm="23">
        <v>#VALUE!</v>
      </c>
      <c r="C161" s="1" cm="1">
        <f t="array" ref="C161">IF(ISBLANK(B161), "",
    SUMPRODUCT(
        (Transactions!$D$3:$D$74=B161) *
        (Transactions!$H$3:$H$74={"Cash Deposit","Crypto Deposit","Buy","Transfer Deposit","DRIP","Airdrop/Rewards"}) *
        Transactions!$I$3:$I$74
    )
    - SUMPRODUCT(
        (Transactions!$D$3:$D$74=B161) *
        (Transactions!$H$3:$H$74={"Sell","Transfer Send","Cash Withdrawal","Crypto Withdrawal"}) *
        Transactions!$I$3:$I$74
    )
)</f>
        <v>0</v>
      </c>
      <c r="D161" s="1" cm="1">
        <f t="array" ref="D161">IF(ISBLANK(B161), "",
    SUMPRODUCT(
        (Transactions!$D$3:$D$76=B161) *
        (Transactions!$H$3:$H$76={"Cash Deposit","Crypto Deposit","Buy","Transfer Deposit","DRIP","Airdrop/Rewards"}) *
        Transactions!$I$3:$I$76
    )
    - SUMPRODUCT(
        (Transactions!$D$3:$D$76=B161) *
        (Transactions!$H$3:$H$76={"Sell","Transfer Send","Cash Withdrawal","Crypto Withdrawal"}) *
        Transactions!$I$3:$I$76
    )
)</f>
        <v>0</v>
      </c>
      <c r="E161" s="1" cm="1">
        <f t="array" ref="E161">IF(ISBLANK(B161), "",
    SUMPRODUCT(
        (Transactions!$D$3:$D$83=B161) *
        (Transactions!$H$3:$H$83={"Cash Deposit","Crypto Deposit","Buy","Transfer Deposit","DRIP","Airdrop/Rewards"}) *
        Transactions!$I$3:$I$83
    )
    - SUMPRODUCT(
        (Transactions!$D$3:$D$83=B161) *
        (Transactions!$H$3:$H$83={"Sell","Transfer Send","Cash Withdrawal","Crypto Withdrawal"}) *
        Transactions!$I$3:$I$83
    )
)</f>
        <v>0</v>
      </c>
      <c r="F161" s="1" cm="1">
        <f t="array" ref="F161">IF(ISBLANK(B161), "",
    SUMPRODUCT(
        (Transactions!$D$3:$D$98=B161) *
        (Transactions!$H$3:$H$98={"Cash Deposit","Crypto Deposit","Buy","Transfer Deposit","DRIP","Airdrop/Rewards"}) *
        Transactions!$I$3:$I$98
    )
    - SUMPRODUCT(
        (Transactions!$D$3:$D$98=B161) *
        (Transactions!$H$3:$H$98={"Sell","Transfer Send","Cash Withdrawal","Crypto Withdrawal"}) *
        Transactions!$I$3:$I$98
    )
)</f>
        <v>0</v>
      </c>
      <c r="G161" s="1" cm="1">
        <f t="array" ref="G161">IF(ISBLANK(B161), "",
    SUMPRODUCT(
        (Transactions!$D$3:$D$114=B161) *
        (Transactions!$H$3:$H$114={"Cash Deposit","Crypto Deposit","Buy","Transfer Deposit","DRIP","Airdrop/Rewards"}) *
        Transactions!$I$3:$I$114
    )
    - SUMPRODUCT(
        (Transactions!$D$3:$D$114=B161) *
        (Transactions!$H$3:$H$114={"Sell","Transfer Send","Cash Withdrawal","Crypto Withdrawal"}) *
        Transactions!$I$3:$I$114
    )
)</f>
        <v>0</v>
      </c>
      <c r="H161" s="1" cm="1">
        <f t="array" ref="H161">IF(ISBLANK(B161), "",
    SUMPRODUCT(
        (Transactions!$D$3:$D$139=B161) *
        (Transactions!$H$3:$H$139={"Cash Deposit","Crypto Deposit","Buy","Transfer Deposit","DRIP","Airdrop/Rewards"}) *
        Transactions!$I$3:$I$139
    )
    - SUMPRODUCT(
        (Transactions!$D$3:$D$139=B161) *
        (Transactions!$H$3:$H$139={"Sell","Transfer Send","Cash Withdrawal","Crypto Withdrawal"}) *
        Transactions!$I$3:$I$139
    )
)</f>
        <v>0</v>
      </c>
      <c r="I161" s="1" cm="1">
        <f t="array" ref="I161">IF(ISBLANK(B161), "",
    SUMPRODUCT(
        (Transactions!$D$3:$D$165=B161) *
        (Transactions!$H$3:$H$165={"Cash Deposit","Crypto Deposit","Buy","Transfer Deposit","DRIP","Airdrop/Rewards"}) *
        Transactions!$I$3:$I$165
    )
    - SUMPRODUCT(
        (Transactions!$D$3:$D$165=B161) *
        (Transactions!$H$3:$H$165={"Sell","Transfer Send","Cash Withdrawal","Crypto Withdrawal"}) *
        Transactions!$I$3:$I$165
    )
)</f>
        <v>0</v>
      </c>
      <c r="J161" s="1" cm="1">
        <f t="array" ref="J161">IF(ISBLANK(B161), "",
    SUMPRODUCT(
        (Transactions!$D$3:$D$174=B161) *
        (Transactions!$H$3:$H$174={"Cash Deposit","Crypto Deposit","Buy","Transfer Deposit","DRIP","Airdrop/Rewards"}) *
        Transactions!$I$3:$I$174
    )
    - SUMPRODUCT(
        (Transactions!$D$3:$D$174=B161) *
        (Transactions!$H$3:$H$174={"Sell","Transfer Send","Cash Withdrawal","Crypto Withdrawal"}) *
        Transactions!$I$3:$I$174
    )
)</f>
        <v>0</v>
      </c>
      <c r="K161" s="1" cm="1">
        <f t="array" ref="K161">IF(ISBLANK(B161), "",
    SUMPRODUCT(
        (Transactions!$D$3:$D$181=B161) *
        (Transactions!$H$3:$H$181={"Cash Deposit","Crypto Deposit","Buy","Transfer Deposit","DRIP","Airdrop/Rewards"}) *
        Transactions!$I$3:$I$181
    )
    - SUMPRODUCT(
        (Transactions!$D$3:$D$181=B161) *
        (Transactions!$H$3:$H$181={"Sell","Transfer Send","Cash Withdrawal","Crypto Withdrawal"}) *
        Transactions!$I$3:$I$181
    )
)</f>
        <v>0</v>
      </c>
      <c r="L161" s="1" cm="1">
        <f t="array" ref="L161">IF(ISBLANK(B161), "",
    SUMPRODUCT(
        (Transactions!$D$3:$D$185=B161) *
        (Transactions!$H$3:$H$185={"Cash Deposit","Crypto Deposit","Buy","Transfer Deposit","DRIP","Airdrop/Rewards"}) *
        Transactions!$I$3:$I$185
    )
    - SUMPRODUCT(
        (Transactions!$D$3:$D$185=B161) *
        (Transactions!$H$3:$H$185={"Sell","Transfer Send","Cash Withdrawal","Crypto Withdrawal"}) *
        Transactions!$I$3:$I$185
    )
)</f>
        <v>0</v>
      </c>
      <c r="M161" s="1" cm="1">
        <f t="array" ref="M161">IF(ISBLANK(B161), "",
    SUMPRODUCT(
        (Transactions!$D$3:$D$194=B161) *
        (Transactions!$H$3:$H$194={"Cash Deposit","Crypto Deposit","Buy","Transfer Deposit","DRIP","Airdrop/Rewards"}) *
        Transactions!$I$3:$I$194
    )
    - SUMPRODUCT(
        (Transactions!$D$3:$D$194=B161) *
        (Transactions!$H$3:$H$194={"Sell","Transfer Send","Cash Withdrawal","Crypto Withdrawal"}) *
        Transactions!$I$3:$I$194
    )
)</f>
        <v>0</v>
      </c>
      <c r="N161" s="1" cm="1">
        <f t="array" ref="N161">IF(ISBLANK(B161), "",
    SUMPRODUCT(
        (Transactions!$D$3:$D$201=B161) *
        (Transactions!$H$3:$H$201={"Cash Deposit","Crypto Deposit","Buy","Transfer Deposit","DRIP","Airdrop/Rewards"}) *
        Transactions!$I$3:$I$201
    )
    - SUMPRODUCT(
        (Transactions!$D$3:$D$201=B161) *
        (Transactions!$H$3:$H$201={"Sell","Transfer Send","Cash Withdrawal","Crypto Withdrawal"}) *
        Transactions!$I$3:$I$201
    )
)</f>
        <v>0</v>
      </c>
      <c r="O161" s="1" cm="1">
        <f t="array" ref="O161">IF(ISBLANK(B161), "",
    SUMPRODUCT(
        (Transactions!$D$3:$D$229=B161) *
        (Transactions!$H$3:$H$229={"Cash Deposit","Crypto Deposit","Buy","Transfer Deposit","DRIP","Airdrop/Rewards"}) *
        Transactions!$I$3:$I$229
    )
    - SUMPRODUCT(
        (Transactions!$D$3:$D$229=B161) *
        (Transactions!$H$3:$H$229={"Sell","Transfer Send","Cash Withdrawal","Crypto Withdrawal"}) *
        Transactions!$I$3:$I$229
    )
)</f>
        <v>20</v>
      </c>
      <c r="P161" s="1" cm="1">
        <f t="array" ref="P161">IF(ISBLANK(B161), "",
    SUMPRODUCT(
        (Transactions!$D$3:$D$305=B161) *
        (Transactions!$H$3:$H$305={"Cash Deposit","Crypto Deposit","Buy","Transfer Deposit","DRIP","Airdrop/Rewards"}) *
        Transactions!$I$3:$I$305
    )
    - SUMPRODUCT(
        (Transactions!$D$3:$D$305=B161) *
        (Transactions!$H$3:$H$305={"Sell","Transfer Send","Cash Withdrawal","Crypto Withdrawal"}) *
        Transactions!$I$3:$I$305
    )
)</f>
        <v>20</v>
      </c>
      <c r="Q161" s="1" cm="1">
        <f t="array" ref="Q161">IF(ISBLANK(B161), "",
    SUMPRODUCT(
        (Transactions!$D$3:$D$376=B161) *
        (Transactions!$H$3:$H$376={"Cash Deposit","Crypto Deposit","Buy","Transfer Deposit","DRIP","Airdrop/Rewards"}) *
        Transactions!$I$3:$I$376
    )
    - SUMPRODUCT(
        (Transactions!$D$3:$D$376=B161) *
        (Transactions!$H$3:$H$376={"Sell","Transfer Send","Cash Withdrawal","Crypto Withdrawal"}) *
        Transactions!$I$3:$I$376
    )
)</f>
        <v>20</v>
      </c>
      <c r="R161" s="1" cm="1">
        <f t="array" ref="R161">IF(ISBLANK(B161), "",
    SUMPRODUCT(
        (Transactions!$D$3:$D$1007=B161) *
        (Transactions!$H$3:$H$1007={"Cash Deposit","Crypto Deposit","Buy","Transfer Deposit","DRIP","Airdrop/Rewards"}) *
        Transactions!$I$3:$I$1007
    )
    - SUMPRODUCT(
        (Transactions!$D$3:$D$1007=B161) *
        (Transactions!$H$3:$H$1007={"Sell","Transfer Send","Cash Withdrawal","Crypto Withdrawal"}) *
        Transactions!$I$3:$I$1007
    )
)</f>
        <v>70</v>
      </c>
    </row>
    <row r="162" spans="1:18">
      <c r="A162" s="1" t="e" vm="16">
        <v>#VALUE!</v>
      </c>
      <c r="B162" s="1" t="e" vm="16">
        <v>#VALUE!</v>
      </c>
      <c r="C162" s="1" cm="1">
        <f t="array" ref="C162">IF(ISBLANK(B162), "",
    SUMPRODUCT(
        (Transactions!$D$3:$D$74=B162) *
        (Transactions!$H$3:$H$74={"Cash Deposit","Crypto Deposit","Buy","Transfer Deposit","DRIP","Airdrop/Rewards"}) *
        Transactions!$I$3:$I$74
    )
    - SUMPRODUCT(
        (Transactions!$D$3:$D$74=B162) *
        (Transactions!$H$3:$H$74={"Sell","Transfer Send","Cash Withdrawal","Crypto Withdrawal"}) *
        Transactions!$I$3:$I$74
    )
)</f>
        <v>0</v>
      </c>
      <c r="D162" s="1" cm="1">
        <f t="array" ref="D162">IF(ISBLANK(B162), "",
    SUMPRODUCT(
        (Transactions!$D$3:$D$76=B162) *
        (Transactions!$H$3:$H$76={"Cash Deposit","Crypto Deposit","Buy","Transfer Deposit","DRIP","Airdrop/Rewards"}) *
        Transactions!$I$3:$I$76
    )
    - SUMPRODUCT(
        (Transactions!$D$3:$D$76=B162) *
        (Transactions!$H$3:$H$76={"Sell","Transfer Send","Cash Withdrawal","Crypto Withdrawal"}) *
        Transactions!$I$3:$I$76
    )
)</f>
        <v>0</v>
      </c>
      <c r="E162" s="1" cm="1">
        <f t="array" ref="E162">IF(ISBLANK(B162), "",
    SUMPRODUCT(
        (Transactions!$D$3:$D$83=B162) *
        (Transactions!$H$3:$H$83={"Cash Deposit","Crypto Deposit","Buy","Transfer Deposit","DRIP","Airdrop/Rewards"}) *
        Transactions!$I$3:$I$83
    )
    - SUMPRODUCT(
        (Transactions!$D$3:$D$83=B162) *
        (Transactions!$H$3:$H$83={"Sell","Transfer Send","Cash Withdrawal","Crypto Withdrawal"}) *
        Transactions!$I$3:$I$83
    )
)</f>
        <v>20</v>
      </c>
      <c r="F162" s="1" cm="1">
        <f t="array" ref="F162">IF(ISBLANK(B162), "",
    SUMPRODUCT(
        (Transactions!$D$3:$D$98=B162) *
        (Transactions!$H$3:$H$98={"Cash Deposit","Crypto Deposit","Buy","Transfer Deposit","DRIP","Airdrop/Rewards"}) *
        Transactions!$I$3:$I$98
    )
    - SUMPRODUCT(
        (Transactions!$D$3:$D$98=B162) *
        (Transactions!$H$3:$H$98={"Sell","Transfer Send","Cash Withdrawal","Crypto Withdrawal"}) *
        Transactions!$I$3:$I$98
    )
)</f>
        <v>0</v>
      </c>
      <c r="G162" s="1" cm="1">
        <f t="array" ref="G162">IF(ISBLANK(B162), "",
    SUMPRODUCT(
        (Transactions!$D$3:$D$114=B162) *
        (Transactions!$H$3:$H$114={"Cash Deposit","Crypto Deposit","Buy","Transfer Deposit","DRIP","Airdrop/Rewards"}) *
        Transactions!$I$3:$I$114
    )
    - SUMPRODUCT(
        (Transactions!$D$3:$D$114=B162) *
        (Transactions!$H$3:$H$114={"Sell","Transfer Send","Cash Withdrawal","Crypto Withdrawal"}) *
        Transactions!$I$3:$I$114
    )
)</f>
        <v>0</v>
      </c>
      <c r="H162" s="1" cm="1">
        <f t="array" ref="H162">IF(ISBLANK(B162), "",
    SUMPRODUCT(
        (Transactions!$D$3:$D$139=B162) *
        (Transactions!$H$3:$H$139={"Cash Deposit","Crypto Deposit","Buy","Transfer Deposit","DRIP","Airdrop/Rewards"}) *
        Transactions!$I$3:$I$139
    )
    - SUMPRODUCT(
        (Transactions!$D$3:$D$139=B162) *
        (Transactions!$H$3:$H$139={"Sell","Transfer Send","Cash Withdrawal","Crypto Withdrawal"}) *
        Transactions!$I$3:$I$139
    )
)</f>
        <v>0</v>
      </c>
      <c r="I162" s="1" cm="1">
        <f t="array" ref="I162">IF(ISBLANK(B162), "",
    SUMPRODUCT(
        (Transactions!$D$3:$D$165=B162) *
        (Transactions!$H$3:$H$165={"Cash Deposit","Crypto Deposit","Buy","Transfer Deposit","DRIP","Airdrop/Rewards"}) *
        Transactions!$I$3:$I$165
    )
    - SUMPRODUCT(
        (Transactions!$D$3:$D$165=B162) *
        (Transactions!$H$3:$H$165={"Sell","Transfer Send","Cash Withdrawal","Crypto Withdrawal"}) *
        Transactions!$I$3:$I$165
    )
)</f>
        <v>0</v>
      </c>
      <c r="J162" s="1" cm="1">
        <f t="array" ref="J162">IF(ISBLANK(B162), "",
    SUMPRODUCT(
        (Transactions!$D$3:$D$174=B162) *
        (Transactions!$H$3:$H$174={"Cash Deposit","Crypto Deposit","Buy","Transfer Deposit","DRIP","Airdrop/Rewards"}) *
        Transactions!$I$3:$I$174
    )
    - SUMPRODUCT(
        (Transactions!$D$3:$D$174=B162) *
        (Transactions!$H$3:$H$174={"Sell","Transfer Send","Cash Withdrawal","Crypto Withdrawal"}) *
        Transactions!$I$3:$I$174
    )
)</f>
        <v>0</v>
      </c>
      <c r="K162" s="1" cm="1">
        <f t="array" ref="K162">IF(ISBLANK(B162), "",
    SUMPRODUCT(
        (Transactions!$D$3:$D$181=B162) *
        (Transactions!$H$3:$H$181={"Cash Deposit","Crypto Deposit","Buy","Transfer Deposit","DRIP","Airdrop/Rewards"}) *
        Transactions!$I$3:$I$181
    )
    - SUMPRODUCT(
        (Transactions!$D$3:$D$181=B162) *
        (Transactions!$H$3:$H$181={"Sell","Transfer Send","Cash Withdrawal","Crypto Withdrawal"}) *
        Transactions!$I$3:$I$181
    )
)</f>
        <v>0</v>
      </c>
      <c r="L162" s="1" cm="1">
        <f t="array" ref="L162">IF(ISBLANK(B162), "",
    SUMPRODUCT(
        (Transactions!$D$3:$D$185=B162) *
        (Transactions!$H$3:$H$185={"Cash Deposit","Crypto Deposit","Buy","Transfer Deposit","DRIP","Airdrop/Rewards"}) *
        Transactions!$I$3:$I$185
    )
    - SUMPRODUCT(
        (Transactions!$D$3:$D$185=B162) *
        (Transactions!$H$3:$H$185={"Sell","Transfer Send","Cash Withdrawal","Crypto Withdrawal"}) *
        Transactions!$I$3:$I$185
    )
)</f>
        <v>0</v>
      </c>
      <c r="M162" s="1" cm="1">
        <f t="array" ref="M162">IF(ISBLANK(B162), "",
    SUMPRODUCT(
        (Transactions!$D$3:$D$194=B162) *
        (Transactions!$H$3:$H$194={"Cash Deposit","Crypto Deposit","Buy","Transfer Deposit","DRIP","Airdrop/Rewards"}) *
        Transactions!$I$3:$I$194
    )
    - SUMPRODUCT(
        (Transactions!$D$3:$D$194=B162) *
        (Transactions!$H$3:$H$194={"Sell","Transfer Send","Cash Withdrawal","Crypto Withdrawal"}) *
        Transactions!$I$3:$I$194
    )
)</f>
        <v>0</v>
      </c>
      <c r="N162" s="1" cm="1">
        <f t="array" ref="N162">IF(ISBLANK(B162), "",
    SUMPRODUCT(
        (Transactions!$D$3:$D$201=B162) *
        (Transactions!$H$3:$H$201={"Cash Deposit","Crypto Deposit","Buy","Transfer Deposit","DRIP","Airdrop/Rewards"}) *
        Transactions!$I$3:$I$201
    )
    - SUMPRODUCT(
        (Transactions!$D$3:$D$201=B162) *
        (Transactions!$H$3:$H$201={"Sell","Transfer Send","Cash Withdrawal","Crypto Withdrawal"}) *
        Transactions!$I$3:$I$201
    )
)</f>
        <v>0</v>
      </c>
      <c r="O162" s="1" cm="1">
        <f t="array" ref="O162">IF(ISBLANK(B162), "",
    SUMPRODUCT(
        (Transactions!$D$3:$D$229=B162) *
        (Transactions!$H$3:$H$229={"Cash Deposit","Crypto Deposit","Buy","Transfer Deposit","DRIP","Airdrop/Rewards"}) *
        Transactions!$I$3:$I$229
    )
    - SUMPRODUCT(
        (Transactions!$D$3:$D$229=B162) *
        (Transactions!$H$3:$H$229={"Sell","Transfer Send","Cash Withdrawal","Crypto Withdrawal"}) *
        Transactions!$I$3:$I$229
    )
)</f>
        <v>0</v>
      </c>
      <c r="P162" s="1" cm="1">
        <f t="array" ref="P162">IF(ISBLANK(B162), "",
    SUMPRODUCT(
        (Transactions!$D$3:$D$305=B162) *
        (Transactions!$H$3:$H$305={"Cash Deposit","Crypto Deposit","Buy","Transfer Deposit","DRIP","Airdrop/Rewards"}) *
        Transactions!$I$3:$I$305
    )
    - SUMPRODUCT(
        (Transactions!$D$3:$D$305=B162) *
        (Transactions!$H$3:$H$305={"Sell","Transfer Send","Cash Withdrawal","Crypto Withdrawal"}) *
        Transactions!$I$3:$I$305
    )
)</f>
        <v>0</v>
      </c>
      <c r="Q162" s="1" cm="1">
        <f t="array" ref="Q162">IF(ISBLANK(B162), "",
    SUMPRODUCT(
        (Transactions!$D$3:$D$376=B162) *
        (Transactions!$H$3:$H$376={"Cash Deposit","Crypto Deposit","Buy","Transfer Deposit","DRIP","Airdrop/Rewards"}) *
        Transactions!$I$3:$I$376
    )
    - SUMPRODUCT(
        (Transactions!$D$3:$D$376=B162) *
        (Transactions!$H$3:$H$376={"Sell","Transfer Send","Cash Withdrawal","Crypto Withdrawal"}) *
        Transactions!$I$3:$I$376
    )
)</f>
        <v>0</v>
      </c>
      <c r="R162" s="1" cm="1">
        <f t="array" ref="R162">IF(ISBLANK(B162), "",
    SUMPRODUCT(
        (Transactions!$D$3:$D$1007=B162) *
        (Transactions!$H$3:$H$1007={"Cash Deposit","Crypto Deposit","Buy","Transfer Deposit","DRIP","Airdrop/Rewards"}) *
        Transactions!$I$3:$I$1007
    )
    - SUMPRODUCT(
        (Transactions!$D$3:$D$1007=B162) *
        (Transactions!$H$3:$H$1007={"Sell","Transfer Send","Cash Withdrawal","Crypto Withdrawal"}) *
        Transactions!$I$3:$I$1007
    )
)</f>
        <v>0</v>
      </c>
    </row>
    <row r="163" spans="1:18">
      <c r="A163" s="1" t="e" vm="22">
        <v>#VALUE!</v>
      </c>
      <c r="B163" s="1" t="e" vm="22">
        <v>#VALUE!</v>
      </c>
      <c r="C163" s="1" cm="1">
        <f t="array" ref="C163">IF(ISBLANK(B163), "",
    SUMPRODUCT(
        (Transactions!$D$3:$D$74=B163) *
        (Transactions!$H$3:$H$74={"Cash Deposit","Crypto Deposit","Buy","Transfer Deposit","DRIP","Airdrop/Rewards"}) *
        Transactions!$I$3:$I$74
    )
    - SUMPRODUCT(
        (Transactions!$D$3:$D$74=B163) *
        (Transactions!$H$3:$H$74={"Sell","Transfer Send","Cash Withdrawal","Crypto Withdrawal"}) *
        Transactions!$I$3:$I$74
    )
)</f>
        <v>0</v>
      </c>
      <c r="D163" s="1" cm="1">
        <f t="array" ref="D163">IF(ISBLANK(B163), "",
    SUMPRODUCT(
        (Transactions!$D$3:$D$76=B163) *
        (Transactions!$H$3:$H$76={"Cash Deposit","Crypto Deposit","Buy","Transfer Deposit","DRIP","Airdrop/Rewards"}) *
        Transactions!$I$3:$I$76
    )
    - SUMPRODUCT(
        (Transactions!$D$3:$D$76=B163) *
        (Transactions!$H$3:$H$76={"Sell","Transfer Send","Cash Withdrawal","Crypto Withdrawal"}) *
        Transactions!$I$3:$I$76
    )
)</f>
        <v>0</v>
      </c>
      <c r="E163" s="1" cm="1">
        <f t="array" ref="E163">IF(ISBLANK(B163), "",
    SUMPRODUCT(
        (Transactions!$D$3:$D$83=B163) *
        (Transactions!$H$3:$H$83={"Cash Deposit","Crypto Deposit","Buy","Transfer Deposit","DRIP","Airdrop/Rewards"}) *
        Transactions!$I$3:$I$83
    )
    - SUMPRODUCT(
        (Transactions!$D$3:$D$83=B163) *
        (Transactions!$H$3:$H$83={"Sell","Transfer Send","Cash Withdrawal","Crypto Withdrawal"}) *
        Transactions!$I$3:$I$83
    )
)</f>
        <v>0</v>
      </c>
      <c r="F163" s="1" cm="1">
        <f t="array" ref="F163">IF(ISBLANK(B163), "",
    SUMPRODUCT(
        (Transactions!$D$3:$D$98=B163) *
        (Transactions!$H$3:$H$98={"Cash Deposit","Crypto Deposit","Buy","Transfer Deposit","DRIP","Airdrop/Rewards"}) *
        Transactions!$I$3:$I$98
    )
    - SUMPRODUCT(
        (Transactions!$D$3:$D$98=B163) *
        (Transactions!$H$3:$H$98={"Sell","Transfer Send","Cash Withdrawal","Crypto Withdrawal"}) *
        Transactions!$I$3:$I$98
    )
)</f>
        <v>0</v>
      </c>
      <c r="G163" s="1" cm="1">
        <f t="array" ref="G163">IF(ISBLANK(B163), "",
    SUMPRODUCT(
        (Transactions!$D$3:$D$114=B163) *
        (Transactions!$H$3:$H$114={"Cash Deposit","Crypto Deposit","Buy","Transfer Deposit","DRIP","Airdrop/Rewards"}) *
        Transactions!$I$3:$I$114
    )
    - SUMPRODUCT(
        (Transactions!$D$3:$D$114=B163) *
        (Transactions!$H$3:$H$114={"Sell","Transfer Send","Cash Withdrawal","Crypto Withdrawal"}) *
        Transactions!$I$3:$I$114
    )
)</f>
        <v>0</v>
      </c>
      <c r="H163" s="1" cm="1">
        <f t="array" ref="H163">IF(ISBLANK(B163), "",
    SUMPRODUCT(
        (Transactions!$D$3:$D$139=B163) *
        (Transactions!$H$3:$H$139={"Cash Deposit","Crypto Deposit","Buy","Transfer Deposit","DRIP","Airdrop/Rewards"}) *
        Transactions!$I$3:$I$139
    )
    - SUMPRODUCT(
        (Transactions!$D$3:$D$139=B163) *
        (Transactions!$H$3:$H$139={"Sell","Transfer Send","Cash Withdrawal","Crypto Withdrawal"}) *
        Transactions!$I$3:$I$139
    )
)</f>
        <v>9</v>
      </c>
      <c r="I163" s="1" cm="1">
        <f t="array" ref="I163">IF(ISBLANK(B163), "",
    SUMPRODUCT(
        (Transactions!$D$3:$D$165=B163) *
        (Transactions!$H$3:$H$165={"Cash Deposit","Crypto Deposit","Buy","Transfer Deposit","DRIP","Airdrop/Rewards"}) *
        Transactions!$I$3:$I$165
    )
    - SUMPRODUCT(
        (Transactions!$D$3:$D$165=B163) *
        (Transactions!$H$3:$H$165={"Sell","Transfer Send","Cash Withdrawal","Crypto Withdrawal"}) *
        Transactions!$I$3:$I$165
    )
)</f>
        <v>12</v>
      </c>
      <c r="J163" s="1" cm="1">
        <f t="array" ref="J163">IF(ISBLANK(B163), "",
    SUMPRODUCT(
        (Transactions!$D$3:$D$174=B163) *
        (Transactions!$H$3:$H$174={"Cash Deposit","Crypto Deposit","Buy","Transfer Deposit","DRIP","Airdrop/Rewards"}) *
        Transactions!$I$3:$I$174
    )
    - SUMPRODUCT(
        (Transactions!$D$3:$D$174=B163) *
        (Transactions!$H$3:$H$174={"Sell","Transfer Send","Cash Withdrawal","Crypto Withdrawal"}) *
        Transactions!$I$3:$I$174
    )
)</f>
        <v>12</v>
      </c>
      <c r="K163" s="1" cm="1">
        <f t="array" ref="K163">IF(ISBLANK(B163), "",
    SUMPRODUCT(
        (Transactions!$D$3:$D$181=B163) *
        (Transactions!$H$3:$H$181={"Cash Deposit","Crypto Deposit","Buy","Transfer Deposit","DRIP","Airdrop/Rewards"}) *
        Transactions!$I$3:$I$181
    )
    - SUMPRODUCT(
        (Transactions!$D$3:$D$181=B163) *
        (Transactions!$H$3:$H$181={"Sell","Transfer Send","Cash Withdrawal","Crypto Withdrawal"}) *
        Transactions!$I$3:$I$181
    )
)</f>
        <v>12</v>
      </c>
      <c r="L163" s="1" cm="1">
        <f t="array" ref="L163">IF(ISBLANK(B163), "",
    SUMPRODUCT(
        (Transactions!$D$3:$D$185=B163) *
        (Transactions!$H$3:$H$185={"Cash Deposit","Crypto Deposit","Buy","Transfer Deposit","DRIP","Airdrop/Rewards"}) *
        Transactions!$I$3:$I$185
    )
    - SUMPRODUCT(
        (Transactions!$D$3:$D$185=B163) *
        (Transactions!$H$3:$H$185={"Sell","Transfer Send","Cash Withdrawal","Crypto Withdrawal"}) *
        Transactions!$I$3:$I$185
    )
)</f>
        <v>12</v>
      </c>
      <c r="M163" s="1" cm="1">
        <f t="array" ref="M163">IF(ISBLANK(B163), "",
    SUMPRODUCT(
        (Transactions!$D$3:$D$194=B163) *
        (Transactions!$H$3:$H$194={"Cash Deposit","Crypto Deposit","Buy","Transfer Deposit","DRIP","Airdrop/Rewards"}) *
        Transactions!$I$3:$I$194
    )
    - SUMPRODUCT(
        (Transactions!$D$3:$D$194=B163) *
        (Transactions!$H$3:$H$194={"Sell","Transfer Send","Cash Withdrawal","Crypto Withdrawal"}) *
        Transactions!$I$3:$I$194
    )
)</f>
        <v>12</v>
      </c>
      <c r="N163" s="1" cm="1">
        <f t="array" ref="N163">IF(ISBLANK(B163), "",
    SUMPRODUCT(
        (Transactions!$D$3:$D$201=B163) *
        (Transactions!$H$3:$H$201={"Cash Deposit","Crypto Deposit","Buy","Transfer Deposit","DRIP","Airdrop/Rewards"}) *
        Transactions!$I$3:$I$201
    )
    - SUMPRODUCT(
        (Transactions!$D$3:$D$201=B163) *
        (Transactions!$H$3:$H$201={"Sell","Transfer Send","Cash Withdrawal","Crypto Withdrawal"}) *
        Transactions!$I$3:$I$201
    )
)</f>
        <v>12</v>
      </c>
      <c r="O163" s="1" cm="1">
        <f t="array" ref="O163">IF(ISBLANK(B163), "",
    SUMPRODUCT(
        (Transactions!$D$3:$D$229=B163) *
        (Transactions!$H$3:$H$229={"Cash Deposit","Crypto Deposit","Buy","Transfer Deposit","DRIP","Airdrop/Rewards"}) *
        Transactions!$I$3:$I$229
    )
    - SUMPRODUCT(
        (Transactions!$D$3:$D$229=B163) *
        (Transactions!$H$3:$H$229={"Sell","Transfer Send","Cash Withdrawal","Crypto Withdrawal"}) *
        Transactions!$I$3:$I$229
    )
)</f>
        <v>12</v>
      </c>
      <c r="P163" s="1" cm="1">
        <f t="array" ref="P163">IF(ISBLANK(B163), "",
    SUMPRODUCT(
        (Transactions!$D$3:$D$305=B163) *
        (Transactions!$H$3:$H$305={"Cash Deposit","Crypto Deposit","Buy","Transfer Deposit","DRIP","Airdrop/Rewards"}) *
        Transactions!$I$3:$I$305
    )
    - SUMPRODUCT(
        (Transactions!$D$3:$D$305=B163) *
        (Transactions!$H$3:$H$305={"Sell","Transfer Send","Cash Withdrawal","Crypto Withdrawal"}) *
        Transactions!$I$3:$I$305
    )
)</f>
        <v>0</v>
      </c>
      <c r="Q163" s="1" cm="1">
        <f t="array" ref="Q163">IF(ISBLANK(B163), "",
    SUMPRODUCT(
        (Transactions!$D$3:$D$376=B163) *
        (Transactions!$H$3:$H$376={"Cash Deposit","Crypto Deposit","Buy","Transfer Deposit","DRIP","Airdrop/Rewards"}) *
        Transactions!$I$3:$I$376
    )
    - SUMPRODUCT(
        (Transactions!$D$3:$D$376=B163) *
        (Transactions!$H$3:$H$376={"Sell","Transfer Send","Cash Withdrawal","Crypto Withdrawal"}) *
        Transactions!$I$3:$I$376
    )
)</f>
        <v>0</v>
      </c>
      <c r="R163" s="1" cm="1">
        <f t="array" ref="R163">IF(ISBLANK(B163), "",
    SUMPRODUCT(
        (Transactions!$D$3:$D$1007=B163) *
        (Transactions!$H$3:$H$1007={"Cash Deposit","Crypto Deposit","Buy","Transfer Deposit","DRIP","Airdrop/Rewards"}) *
        Transactions!$I$3:$I$1007
    )
    - SUMPRODUCT(
        (Transactions!$D$3:$D$1007=B163) *
        (Transactions!$H$3:$H$1007={"Sell","Transfer Send","Cash Withdrawal","Crypto Withdrawal"}) *
        Transactions!$I$3:$I$1007
    )
)</f>
        <v>0</v>
      </c>
    </row>
    <row r="200" spans="1:18">
      <c r="A200" s="96" t="s">
        <v>506</v>
      </c>
      <c r="B200" s="102" t="s">
        <v>433</v>
      </c>
      <c r="C200" s="100">
        <v>44927</v>
      </c>
      <c r="D200" s="100">
        <v>44958</v>
      </c>
      <c r="E200" s="100">
        <v>44986</v>
      </c>
      <c r="F200" s="100">
        <v>45017</v>
      </c>
      <c r="G200" s="100">
        <v>45047</v>
      </c>
      <c r="H200" s="100">
        <v>45078</v>
      </c>
      <c r="I200" s="100">
        <v>45108</v>
      </c>
      <c r="J200" s="100">
        <v>45139</v>
      </c>
      <c r="K200" s="100">
        <v>45170</v>
      </c>
      <c r="L200" s="100">
        <v>45200</v>
      </c>
      <c r="M200" s="100">
        <v>45231</v>
      </c>
      <c r="N200" s="100">
        <v>45261</v>
      </c>
      <c r="O200" s="100">
        <v>45292</v>
      </c>
      <c r="P200" s="100">
        <v>45323</v>
      </c>
      <c r="Q200" s="100">
        <v>45352</v>
      </c>
      <c r="R200" s="1" t="s">
        <v>535</v>
      </c>
    </row>
    <row r="201" spans="1:18">
      <c r="A201" s="1" t="str" cm="1">
        <f t="array" ref="A201:A263">_xlfn._xlws.SORT(_xlfn.UNIQUE(_xlfn._xlws.FILTER(Transactions!D3:D1102, (Transactions!F3:F1102&lt;&gt;"Cash") * (Transactions!F3:F1102&lt;&gt;"Stable Coin") * (Transactions!D3:D1102&lt;&gt;""))))</f>
        <v>ADA</v>
      </c>
      <c r="B201" s="1" t="s">
        <v>55</v>
      </c>
      <c r="C201" s="1">
        <f t="shared" ref="C201:R201" si="0">IFERROR(C101*C2, 0)</f>
        <v>737.15419999999995</v>
      </c>
      <c r="D201" s="1">
        <f t="shared" si="0"/>
        <v>1170.2098000000001</v>
      </c>
      <c r="E201" s="1">
        <f t="shared" si="0"/>
        <v>1055.0482</v>
      </c>
      <c r="F201" s="1">
        <f t="shared" si="0"/>
        <v>1196.3010999999999</v>
      </c>
      <c r="G201" s="1">
        <f t="shared" si="0"/>
        <v>1311.27945</v>
      </c>
      <c r="H201" s="1">
        <f t="shared" si="0"/>
        <v>1314.8104320000002</v>
      </c>
      <c r="I201" s="1">
        <f t="shared" si="0"/>
        <v>1101.0898500000001</v>
      </c>
      <c r="J201" s="1">
        <f t="shared" si="0"/>
        <v>1177.8208500000001</v>
      </c>
      <c r="K201" s="1">
        <f t="shared" si="0"/>
        <v>979.85487000000012</v>
      </c>
      <c r="L201" s="1">
        <f t="shared" si="0"/>
        <v>974.48370000000011</v>
      </c>
      <c r="M201" s="1">
        <f t="shared" si="0"/>
        <v>1123.7254950000001</v>
      </c>
      <c r="N201" s="1">
        <f t="shared" si="0"/>
        <v>1442.5428000000002</v>
      </c>
      <c r="O201" s="1">
        <f t="shared" si="0"/>
        <v>2278.5270450000003</v>
      </c>
      <c r="P201" s="1">
        <f t="shared" si="0"/>
        <v>1951.1940959999999</v>
      </c>
      <c r="Q201" s="1">
        <f t="shared" si="0"/>
        <v>2703.5137600000003</v>
      </c>
      <c r="R201" s="1">
        <f t="shared" si="0"/>
        <v>2733.6233003608199</v>
      </c>
    </row>
    <row r="202" spans="1:18">
      <c r="A202" s="1" t="str">
        <v>AI</v>
      </c>
      <c r="B202" s="1" t="s">
        <v>369</v>
      </c>
      <c r="C202" s="1">
        <f t="shared" ref="C202:R202" si="1">IFERROR(C102*C3, 0)</f>
        <v>0</v>
      </c>
      <c r="D202" s="1">
        <f t="shared" si="1"/>
        <v>0</v>
      </c>
      <c r="E202" s="1">
        <f t="shared" si="1"/>
        <v>0</v>
      </c>
      <c r="F202" s="1">
        <f t="shared" si="1"/>
        <v>0</v>
      </c>
      <c r="G202" s="1">
        <f t="shared" si="1"/>
        <v>0</v>
      </c>
      <c r="H202" s="1">
        <f t="shared" si="1"/>
        <v>0</v>
      </c>
      <c r="I202" s="1">
        <f t="shared" si="1"/>
        <v>0</v>
      </c>
      <c r="J202" s="1">
        <f t="shared" si="1"/>
        <v>0</v>
      </c>
      <c r="K202" s="1">
        <f t="shared" si="1"/>
        <v>0</v>
      </c>
      <c r="L202" s="1">
        <f t="shared" si="1"/>
        <v>0</v>
      </c>
      <c r="M202" s="1">
        <f t="shared" si="1"/>
        <v>0</v>
      </c>
      <c r="N202" s="1">
        <f t="shared" si="1"/>
        <v>0</v>
      </c>
      <c r="O202" s="1">
        <f t="shared" si="1"/>
        <v>0</v>
      </c>
      <c r="P202" s="1">
        <f t="shared" si="1"/>
        <v>0</v>
      </c>
      <c r="Q202" s="1">
        <f t="shared" si="1"/>
        <v>0</v>
      </c>
      <c r="R202" s="1">
        <f t="shared" si="1"/>
        <v>0</v>
      </c>
    </row>
    <row r="203" spans="1:18">
      <c r="A203" s="1" t="str">
        <v>ALEX</v>
      </c>
      <c r="B203" s="1" t="s">
        <v>310</v>
      </c>
      <c r="C203" s="1">
        <f t="shared" ref="C203:R203" si="2">IFERROR(C103*C4, 0)</f>
        <v>0</v>
      </c>
      <c r="D203" s="1">
        <f t="shared" si="2"/>
        <v>0</v>
      </c>
      <c r="E203" s="1">
        <f t="shared" si="2"/>
        <v>0</v>
      </c>
      <c r="F203" s="1">
        <f t="shared" si="2"/>
        <v>0</v>
      </c>
      <c r="G203" s="1">
        <f t="shared" si="2"/>
        <v>0</v>
      </c>
      <c r="H203" s="1">
        <f t="shared" si="2"/>
        <v>0</v>
      </c>
      <c r="I203" s="1">
        <f t="shared" si="2"/>
        <v>0</v>
      </c>
      <c r="J203" s="1">
        <f t="shared" si="2"/>
        <v>0</v>
      </c>
      <c r="K203" s="1">
        <f t="shared" si="2"/>
        <v>0</v>
      </c>
      <c r="L203" s="1">
        <f t="shared" si="2"/>
        <v>0</v>
      </c>
      <c r="M203" s="1">
        <f t="shared" si="2"/>
        <v>0</v>
      </c>
      <c r="N203" s="1">
        <f t="shared" si="2"/>
        <v>0</v>
      </c>
      <c r="O203" s="1">
        <f t="shared" si="2"/>
        <v>0</v>
      </c>
      <c r="P203" s="1">
        <f t="shared" si="2"/>
        <v>231.92243999999999</v>
      </c>
      <c r="Q203" s="1">
        <f t="shared" si="2"/>
        <v>313.54451999999998</v>
      </c>
      <c r="R203" s="1">
        <f t="shared" si="2"/>
        <v>352.86575399999998</v>
      </c>
    </row>
    <row r="204" spans="1:18">
      <c r="A204" s="1" t="str">
        <v>ALT</v>
      </c>
      <c r="B204" s="1" t="s">
        <v>373</v>
      </c>
      <c r="C204" s="1">
        <f t="shared" ref="C204:R204" si="3">IFERROR(C104*C5, 0)</f>
        <v>0</v>
      </c>
      <c r="D204" s="1">
        <f t="shared" si="3"/>
        <v>0</v>
      </c>
      <c r="E204" s="1">
        <f t="shared" si="3"/>
        <v>0</v>
      </c>
      <c r="F204" s="1">
        <f t="shared" si="3"/>
        <v>0</v>
      </c>
      <c r="G204" s="1">
        <f t="shared" si="3"/>
        <v>0</v>
      </c>
      <c r="H204" s="1">
        <f t="shared" si="3"/>
        <v>0</v>
      </c>
      <c r="I204" s="1">
        <f t="shared" si="3"/>
        <v>0</v>
      </c>
      <c r="J204" s="1">
        <f t="shared" si="3"/>
        <v>0</v>
      </c>
      <c r="K204" s="1">
        <f t="shared" si="3"/>
        <v>0</v>
      </c>
      <c r="L204" s="1">
        <f t="shared" si="3"/>
        <v>0</v>
      </c>
      <c r="M204" s="1">
        <f t="shared" si="3"/>
        <v>0</v>
      </c>
      <c r="N204" s="1">
        <f t="shared" si="3"/>
        <v>0</v>
      </c>
      <c r="O204" s="1">
        <f t="shared" si="3"/>
        <v>0</v>
      </c>
      <c r="P204" s="1">
        <f t="shared" si="3"/>
        <v>0</v>
      </c>
      <c r="Q204" s="1">
        <f t="shared" si="3"/>
        <v>0</v>
      </c>
      <c r="R204" s="1">
        <f t="shared" si="3"/>
        <v>0</v>
      </c>
    </row>
    <row r="205" spans="1:18">
      <c r="A205" s="1" t="str">
        <v>ARB</v>
      </c>
      <c r="B205" s="1" t="s">
        <v>358</v>
      </c>
      <c r="C205" s="1">
        <f t="shared" ref="C205:R205" si="4">IFERROR(C105*C6, 0)</f>
        <v>0</v>
      </c>
      <c r="D205" s="1">
        <f t="shared" si="4"/>
        <v>0</v>
      </c>
      <c r="E205" s="1">
        <f t="shared" si="4"/>
        <v>0</v>
      </c>
      <c r="F205" s="1">
        <f t="shared" si="4"/>
        <v>0</v>
      </c>
      <c r="G205" s="1">
        <f t="shared" si="4"/>
        <v>0</v>
      </c>
      <c r="H205" s="1">
        <f t="shared" si="4"/>
        <v>0</v>
      </c>
      <c r="I205" s="1">
        <f t="shared" si="4"/>
        <v>0</v>
      </c>
      <c r="J205" s="1">
        <f t="shared" si="4"/>
        <v>0</v>
      </c>
      <c r="K205" s="1">
        <f t="shared" si="4"/>
        <v>0</v>
      </c>
      <c r="L205" s="1">
        <f t="shared" si="4"/>
        <v>0</v>
      </c>
      <c r="M205" s="1">
        <f t="shared" si="4"/>
        <v>0</v>
      </c>
      <c r="N205" s="1">
        <f t="shared" si="4"/>
        <v>0</v>
      </c>
      <c r="O205" s="1">
        <f t="shared" si="4"/>
        <v>0</v>
      </c>
      <c r="P205" s="1">
        <f t="shared" si="4"/>
        <v>60.651127788000004</v>
      </c>
      <c r="Q205" s="1">
        <f t="shared" si="4"/>
        <v>66.947581002000007</v>
      </c>
      <c r="R205" s="1">
        <f t="shared" si="4"/>
        <v>70.043651799999992</v>
      </c>
    </row>
    <row r="206" spans="1:18">
      <c r="A206" s="1" t="str">
        <v>ATOM</v>
      </c>
      <c r="B206" s="1" t="s">
        <v>52</v>
      </c>
      <c r="C206" s="1">
        <f t="shared" ref="C206:R206" si="5">IFERROR(C106*C7, 0)</f>
        <v>967.19474187100002</v>
      </c>
      <c r="D206" s="1">
        <f t="shared" si="5"/>
        <v>1381.5738466725998</v>
      </c>
      <c r="E206" s="1">
        <f t="shared" si="5"/>
        <v>1269.5012544557999</v>
      </c>
      <c r="F206" s="1">
        <f t="shared" si="5"/>
        <v>1156.7049462376001</v>
      </c>
      <c r="G206" s="1">
        <f t="shared" si="5"/>
        <v>1190.3060463026</v>
      </c>
      <c r="H206" s="1">
        <f t="shared" si="5"/>
        <v>1081.2317060916</v>
      </c>
      <c r="I206" s="1">
        <f t="shared" si="5"/>
        <v>960.37113385779992</v>
      </c>
      <c r="J206" s="1">
        <f t="shared" si="5"/>
        <v>916.43123377280006</v>
      </c>
      <c r="K206" s="1">
        <f t="shared" si="5"/>
        <v>715.85851338479995</v>
      </c>
      <c r="L206" s="1">
        <f t="shared" si="5"/>
        <v>748.21895744739993</v>
      </c>
      <c r="M206" s="1">
        <f t="shared" si="5"/>
        <v>819.55667758539994</v>
      </c>
      <c r="N206" s="1">
        <f t="shared" si="5"/>
        <v>956.23561384979996</v>
      </c>
      <c r="O206" s="1">
        <f t="shared" si="5"/>
        <v>1095.9128021199999</v>
      </c>
      <c r="P206" s="1">
        <f t="shared" si="5"/>
        <v>941.65790582160002</v>
      </c>
      <c r="Q206" s="1">
        <f t="shared" si="5"/>
        <v>1030.8994262556</v>
      </c>
      <c r="R206" s="1">
        <f t="shared" si="5"/>
        <v>1127.0606424659998</v>
      </c>
    </row>
    <row r="207" spans="1:18">
      <c r="A207" s="1" t="str">
        <v>AVAX</v>
      </c>
      <c r="B207" s="1" t="s">
        <v>27</v>
      </c>
      <c r="C207" s="1">
        <f t="shared" ref="C207:R207" si="6">IFERROR(C107*C8, 0)</f>
        <v>224.76345000000001</v>
      </c>
      <c r="D207" s="1">
        <f t="shared" si="6"/>
        <v>408.28590000000003</v>
      </c>
      <c r="E207" s="1">
        <f t="shared" si="6"/>
        <v>352.61055000000005</v>
      </c>
      <c r="F207" s="1">
        <f t="shared" si="6"/>
        <v>364.98284999999998</v>
      </c>
      <c r="G207" s="1">
        <f t="shared" si="6"/>
        <v>352.61055000000005</v>
      </c>
      <c r="H207" s="1">
        <f t="shared" si="6"/>
        <v>290.74905000000001</v>
      </c>
      <c r="I207" s="1">
        <f t="shared" si="6"/>
        <v>268.685115</v>
      </c>
      <c r="J207" s="1">
        <f t="shared" si="6"/>
        <v>264.14860500000003</v>
      </c>
      <c r="K207" s="1">
        <f t="shared" si="6"/>
        <v>205.79259000000002</v>
      </c>
      <c r="L207" s="1">
        <f t="shared" si="6"/>
        <v>190.327215</v>
      </c>
      <c r="M207" s="1">
        <f t="shared" si="6"/>
        <v>982.24206000000004</v>
      </c>
      <c r="N207" s="1">
        <f t="shared" si="6"/>
        <v>1856.8886999999997</v>
      </c>
      <c r="O207" s="1">
        <f t="shared" si="6"/>
        <v>3346.7381850000002</v>
      </c>
      <c r="P207" s="1">
        <f t="shared" si="6"/>
        <v>2879.0451899999998</v>
      </c>
      <c r="Q207" s="1">
        <f t="shared" si="6"/>
        <v>4058.6623700000005</v>
      </c>
      <c r="R207" s="1">
        <f t="shared" si="6"/>
        <v>5767.0977054380928</v>
      </c>
    </row>
    <row r="208" spans="1:18">
      <c r="A208" s="1" t="str">
        <v>BNB</v>
      </c>
      <c r="B208" s="1" t="s">
        <v>10</v>
      </c>
      <c r="C208" s="1">
        <f t="shared" ref="C208:R208" si="7">IFERROR(C108*C9, 0)</f>
        <v>2569.606029</v>
      </c>
      <c r="D208" s="1">
        <f t="shared" si="7"/>
        <v>3256.0862430000002</v>
      </c>
      <c r="E208" s="1">
        <f t="shared" si="7"/>
        <v>3145.4982449999998</v>
      </c>
      <c r="F208" s="1">
        <f t="shared" si="7"/>
        <v>3307.2071099999998</v>
      </c>
      <c r="G208" s="1">
        <f t="shared" si="7"/>
        <v>3521.0801249999995</v>
      </c>
      <c r="H208" s="1">
        <f t="shared" si="7"/>
        <v>3200.7922439999998</v>
      </c>
      <c r="I208" s="1">
        <f t="shared" si="7"/>
        <v>2508.0523319999998</v>
      </c>
      <c r="J208" s="1">
        <f t="shared" si="7"/>
        <v>2514.3120299999996</v>
      </c>
      <c r="K208" s="1">
        <f t="shared" si="7"/>
        <v>2260.7942609999996</v>
      </c>
      <c r="L208" s="1">
        <f t="shared" si="7"/>
        <v>2238.8853179999996</v>
      </c>
      <c r="M208" s="1">
        <f t="shared" si="7"/>
        <v>2360.9494289999998</v>
      </c>
      <c r="N208" s="1">
        <f t="shared" si="7"/>
        <v>2374.5121079999999</v>
      </c>
      <c r="O208" s="1">
        <f t="shared" si="7"/>
        <v>3253.9996769999993</v>
      </c>
      <c r="P208" s="1">
        <f t="shared" si="7"/>
        <v>3135.0654149999996</v>
      </c>
      <c r="Q208" s="1">
        <f t="shared" si="7"/>
        <v>4165.8290189999998</v>
      </c>
      <c r="R208" s="1">
        <f t="shared" si="7"/>
        <v>6256.1708739000005</v>
      </c>
    </row>
    <row r="209" spans="1:18">
      <c r="A209" s="1" t="str">
        <v>BTC</v>
      </c>
      <c r="B209" s="1" t="s">
        <v>47</v>
      </c>
      <c r="C209" s="1">
        <f t="shared" ref="C209:R209" si="8">IFERROR(C109*C10, 0)</f>
        <v>4953.0570211057993</v>
      </c>
      <c r="D209" s="1">
        <f t="shared" si="8"/>
        <v>6928.30107434</v>
      </c>
      <c r="E209" s="1">
        <f t="shared" si="8"/>
        <v>6697.7270229400001</v>
      </c>
      <c r="F209" s="1">
        <f t="shared" si="8"/>
        <v>8539.3249659400008</v>
      </c>
      <c r="G209" s="1">
        <f t="shared" si="8"/>
        <v>8792.3575288400007</v>
      </c>
      <c r="H209" s="1">
        <f t="shared" si="8"/>
        <v>8545.6890408999989</v>
      </c>
      <c r="I209" s="1">
        <f t="shared" si="8"/>
        <v>9702.4625854199985</v>
      </c>
      <c r="J209" s="1">
        <f t="shared" si="8"/>
        <v>9305.2094340599997</v>
      </c>
      <c r="K209" s="1">
        <f t="shared" si="8"/>
        <v>8252.8705571399987</v>
      </c>
      <c r="L209" s="1">
        <f t="shared" si="8"/>
        <v>8584.8697853999984</v>
      </c>
      <c r="M209" s="1">
        <f t="shared" si="8"/>
        <v>11036.507423039999</v>
      </c>
      <c r="N209" s="1">
        <f t="shared" si="8"/>
        <v>12263.897899839998</v>
      </c>
      <c r="O209" s="1">
        <f t="shared" si="8"/>
        <v>13847.761874559999</v>
      </c>
      <c r="P209" s="1">
        <f t="shared" si="8"/>
        <v>13483.473455059999</v>
      </c>
      <c r="Q209" s="1">
        <f t="shared" si="8"/>
        <v>17894.506876184852</v>
      </c>
      <c r="R209" s="1">
        <f t="shared" si="8"/>
        <v>15580.634891944819</v>
      </c>
    </row>
    <row r="210" spans="1:18">
      <c r="A210" s="1" t="str">
        <v>BTC.B</v>
      </c>
      <c r="B210" s="1" t="s">
        <v>353</v>
      </c>
      <c r="C210" s="1">
        <f t="shared" ref="C210:R210" si="9">IFERROR(C110*C11, 0)</f>
        <v>4785.2034000000003</v>
      </c>
      <c r="D210" s="1">
        <f t="shared" si="9"/>
        <v>6664.9193999999998</v>
      </c>
      <c r="E210" s="1">
        <f t="shared" si="9"/>
        <v>6461.0913</v>
      </c>
      <c r="F210" s="1">
        <f t="shared" si="9"/>
        <v>7905.1859999999997</v>
      </c>
      <c r="G210" s="1">
        <f t="shared" si="9"/>
        <v>8445.1718999999994</v>
      </c>
      <c r="H210" s="1">
        <f t="shared" si="9"/>
        <v>7828.7865000000002</v>
      </c>
      <c r="I210" s="1">
        <f t="shared" si="9"/>
        <v>8783.0594999999994</v>
      </c>
      <c r="J210" s="1">
        <f t="shared" si="9"/>
        <v>8431.9100999999991</v>
      </c>
      <c r="K210" s="1">
        <f t="shared" si="9"/>
        <v>7498.683</v>
      </c>
      <c r="L210" s="1">
        <f t="shared" si="9"/>
        <v>7773.1445999999996</v>
      </c>
      <c r="M210" s="1">
        <f t="shared" si="9"/>
        <v>10837.7736</v>
      </c>
      <c r="N210" s="1">
        <f t="shared" si="9"/>
        <v>10876.982400000001</v>
      </c>
      <c r="O210" s="1">
        <f t="shared" si="9"/>
        <v>12157.611000000001</v>
      </c>
      <c r="P210" s="1">
        <f t="shared" si="9"/>
        <v>12384.7914</v>
      </c>
      <c r="Q210" s="1">
        <f t="shared" si="9"/>
        <v>9520.5145850000008</v>
      </c>
      <c r="R210" s="1">
        <f t="shared" si="9"/>
        <v>10875.11857325</v>
      </c>
    </row>
    <row r="211" spans="1:18">
      <c r="A211" s="1" t="str">
        <v>BTCB</v>
      </c>
      <c r="B211" s="1" t="s">
        <v>60</v>
      </c>
      <c r="C211" s="1">
        <f t="shared" ref="C211:R211" si="10">IFERROR(C111*C12, 0)</f>
        <v>2939.79928995</v>
      </c>
      <c r="D211" s="1">
        <f t="shared" si="10"/>
        <v>4113.2506999999996</v>
      </c>
      <c r="E211" s="1">
        <f t="shared" si="10"/>
        <v>3971.9354749999998</v>
      </c>
      <c r="F211" s="1">
        <f t="shared" si="10"/>
        <v>5059.7960750000002</v>
      </c>
      <c r="G211" s="1">
        <f t="shared" si="10"/>
        <v>5226.5302650000003</v>
      </c>
      <c r="H211" s="1">
        <f t="shared" si="10"/>
        <v>4855.9110899999996</v>
      </c>
      <c r="I211" s="1">
        <f t="shared" si="10"/>
        <v>5422.5940300000002</v>
      </c>
      <c r="J211" s="1">
        <f t="shared" si="10"/>
        <v>5192.2235499999997</v>
      </c>
      <c r="K211" s="1">
        <f t="shared" si="10"/>
        <v>4608.8316400000003</v>
      </c>
      <c r="L211" s="1">
        <f t="shared" si="10"/>
        <v>4784.631335</v>
      </c>
      <c r="M211" s="1">
        <f t="shared" si="10"/>
        <v>6176.0974749999996</v>
      </c>
      <c r="N211" s="1">
        <f t="shared" si="10"/>
        <v>6694.0755449999997</v>
      </c>
      <c r="O211" s="1">
        <f t="shared" si="10"/>
        <v>7482.9522349999997</v>
      </c>
      <c r="P211" s="1">
        <f t="shared" si="10"/>
        <v>7575.2070800000001</v>
      </c>
      <c r="Q211" s="1">
        <f t="shared" si="10"/>
        <v>12376.773465</v>
      </c>
      <c r="R211" s="1">
        <f t="shared" si="10"/>
        <v>21303.50376</v>
      </c>
    </row>
    <row r="212" spans="1:18">
      <c r="A212" s="1" t="str">
        <v>COQ</v>
      </c>
      <c r="B212" s="1" t="s">
        <v>510</v>
      </c>
      <c r="C212" s="1">
        <f t="shared" ref="C212:R212" si="11">IFERROR(C112*C13, 0)</f>
        <v>0</v>
      </c>
      <c r="D212" s="1">
        <f t="shared" si="11"/>
        <v>0</v>
      </c>
      <c r="E212" s="1">
        <f t="shared" si="11"/>
        <v>0</v>
      </c>
      <c r="F212" s="1">
        <f t="shared" si="11"/>
        <v>0</v>
      </c>
      <c r="G212" s="1">
        <f t="shared" si="11"/>
        <v>0</v>
      </c>
      <c r="H212" s="1">
        <f t="shared" si="11"/>
        <v>0</v>
      </c>
      <c r="I212" s="1">
        <f t="shared" si="11"/>
        <v>0</v>
      </c>
      <c r="J212" s="1">
        <f t="shared" si="11"/>
        <v>0</v>
      </c>
      <c r="K212" s="1">
        <f t="shared" si="11"/>
        <v>0</v>
      </c>
      <c r="L212" s="1">
        <f t="shared" si="11"/>
        <v>0</v>
      </c>
      <c r="M212" s="1">
        <f t="shared" si="11"/>
        <v>0</v>
      </c>
      <c r="N212" s="1">
        <f t="shared" si="11"/>
        <v>0</v>
      </c>
      <c r="O212" s="1">
        <f t="shared" si="11"/>
        <v>0</v>
      </c>
      <c r="P212" s="1">
        <f t="shared" si="11"/>
        <v>0</v>
      </c>
      <c r="Q212" s="1">
        <f t="shared" si="11"/>
        <v>172</v>
      </c>
      <c r="R212" s="1">
        <f t="shared" si="11"/>
        <v>471</v>
      </c>
    </row>
    <row r="213" spans="1:18">
      <c r="A213" s="1" t="str">
        <v>CRO</v>
      </c>
      <c r="B213" s="1" t="s">
        <v>295</v>
      </c>
      <c r="C213" s="1">
        <f t="shared" ref="C213:R213" si="12">IFERROR(C113*C14, 0)</f>
        <v>649.08722175000003</v>
      </c>
      <c r="D213" s="1">
        <f t="shared" si="12"/>
        <v>843.83072655000001</v>
      </c>
      <c r="E213" s="1">
        <f t="shared" si="12"/>
        <v>914.81362440000009</v>
      </c>
      <c r="F213" s="1">
        <f t="shared" si="12"/>
        <v>802.90083870000001</v>
      </c>
      <c r="G213" s="1">
        <f t="shared" si="12"/>
        <v>843.80760884999995</v>
      </c>
      <c r="H213" s="1">
        <f t="shared" si="12"/>
        <v>672.7366288500001</v>
      </c>
      <c r="I213" s="1">
        <f t="shared" si="12"/>
        <v>636.89263500000004</v>
      </c>
      <c r="J213" s="1">
        <f t="shared" si="12"/>
        <v>733.0507081500001</v>
      </c>
      <c r="K213" s="1">
        <f t="shared" si="12"/>
        <v>562.36117020000006</v>
      </c>
      <c r="L213" s="1">
        <f t="shared" si="12"/>
        <v>612.61905000000002</v>
      </c>
      <c r="M213" s="1">
        <f t="shared" si="12"/>
        <v>609.74089634999996</v>
      </c>
      <c r="N213" s="1">
        <f t="shared" si="12"/>
        <v>1095.8020977000001</v>
      </c>
      <c r="O213" s="1">
        <f t="shared" si="12"/>
        <v>1155.885</v>
      </c>
      <c r="P213" s="1">
        <f t="shared" si="12"/>
        <v>892.34322000000009</v>
      </c>
      <c r="Q213" s="1">
        <f t="shared" si="12"/>
        <v>9405.2628622499997</v>
      </c>
      <c r="R213" s="1">
        <f t="shared" si="12"/>
        <v>1730.9377875</v>
      </c>
    </row>
    <row r="214" spans="1:18">
      <c r="A214" s="1" t="str">
        <v>CTSI</v>
      </c>
      <c r="B214" s="1" t="s">
        <v>8</v>
      </c>
      <c r="C214" s="1">
        <f t="shared" ref="C214:R214" si="13">IFERROR(C114*C15, 0)</f>
        <v>56.204160319912006</v>
      </c>
      <c r="D214" s="1">
        <f t="shared" si="13"/>
        <v>82.240710410083992</v>
      </c>
      <c r="E214" s="1">
        <f t="shared" si="13"/>
        <v>86.915331094331989</v>
      </c>
      <c r="F214" s="1">
        <f t="shared" si="13"/>
        <v>78.164006324984015</v>
      </c>
      <c r="G214" s="1">
        <f t="shared" si="13"/>
        <v>127.410591672992</v>
      </c>
      <c r="H214" s="1">
        <f t="shared" si="13"/>
        <v>97.732185933463995</v>
      </c>
      <c r="I214" s="1">
        <f t="shared" si="13"/>
        <v>83.76267993518799</v>
      </c>
      <c r="J214" s="1">
        <f t="shared" si="13"/>
        <v>76.533324690944013</v>
      </c>
      <c r="K214" s="1">
        <f t="shared" si="13"/>
        <v>64.520636653516007</v>
      </c>
      <c r="L214" s="1">
        <f t="shared" si="13"/>
        <v>71.260787407547994</v>
      </c>
      <c r="M214" s="1">
        <f t="shared" si="13"/>
        <v>78.164006324984015</v>
      </c>
      <c r="N214" s="1">
        <f t="shared" si="13"/>
        <v>83.382187553912004</v>
      </c>
      <c r="O214" s="1">
        <f t="shared" si="13"/>
        <v>113.65850989258801</v>
      </c>
      <c r="P214" s="1">
        <f t="shared" si="13"/>
        <v>126.64960691044001</v>
      </c>
      <c r="Q214" s="1">
        <f t="shared" si="13"/>
        <v>214.64879773086395</v>
      </c>
      <c r="R214" s="1">
        <f t="shared" si="13"/>
        <v>175.3906809518956</v>
      </c>
    </row>
    <row r="215" spans="1:18">
      <c r="A215" s="1" t="str">
        <v>DESO</v>
      </c>
      <c r="B215" s="1" t="s">
        <v>393</v>
      </c>
      <c r="C215" s="1">
        <f t="shared" ref="C215:R215" si="14">IFERROR(C115*C16, 0)</f>
        <v>0</v>
      </c>
      <c r="D215" s="1">
        <f t="shared" si="14"/>
        <v>0</v>
      </c>
      <c r="E215" s="1">
        <f t="shared" si="14"/>
        <v>0</v>
      </c>
      <c r="F215" s="1">
        <f t="shared" si="14"/>
        <v>0</v>
      </c>
      <c r="G215" s="1">
        <f t="shared" si="14"/>
        <v>0</v>
      </c>
      <c r="H215" s="1">
        <f t="shared" si="14"/>
        <v>0</v>
      </c>
      <c r="I215" s="1">
        <f t="shared" si="14"/>
        <v>0</v>
      </c>
      <c r="J215" s="1">
        <f t="shared" si="14"/>
        <v>0</v>
      </c>
      <c r="K215" s="1">
        <f t="shared" si="14"/>
        <v>0</v>
      </c>
      <c r="L215" s="1">
        <f t="shared" si="14"/>
        <v>0</v>
      </c>
      <c r="M215" s="1">
        <f t="shared" si="14"/>
        <v>0</v>
      </c>
      <c r="N215" s="1">
        <f t="shared" si="14"/>
        <v>0</v>
      </c>
      <c r="O215" s="1">
        <f t="shared" si="14"/>
        <v>0</v>
      </c>
      <c r="P215" s="1">
        <f t="shared" si="14"/>
        <v>75.3</v>
      </c>
      <c r="Q215" s="1">
        <f t="shared" si="14"/>
        <v>79.58</v>
      </c>
      <c r="R215" s="1">
        <f t="shared" si="14"/>
        <v>68</v>
      </c>
    </row>
    <row r="216" spans="1:18">
      <c r="A216" s="1" t="str">
        <v>DOGE</v>
      </c>
      <c r="B216" s="1" t="s">
        <v>51</v>
      </c>
      <c r="C216" s="1">
        <f t="shared" ref="C216:R216" si="15">IFERROR(C116*C17, 0)</f>
        <v>140.47999999999999</v>
      </c>
      <c r="D216" s="1">
        <f t="shared" si="15"/>
        <v>192.26</v>
      </c>
      <c r="E216" s="1">
        <f t="shared" si="15"/>
        <v>161.70000000000002</v>
      </c>
      <c r="F216" s="1">
        <f t="shared" si="15"/>
        <v>153.9</v>
      </c>
      <c r="G216" s="1">
        <f t="shared" si="15"/>
        <v>159</v>
      </c>
      <c r="H216" s="1">
        <f t="shared" si="15"/>
        <v>143.30000000000001</v>
      </c>
      <c r="I216" s="1">
        <f t="shared" si="15"/>
        <v>132.92000000000002</v>
      </c>
      <c r="J216" s="1">
        <f t="shared" si="15"/>
        <v>155.72</v>
      </c>
      <c r="K216" s="1">
        <f t="shared" si="15"/>
        <v>127.58</v>
      </c>
      <c r="L216" s="1">
        <f t="shared" si="15"/>
        <v>124.14</v>
      </c>
      <c r="M216" s="1">
        <f t="shared" si="15"/>
        <v>136.54</v>
      </c>
      <c r="N216" s="1">
        <f t="shared" si="15"/>
        <v>166.88</v>
      </c>
      <c r="O216" s="1">
        <f t="shared" si="15"/>
        <v>179.12</v>
      </c>
      <c r="P216" s="1">
        <f t="shared" si="15"/>
        <v>157.48000000000002</v>
      </c>
      <c r="Q216" s="1">
        <f t="shared" si="15"/>
        <v>234.762</v>
      </c>
      <c r="R216" s="1">
        <f t="shared" si="15"/>
        <v>355.666</v>
      </c>
    </row>
    <row r="217" spans="1:18">
      <c r="A217" s="1" t="str">
        <v>DOT</v>
      </c>
      <c r="B217" s="1" t="s">
        <v>15</v>
      </c>
      <c r="C217" s="1">
        <f t="shared" ref="C217:R217" si="16">IFERROR(C117*C18, 0)</f>
        <v>21.7863921828</v>
      </c>
      <c r="D217" s="1">
        <f t="shared" si="16"/>
        <v>31.658035066</v>
      </c>
      <c r="E217" s="1">
        <f t="shared" si="16"/>
        <v>32.108125340900003</v>
      </c>
      <c r="F217" s="1">
        <f t="shared" si="16"/>
        <v>32.077782176300005</v>
      </c>
      <c r="G217" s="1">
        <f t="shared" si="16"/>
        <v>29.721129725699999</v>
      </c>
      <c r="H217" s="1">
        <f t="shared" si="16"/>
        <v>26.878986641500003</v>
      </c>
      <c r="I217" s="1">
        <f t="shared" si="16"/>
        <v>26.196265438000001</v>
      </c>
      <c r="J217" s="1">
        <f t="shared" si="16"/>
        <v>25.837204656900003</v>
      </c>
      <c r="K217" s="1">
        <f t="shared" si="16"/>
        <v>21.599276001100002</v>
      </c>
      <c r="L217" s="1">
        <f t="shared" si="16"/>
        <v>20.754724586400002</v>
      </c>
      <c r="M217" s="1">
        <f t="shared" si="16"/>
        <v>22.494399356800002</v>
      </c>
      <c r="N217" s="1">
        <f t="shared" si="16"/>
        <v>27.678023309300002</v>
      </c>
      <c r="O217" s="1">
        <f t="shared" si="16"/>
        <v>41.484163202299996</v>
      </c>
      <c r="P217" s="1">
        <f t="shared" si="16"/>
        <v>33.645512347299999</v>
      </c>
      <c r="Q217" s="1">
        <f t="shared" si="16"/>
        <v>41.671279384000002</v>
      </c>
      <c r="R217" s="1">
        <f t="shared" si="16"/>
        <v>49.96507770800001</v>
      </c>
    </row>
    <row r="218" spans="1:18">
      <c r="A218" s="1" t="str">
        <v>DYM</v>
      </c>
      <c r="B218" s="1" t="s">
        <v>518</v>
      </c>
      <c r="C218" s="1">
        <f t="shared" ref="C218:R218" si="17">IFERROR(C118*C19, 0)</f>
        <v>0</v>
      </c>
      <c r="D218" s="1">
        <f t="shared" si="17"/>
        <v>0</v>
      </c>
      <c r="E218" s="1">
        <f t="shared" si="17"/>
        <v>0</v>
      </c>
      <c r="F218" s="1">
        <f t="shared" si="17"/>
        <v>0</v>
      </c>
      <c r="G218" s="1">
        <f t="shared" si="17"/>
        <v>0</v>
      </c>
      <c r="H218" s="1">
        <f t="shared" si="17"/>
        <v>0</v>
      </c>
      <c r="I218" s="1">
        <f t="shared" si="17"/>
        <v>0</v>
      </c>
      <c r="J218" s="1">
        <f t="shared" si="17"/>
        <v>0</v>
      </c>
      <c r="K218" s="1">
        <f t="shared" si="17"/>
        <v>0</v>
      </c>
      <c r="L218" s="1">
        <f t="shared" si="17"/>
        <v>0</v>
      </c>
      <c r="M218" s="1">
        <f t="shared" si="17"/>
        <v>0</v>
      </c>
      <c r="N218" s="1">
        <f t="shared" si="17"/>
        <v>0</v>
      </c>
      <c r="O218" s="1">
        <f t="shared" si="17"/>
        <v>0</v>
      </c>
      <c r="P218" s="1">
        <f t="shared" si="17"/>
        <v>0</v>
      </c>
      <c r="Q218" s="1">
        <f t="shared" si="17"/>
        <v>605.62</v>
      </c>
      <c r="R218" s="1">
        <f t="shared" si="17"/>
        <v>648.41999999999996</v>
      </c>
    </row>
    <row r="219" spans="1:18">
      <c r="A219" s="1" t="str">
        <v>ETH</v>
      </c>
      <c r="B219" s="1" t="s">
        <v>23</v>
      </c>
      <c r="C219" s="1">
        <f t="shared" ref="C219:R219" si="18">IFERROR(C119*C20, 0)</f>
        <v>11791.462840965602</v>
      </c>
      <c r="D219" s="1">
        <f t="shared" si="18"/>
        <v>15628.102188758399</v>
      </c>
      <c r="E219" s="1">
        <f t="shared" si="18"/>
        <v>15824.473770268802</v>
      </c>
      <c r="F219" s="1">
        <f t="shared" si="18"/>
        <v>17956.5644153024</v>
      </c>
      <c r="G219" s="1">
        <f t="shared" si="18"/>
        <v>18435.2694352896</v>
      </c>
      <c r="H219" s="1">
        <f t="shared" si="18"/>
        <v>18470.2653747656</v>
      </c>
      <c r="I219" s="1">
        <f t="shared" si="18"/>
        <v>19281.457853856002</v>
      </c>
      <c r="J219" s="1">
        <f t="shared" si="18"/>
        <v>18507.028837665603</v>
      </c>
      <c r="K219" s="1">
        <f t="shared" si="18"/>
        <v>16409.5795284624</v>
      </c>
      <c r="L219" s="1">
        <f t="shared" si="18"/>
        <v>16660.045047796801</v>
      </c>
      <c r="M219" s="1">
        <f t="shared" si="18"/>
        <v>18093.641081630401</v>
      </c>
      <c r="N219" s="1">
        <f t="shared" si="18"/>
        <v>20459.503280183999</v>
      </c>
      <c r="O219" s="1">
        <f t="shared" si="18"/>
        <v>22994.726007494399</v>
      </c>
      <c r="P219" s="1">
        <f t="shared" si="18"/>
        <v>23323.407224628001</v>
      </c>
      <c r="Q219" s="1">
        <f t="shared" si="18"/>
        <v>34848.415103689185</v>
      </c>
      <c r="R219" s="1">
        <f t="shared" si="18"/>
        <v>37811.67846242102</v>
      </c>
    </row>
    <row r="220" spans="1:18">
      <c r="A220" s="1" t="str">
        <v>FIL</v>
      </c>
      <c r="B220" s="1" t="s">
        <v>12</v>
      </c>
      <c r="C220" s="1">
        <f t="shared" ref="C220:R220" si="19">IFERROR(C120*C21, 0)</f>
        <v>39.116999999999997</v>
      </c>
      <c r="D220" s="1">
        <f t="shared" si="19"/>
        <v>67.977000000000004</v>
      </c>
      <c r="E220" s="1">
        <f t="shared" si="19"/>
        <v>84.292000000000002</v>
      </c>
      <c r="F220" s="1">
        <f t="shared" si="19"/>
        <v>73.918000000000006</v>
      </c>
      <c r="G220" s="1">
        <f t="shared" si="19"/>
        <v>70.420999999999992</v>
      </c>
      <c r="H220" s="1">
        <f t="shared" si="19"/>
        <v>61.008999999999993</v>
      </c>
      <c r="I220" s="1">
        <f t="shared" si="19"/>
        <v>51.323999999999998</v>
      </c>
      <c r="J220" s="1">
        <f t="shared" si="19"/>
        <v>55.353999999999999</v>
      </c>
      <c r="K220" s="1">
        <f t="shared" si="19"/>
        <v>41.808</v>
      </c>
      <c r="L220" s="1">
        <f t="shared" si="19"/>
        <v>43.602000000000004</v>
      </c>
      <c r="M220" s="1">
        <f t="shared" si="19"/>
        <v>49.763999999999996</v>
      </c>
      <c r="N220" s="1">
        <f t="shared" si="19"/>
        <v>56.992000000000004</v>
      </c>
      <c r="O220" s="1">
        <f t="shared" si="19"/>
        <v>89.972999999999999</v>
      </c>
      <c r="P220" s="1">
        <f t="shared" si="19"/>
        <v>64.466999999999999</v>
      </c>
      <c r="Q220" s="1">
        <f t="shared" si="19"/>
        <v>325.20000000000005</v>
      </c>
      <c r="R220" s="1">
        <f t="shared" si="19"/>
        <v>376</v>
      </c>
    </row>
    <row r="221" spans="1:18">
      <c r="A221" s="1" t="str">
        <v>FTM</v>
      </c>
      <c r="B221" s="1" t="s">
        <v>72</v>
      </c>
      <c r="C221" s="1">
        <f t="shared" ref="C221:R221" si="20">IFERROR(C121*C22, 0)</f>
        <v>19.120435000000001</v>
      </c>
      <c r="D221" s="1">
        <f t="shared" si="20"/>
        <v>51.344920000000009</v>
      </c>
      <c r="E221" s="1">
        <f t="shared" si="20"/>
        <v>40.976460000000003</v>
      </c>
      <c r="F221" s="1">
        <f t="shared" si="20"/>
        <v>45.500705000000004</v>
      </c>
      <c r="G221" s="1">
        <f t="shared" si="20"/>
        <v>40.440820000000002</v>
      </c>
      <c r="H221" s="1">
        <f t="shared" si="20"/>
        <v>29.881060000000002</v>
      </c>
      <c r="I221" s="1">
        <f t="shared" si="20"/>
        <v>29.115860000000001</v>
      </c>
      <c r="J221" s="1">
        <f t="shared" si="20"/>
        <v>22.468185000000002</v>
      </c>
      <c r="K221" s="1">
        <f t="shared" si="20"/>
        <v>19.14913</v>
      </c>
      <c r="L221" s="1">
        <f t="shared" si="20"/>
        <v>19.05348</v>
      </c>
      <c r="M221" s="1">
        <f t="shared" si="20"/>
        <v>23.032520000000002</v>
      </c>
      <c r="N221" s="1">
        <f t="shared" si="20"/>
        <v>29.048905000000005</v>
      </c>
      <c r="O221" s="1">
        <f t="shared" si="20"/>
        <v>45.347665000000006</v>
      </c>
      <c r="P221" s="1">
        <f t="shared" si="20"/>
        <v>33.707059999999998</v>
      </c>
      <c r="Q221" s="1">
        <f t="shared" si="20"/>
        <v>44.226838300000004</v>
      </c>
      <c r="R221" s="1">
        <f t="shared" si="20"/>
        <v>108.08449999999999</v>
      </c>
    </row>
    <row r="222" spans="1:18">
      <c r="A222" s="1" t="str">
        <v>GALA</v>
      </c>
      <c r="B222" s="1" t="s">
        <v>14</v>
      </c>
      <c r="C222" s="1">
        <f t="shared" ref="C222:R222" si="21">IFERROR(C122*C23, 0)</f>
        <v>30.221968000000004</v>
      </c>
      <c r="D222" s="1">
        <f t="shared" si="21"/>
        <v>101.74016899999999</v>
      </c>
      <c r="E222" s="1">
        <f t="shared" si="21"/>
        <v>67.836438000000001</v>
      </c>
      <c r="F222" s="1">
        <f t="shared" si="21"/>
        <v>75.109414000000001</v>
      </c>
      <c r="G222" s="1">
        <f t="shared" si="21"/>
        <v>69.824916000000002</v>
      </c>
      <c r="H222" s="1">
        <f t="shared" si="21"/>
        <v>54.540981500000001</v>
      </c>
      <c r="I222" s="1">
        <f t="shared" si="21"/>
        <v>44.534681309999996</v>
      </c>
      <c r="J222" s="1">
        <f t="shared" si="21"/>
        <v>41.3157918</v>
      </c>
      <c r="K222" s="1">
        <f t="shared" si="21"/>
        <v>30.292397790000003</v>
      </c>
      <c r="L222" s="1">
        <f t="shared" si="21"/>
        <v>25.732499000000001</v>
      </c>
      <c r="M222" s="1">
        <f t="shared" si="21"/>
        <v>33.714970470000004</v>
      </c>
      <c r="N222" s="1">
        <f t="shared" si="21"/>
        <v>48.38008627</v>
      </c>
      <c r="O222" s="1">
        <f t="shared" si="21"/>
        <v>54.89157299</v>
      </c>
      <c r="P222" s="1">
        <f t="shared" si="21"/>
        <v>40.464006059999996</v>
      </c>
      <c r="Q222" s="1">
        <f t="shared" si="21"/>
        <v>71.775707089999997</v>
      </c>
      <c r="R222" s="1">
        <f t="shared" si="21"/>
        <v>128.111951</v>
      </c>
    </row>
    <row r="223" spans="1:18">
      <c r="A223" s="1" t="str">
        <v>gDAI</v>
      </c>
      <c r="B223" s="1" t="s">
        <v>88</v>
      </c>
      <c r="C223" s="1">
        <f t="shared" ref="C223:R223" si="22">IFERROR(C123*C24, 0)</f>
        <v>0</v>
      </c>
      <c r="D223" s="1">
        <f t="shared" si="22"/>
        <v>0</v>
      </c>
      <c r="E223" s="1">
        <f t="shared" si="22"/>
        <v>0</v>
      </c>
      <c r="F223" s="1">
        <f t="shared" si="22"/>
        <v>0</v>
      </c>
      <c r="G223" s="1">
        <f t="shared" si="22"/>
        <v>0</v>
      </c>
      <c r="H223" s="1">
        <f t="shared" si="22"/>
        <v>0</v>
      </c>
      <c r="I223" s="1">
        <f t="shared" si="22"/>
        <v>0</v>
      </c>
      <c r="J223" s="1">
        <f t="shared" si="22"/>
        <v>0</v>
      </c>
      <c r="K223" s="1">
        <f t="shared" si="22"/>
        <v>0</v>
      </c>
      <c r="L223" s="1">
        <f t="shared" si="22"/>
        <v>0</v>
      </c>
      <c r="M223" s="1">
        <f t="shared" si="22"/>
        <v>0</v>
      </c>
      <c r="N223" s="1">
        <f t="shared" si="22"/>
        <v>0</v>
      </c>
      <c r="O223" s="1">
        <f t="shared" si="22"/>
        <v>0</v>
      </c>
      <c r="P223" s="1">
        <f t="shared" si="22"/>
        <v>1613.0663999999999</v>
      </c>
      <c r="Q223" s="1">
        <f t="shared" si="22"/>
        <v>1613.0663999999999</v>
      </c>
      <c r="R223" s="1">
        <f t="shared" si="22"/>
        <v>1613.0663999999999</v>
      </c>
    </row>
    <row r="224" spans="1:18">
      <c r="A224" s="1" t="str">
        <v>GLP</v>
      </c>
      <c r="B224" s="1" t="s">
        <v>93</v>
      </c>
      <c r="C224" s="1">
        <f t="shared" ref="C224:R224" si="23">IFERROR(C124*C25, 0)</f>
        <v>0</v>
      </c>
      <c r="D224" s="1">
        <f t="shared" si="23"/>
        <v>0</v>
      </c>
      <c r="E224" s="1">
        <f t="shared" si="23"/>
        <v>0</v>
      </c>
      <c r="F224" s="1">
        <f t="shared" si="23"/>
        <v>0</v>
      </c>
      <c r="G224" s="1">
        <f t="shared" si="23"/>
        <v>0</v>
      </c>
      <c r="H224" s="1">
        <f t="shared" si="23"/>
        <v>0</v>
      </c>
      <c r="I224" s="1">
        <f t="shared" si="23"/>
        <v>0</v>
      </c>
      <c r="J224" s="1">
        <f t="shared" si="23"/>
        <v>0</v>
      </c>
      <c r="K224" s="1">
        <f t="shared" si="23"/>
        <v>0</v>
      </c>
      <c r="L224" s="1">
        <f t="shared" si="23"/>
        <v>0</v>
      </c>
      <c r="M224" s="1">
        <f t="shared" si="23"/>
        <v>2223.3040000000001</v>
      </c>
      <c r="N224" s="1">
        <f t="shared" si="23"/>
        <v>2278.8865999999998</v>
      </c>
      <c r="O224" s="1">
        <f t="shared" si="23"/>
        <v>2501.2170000000001</v>
      </c>
      <c r="P224" s="1">
        <f t="shared" si="23"/>
        <v>2445.6343999999999</v>
      </c>
      <c r="Q224" s="1">
        <f t="shared" si="23"/>
        <v>2556.7996000000003</v>
      </c>
      <c r="R224" s="1">
        <f t="shared" si="23"/>
        <v>2662.4065399999999</v>
      </c>
    </row>
    <row r="225" spans="1:18">
      <c r="A225" s="1" t="str">
        <v>HIGH</v>
      </c>
      <c r="B225" s="1" t="s">
        <v>9</v>
      </c>
      <c r="C225" s="1">
        <f t="shared" ref="C225:R225" si="24">IFERROR(C125*C26, 0)</f>
        <v>44.176895371622997</v>
      </c>
      <c r="D225" s="1">
        <f t="shared" si="24"/>
        <v>177.68695842267999</v>
      </c>
      <c r="E225" s="1">
        <f t="shared" si="24"/>
        <v>139.73610214539499</v>
      </c>
      <c r="F225" s="1">
        <f t="shared" si="24"/>
        <v>107.97630721472699</v>
      </c>
      <c r="G225" s="1">
        <f t="shared" si="24"/>
        <v>101.48543660193</v>
      </c>
      <c r="H225" s="1">
        <f t="shared" si="24"/>
        <v>98.872099165060988</v>
      </c>
      <c r="I225" s="1">
        <f t="shared" si="24"/>
        <v>61.056157057557002</v>
      </c>
      <c r="J225" s="1">
        <f t="shared" si="24"/>
        <v>59.067422258562992</v>
      </c>
      <c r="K225" s="1">
        <f t="shared" si="24"/>
        <v>57.293550766998003</v>
      </c>
      <c r="L225" s="1">
        <f t="shared" si="24"/>
        <v>62.590181136177996</v>
      </c>
      <c r="M225" s="1">
        <f t="shared" si="24"/>
        <v>64.703836462746992</v>
      </c>
      <c r="N225" s="1">
        <f t="shared" si="24"/>
        <v>68.771248840588996</v>
      </c>
      <c r="O225" s="1">
        <f t="shared" si="24"/>
        <v>79.954134469102996</v>
      </c>
      <c r="P225" s="1">
        <f t="shared" si="24"/>
        <v>71.694389185844003</v>
      </c>
      <c r="Q225" s="1">
        <f t="shared" si="24"/>
        <v>96.938329398199997</v>
      </c>
      <c r="R225" s="1">
        <f t="shared" si="24"/>
        <v>103.9338789424</v>
      </c>
    </row>
    <row r="226" spans="1:18">
      <c r="A226" s="1" t="str">
        <v>ICP</v>
      </c>
      <c r="B226" s="1" t="s">
        <v>372</v>
      </c>
      <c r="C226" s="1">
        <f t="shared" ref="C226:R226" si="25">IFERROR(C126*C27, 0)</f>
        <v>0</v>
      </c>
      <c r="D226" s="1">
        <f t="shared" si="25"/>
        <v>0</v>
      </c>
      <c r="E226" s="1">
        <f t="shared" si="25"/>
        <v>0</v>
      </c>
      <c r="F226" s="1">
        <f t="shared" si="25"/>
        <v>0</v>
      </c>
      <c r="G226" s="1">
        <f t="shared" si="25"/>
        <v>0</v>
      </c>
      <c r="H226" s="1">
        <f t="shared" si="25"/>
        <v>0</v>
      </c>
      <c r="I226" s="1">
        <f t="shared" si="25"/>
        <v>0</v>
      </c>
      <c r="J226" s="1">
        <f t="shared" si="25"/>
        <v>0</v>
      </c>
      <c r="K226" s="1">
        <f t="shared" si="25"/>
        <v>0</v>
      </c>
      <c r="L226" s="1">
        <f t="shared" si="25"/>
        <v>0</v>
      </c>
      <c r="M226" s="1">
        <f t="shared" si="25"/>
        <v>0</v>
      </c>
      <c r="N226" s="1">
        <f t="shared" si="25"/>
        <v>0</v>
      </c>
      <c r="O226" s="1">
        <f t="shared" si="25"/>
        <v>0</v>
      </c>
      <c r="P226" s="1">
        <f t="shared" si="25"/>
        <v>114.5853</v>
      </c>
      <c r="Q226" s="1">
        <f t="shared" si="25"/>
        <v>252.12599999999998</v>
      </c>
      <c r="R226" s="1">
        <f t="shared" si="25"/>
        <v>367.18349999999998</v>
      </c>
    </row>
    <row r="227" spans="1:18">
      <c r="A227" s="1" t="str">
        <v>LINK</v>
      </c>
      <c r="B227" s="1" t="s">
        <v>49</v>
      </c>
      <c r="C227" s="1">
        <f t="shared" ref="C227:R227" si="26">IFERROR(C127*C28, 0)</f>
        <v>168.78108170000002</v>
      </c>
      <c r="D227" s="1">
        <f t="shared" si="26"/>
        <v>211.2036157</v>
      </c>
      <c r="E227" s="1">
        <f t="shared" si="26"/>
        <v>217.8700139</v>
      </c>
      <c r="F227" s="1">
        <f t="shared" si="26"/>
        <v>229.9907379</v>
      </c>
      <c r="G227" s="1">
        <f t="shared" si="26"/>
        <v>213.62776049999999</v>
      </c>
      <c r="H227" s="1">
        <f t="shared" si="26"/>
        <v>197.26478309999999</v>
      </c>
      <c r="I227" s="1">
        <f t="shared" si="26"/>
        <v>190.90140299999999</v>
      </c>
      <c r="J227" s="1">
        <f t="shared" si="26"/>
        <v>227.263575</v>
      </c>
      <c r="K227" s="1">
        <f t="shared" si="26"/>
        <v>177.87162470000001</v>
      </c>
      <c r="L227" s="1">
        <f t="shared" si="26"/>
        <v>247.26276960000001</v>
      </c>
      <c r="M227" s="1">
        <f t="shared" si="26"/>
        <v>344.22856159999998</v>
      </c>
      <c r="N227" s="1">
        <f t="shared" si="26"/>
        <v>433.61890110000002</v>
      </c>
      <c r="O227" s="1">
        <f t="shared" si="26"/>
        <v>451.1939509</v>
      </c>
      <c r="P227" s="1">
        <f t="shared" si="26"/>
        <v>771.7191464</v>
      </c>
      <c r="Q227" s="1">
        <f t="shared" si="26"/>
        <v>1356.3898425</v>
      </c>
      <c r="R227" s="1">
        <f t="shared" si="26"/>
        <v>1378.9376216999999</v>
      </c>
    </row>
    <row r="228" spans="1:18">
      <c r="A228" s="1" t="str">
        <v>liveTHE</v>
      </c>
      <c r="B228" s="1" t="s">
        <v>365</v>
      </c>
      <c r="C228" s="1">
        <f t="shared" ref="C228:R228" si="27">IFERROR(C128*C29, 0)</f>
        <v>0</v>
      </c>
      <c r="D228" s="1">
        <f t="shared" si="27"/>
        <v>0</v>
      </c>
      <c r="E228" s="1">
        <f t="shared" si="27"/>
        <v>0</v>
      </c>
      <c r="F228" s="1">
        <f t="shared" si="27"/>
        <v>0</v>
      </c>
      <c r="G228" s="1">
        <f t="shared" si="27"/>
        <v>0</v>
      </c>
      <c r="H228" s="1">
        <f t="shared" si="27"/>
        <v>0</v>
      </c>
      <c r="I228" s="1">
        <f t="shared" si="27"/>
        <v>0</v>
      </c>
      <c r="J228" s="1">
        <f t="shared" si="27"/>
        <v>0</v>
      </c>
      <c r="K228" s="1">
        <f t="shared" si="27"/>
        <v>0</v>
      </c>
      <c r="L228" s="1">
        <f t="shared" si="27"/>
        <v>0</v>
      </c>
      <c r="M228" s="1">
        <f t="shared" si="27"/>
        <v>0</v>
      </c>
      <c r="N228" s="1">
        <f t="shared" si="27"/>
        <v>202.73461560000001</v>
      </c>
      <c r="O228" s="1">
        <f t="shared" si="27"/>
        <v>333.31318019999998</v>
      </c>
      <c r="P228" s="1">
        <f t="shared" si="27"/>
        <v>245.06818776000003</v>
      </c>
      <c r="Q228" s="1">
        <f t="shared" si="27"/>
        <v>326.72472228000004</v>
      </c>
      <c r="R228" s="1">
        <f t="shared" si="27"/>
        <v>695.65561560000003</v>
      </c>
    </row>
    <row r="229" spans="1:18">
      <c r="A229" s="1" t="str">
        <v>MAGIC</v>
      </c>
      <c r="B229" s="1" t="s">
        <v>54</v>
      </c>
      <c r="C229" s="1">
        <f t="shared" ref="C229:R229" si="28">IFERROR(C129*C30, 0)</f>
        <v>49.080870000000004</v>
      </c>
      <c r="D229" s="1">
        <f t="shared" si="28"/>
        <v>132.87699000000001</v>
      </c>
      <c r="E229" s="1">
        <f t="shared" si="28"/>
        <v>150.25959</v>
      </c>
      <c r="F229" s="1">
        <f t="shared" si="28"/>
        <v>140.85900000000001</v>
      </c>
      <c r="G229" s="1">
        <f t="shared" si="28"/>
        <v>115.97391000000002</v>
      </c>
      <c r="H229" s="1">
        <f t="shared" si="28"/>
        <v>94.785120000000006</v>
      </c>
      <c r="I229" s="1">
        <f t="shared" si="28"/>
        <v>87.66225</v>
      </c>
      <c r="J229" s="1">
        <f t="shared" si="28"/>
        <v>74.105820000000008</v>
      </c>
      <c r="K229" s="1">
        <f t="shared" si="28"/>
        <v>49.46049</v>
      </c>
      <c r="L229" s="1">
        <f t="shared" si="28"/>
        <v>54.035910000000008</v>
      </c>
      <c r="M229" s="1">
        <f t="shared" si="28"/>
        <v>57.472470000000008</v>
      </c>
      <c r="N229" s="1">
        <f t="shared" si="28"/>
        <v>78.101820000000004</v>
      </c>
      <c r="O229" s="1">
        <f t="shared" si="28"/>
        <v>107.63226</v>
      </c>
      <c r="P229" s="1">
        <f t="shared" si="28"/>
        <v>119.55033000000002</v>
      </c>
      <c r="Q229" s="1">
        <f t="shared" si="28"/>
        <v>119.88</v>
      </c>
      <c r="R229" s="1">
        <f t="shared" si="28"/>
        <v>120.879</v>
      </c>
    </row>
    <row r="230" spans="1:18">
      <c r="A230" s="1" t="str">
        <v>MANTA</v>
      </c>
      <c r="B230" s="1" t="s">
        <v>368</v>
      </c>
      <c r="C230" s="1">
        <f t="shared" ref="C230:R230" si="29">IFERROR(C130*C31, 0)</f>
        <v>0</v>
      </c>
      <c r="D230" s="1">
        <f t="shared" si="29"/>
        <v>0</v>
      </c>
      <c r="E230" s="1">
        <f t="shared" si="29"/>
        <v>0</v>
      </c>
      <c r="F230" s="1">
        <f t="shared" si="29"/>
        <v>0</v>
      </c>
      <c r="G230" s="1">
        <f t="shared" si="29"/>
        <v>0</v>
      </c>
      <c r="H230" s="1">
        <f t="shared" si="29"/>
        <v>0</v>
      </c>
      <c r="I230" s="1">
        <f t="shared" si="29"/>
        <v>0</v>
      </c>
      <c r="J230" s="1">
        <f t="shared" si="29"/>
        <v>0</v>
      </c>
      <c r="K230" s="1">
        <f t="shared" si="29"/>
        <v>0</v>
      </c>
      <c r="L230" s="1">
        <f t="shared" si="29"/>
        <v>0</v>
      </c>
      <c r="M230" s="1">
        <f t="shared" si="29"/>
        <v>0</v>
      </c>
      <c r="N230" s="1">
        <f t="shared" si="29"/>
        <v>0</v>
      </c>
      <c r="O230" s="1">
        <f t="shared" si="29"/>
        <v>0</v>
      </c>
      <c r="P230" s="1">
        <f t="shared" si="29"/>
        <v>383.4511</v>
      </c>
      <c r="Q230" s="1">
        <f t="shared" si="29"/>
        <v>337.82</v>
      </c>
      <c r="R230" s="1">
        <f t="shared" si="29"/>
        <v>410.21</v>
      </c>
    </row>
    <row r="231" spans="1:18">
      <c r="A231" s="1" t="str">
        <v>MATIC</v>
      </c>
      <c r="B231" s="1" t="s">
        <v>50</v>
      </c>
      <c r="C231" s="1">
        <f t="shared" ref="C231:R231" si="30">IFERROR(C131*C32, 0)</f>
        <v>152.1</v>
      </c>
      <c r="D231" s="1">
        <f t="shared" si="30"/>
        <v>222.5</v>
      </c>
      <c r="E231" s="1">
        <f t="shared" si="30"/>
        <v>240.24</v>
      </c>
      <c r="F231" s="1">
        <f t="shared" si="30"/>
        <v>224.7</v>
      </c>
      <c r="G231" s="1">
        <f t="shared" si="30"/>
        <v>196.68</v>
      </c>
      <c r="H231" s="1">
        <f t="shared" si="30"/>
        <v>177.58</v>
      </c>
      <c r="I231" s="1">
        <f t="shared" si="30"/>
        <v>132.24</v>
      </c>
      <c r="J231" s="1">
        <f t="shared" si="30"/>
        <v>138.17999999999998</v>
      </c>
      <c r="K231" s="1">
        <f t="shared" si="30"/>
        <v>109.75999999999999</v>
      </c>
      <c r="L231" s="1">
        <f t="shared" si="30"/>
        <v>106.28</v>
      </c>
      <c r="M231" s="1">
        <f t="shared" si="30"/>
        <v>126.2</v>
      </c>
      <c r="N231" s="1">
        <f t="shared" si="30"/>
        <v>152.85999999999999</v>
      </c>
      <c r="O231" s="1">
        <f t="shared" si="30"/>
        <v>194.28</v>
      </c>
      <c r="P231" s="1">
        <f t="shared" si="30"/>
        <v>156.82</v>
      </c>
      <c r="Q231" s="1">
        <f t="shared" si="30"/>
        <v>529.82880999999998</v>
      </c>
      <c r="R231" s="1">
        <f t="shared" si="30"/>
        <v>960.78835060000006</v>
      </c>
    </row>
    <row r="232" spans="1:18">
      <c r="A232" s="1" t="str">
        <v>MNT</v>
      </c>
      <c r="B232" s="1" t="s">
        <v>25</v>
      </c>
      <c r="C232" s="1">
        <f t="shared" ref="C232:R232" si="31">IFERROR(C132*C33, 0)</f>
        <v>0</v>
      </c>
      <c r="D232" s="1">
        <f t="shared" si="31"/>
        <v>0</v>
      </c>
      <c r="E232" s="1">
        <f t="shared" si="31"/>
        <v>0</v>
      </c>
      <c r="F232" s="1">
        <f t="shared" si="31"/>
        <v>0</v>
      </c>
      <c r="G232" s="1">
        <f t="shared" si="31"/>
        <v>0</v>
      </c>
      <c r="H232" s="1">
        <f t="shared" si="31"/>
        <v>0</v>
      </c>
      <c r="I232" s="1">
        <f t="shared" si="31"/>
        <v>420.35642058427197</v>
      </c>
      <c r="J232" s="1">
        <f t="shared" si="31"/>
        <v>461.34294974868601</v>
      </c>
      <c r="K232" s="1">
        <f t="shared" si="31"/>
        <v>397.86272887364998</v>
      </c>
      <c r="L232" s="1">
        <f t="shared" si="31"/>
        <v>354.92022651700802</v>
      </c>
      <c r="M232" s="1">
        <f t="shared" si="31"/>
        <v>338.73899374493999</v>
      </c>
      <c r="N232" s="1">
        <f t="shared" si="31"/>
        <v>478.502169116868</v>
      </c>
      <c r="O232" s="1">
        <f t="shared" si="31"/>
        <v>572.29997447143808</v>
      </c>
      <c r="P232" s="1">
        <f t="shared" si="31"/>
        <v>516.11019913106998</v>
      </c>
      <c r="Q232" s="1">
        <f t="shared" si="31"/>
        <v>798.23977237803672</v>
      </c>
      <c r="R232" s="1">
        <f t="shared" si="31"/>
        <v>771.10775696566316</v>
      </c>
    </row>
    <row r="233" spans="1:18">
      <c r="A233" s="1" t="str">
        <v>NEAR</v>
      </c>
      <c r="B233" s="1" t="s">
        <v>48</v>
      </c>
      <c r="C233" s="1">
        <f t="shared" ref="C233:R233" si="32">IFERROR(C133*C34, 0)</f>
        <v>488.47185901968004</v>
      </c>
      <c r="D233" s="1">
        <f t="shared" si="32"/>
        <v>904.99523562006004</v>
      </c>
      <c r="E233" s="1">
        <f t="shared" si="32"/>
        <v>867.2708961894001</v>
      </c>
      <c r="F233" s="1">
        <f t="shared" si="32"/>
        <v>773.93232440220004</v>
      </c>
      <c r="G233" s="1">
        <f t="shared" si="32"/>
        <v>750.20877073962004</v>
      </c>
      <c r="H233" s="1">
        <f t="shared" si="32"/>
        <v>609.03418091148012</v>
      </c>
      <c r="I233" s="1">
        <f t="shared" si="32"/>
        <v>538.64134135530003</v>
      </c>
      <c r="J233" s="1">
        <f t="shared" si="32"/>
        <v>533.19659133438006</v>
      </c>
      <c r="K233" s="1">
        <f t="shared" si="32"/>
        <v>449.19187672590004</v>
      </c>
      <c r="L233" s="1">
        <f t="shared" si="32"/>
        <v>441.02475169451998</v>
      </c>
      <c r="M233" s="1">
        <f t="shared" si="32"/>
        <v>518.02907341896002</v>
      </c>
      <c r="N233" s="1">
        <f t="shared" si="32"/>
        <v>730.76323495062002</v>
      </c>
      <c r="O233" s="1">
        <f t="shared" si="32"/>
        <v>1419.9130233127801</v>
      </c>
      <c r="P233" s="1">
        <f t="shared" si="32"/>
        <v>1097.8949506469401</v>
      </c>
      <c r="Q233" s="1">
        <f t="shared" si="32"/>
        <v>1505.0844700686002</v>
      </c>
      <c r="R233" s="1">
        <f t="shared" si="32"/>
        <v>3010.1689401372005</v>
      </c>
    </row>
    <row r="234" spans="1:18">
      <c r="A234" s="1" t="str">
        <v>NFP</v>
      </c>
      <c r="B234" s="1" t="s">
        <v>370</v>
      </c>
      <c r="C234" s="1">
        <f t="shared" ref="C234:R234" si="33">IFERROR(C134*C35, 0)</f>
        <v>0</v>
      </c>
      <c r="D234" s="1">
        <f t="shared" si="33"/>
        <v>0</v>
      </c>
      <c r="E234" s="1">
        <f t="shared" si="33"/>
        <v>0</v>
      </c>
      <c r="F234" s="1">
        <f t="shared" si="33"/>
        <v>0</v>
      </c>
      <c r="G234" s="1">
        <f t="shared" si="33"/>
        <v>0</v>
      </c>
      <c r="H234" s="1">
        <f t="shared" si="33"/>
        <v>0</v>
      </c>
      <c r="I234" s="1">
        <f t="shared" si="33"/>
        <v>0</v>
      </c>
      <c r="J234" s="1">
        <f t="shared" si="33"/>
        <v>0</v>
      </c>
      <c r="K234" s="1">
        <f t="shared" si="33"/>
        <v>0</v>
      </c>
      <c r="L234" s="1">
        <f t="shared" si="33"/>
        <v>0</v>
      </c>
      <c r="M234" s="1">
        <f t="shared" si="33"/>
        <v>0</v>
      </c>
      <c r="N234" s="1">
        <f t="shared" si="33"/>
        <v>0</v>
      </c>
      <c r="O234" s="1">
        <f t="shared" si="33"/>
        <v>0</v>
      </c>
      <c r="P234" s="1">
        <f t="shared" si="33"/>
        <v>0</v>
      </c>
      <c r="Q234" s="1">
        <f t="shared" si="33"/>
        <v>0</v>
      </c>
      <c r="R234" s="1">
        <f t="shared" si="33"/>
        <v>0</v>
      </c>
    </row>
    <row r="235" spans="1:18">
      <c r="A235" s="1" t="str">
        <v>NTRN</v>
      </c>
      <c r="B235" s="1" t="s">
        <v>351</v>
      </c>
      <c r="C235" s="1">
        <f t="shared" ref="C235:R235" si="34">IFERROR(C135*C36, 0)</f>
        <v>0</v>
      </c>
      <c r="D235" s="1">
        <f t="shared" si="34"/>
        <v>0</v>
      </c>
      <c r="E235" s="1">
        <f t="shared" si="34"/>
        <v>0</v>
      </c>
      <c r="F235" s="1">
        <f t="shared" si="34"/>
        <v>0</v>
      </c>
      <c r="G235" s="1">
        <f t="shared" si="34"/>
        <v>0</v>
      </c>
      <c r="H235" s="1">
        <f t="shared" si="34"/>
        <v>0</v>
      </c>
      <c r="I235" s="1">
        <f t="shared" si="34"/>
        <v>0</v>
      </c>
      <c r="J235" s="1">
        <f t="shared" si="34"/>
        <v>0</v>
      </c>
      <c r="K235" s="1">
        <f t="shared" si="34"/>
        <v>0</v>
      </c>
      <c r="L235" s="1">
        <f t="shared" si="34"/>
        <v>0</v>
      </c>
      <c r="M235" s="1">
        <f t="shared" si="34"/>
        <v>0</v>
      </c>
      <c r="N235" s="1">
        <f t="shared" si="34"/>
        <v>0</v>
      </c>
      <c r="O235" s="1">
        <f t="shared" si="34"/>
        <v>0</v>
      </c>
      <c r="P235" s="1">
        <f t="shared" si="34"/>
        <v>107.64224999999999</v>
      </c>
      <c r="Q235" s="1">
        <f t="shared" si="34"/>
        <v>388.65599999999995</v>
      </c>
      <c r="R235" s="1">
        <f t="shared" si="34"/>
        <v>353.56899999999996</v>
      </c>
    </row>
    <row r="236" spans="1:18">
      <c r="A236" s="1" t="str">
        <v>OP</v>
      </c>
      <c r="B236" s="1" t="s">
        <v>53</v>
      </c>
      <c r="C236" s="1">
        <f t="shared" ref="C236:R236" si="35">IFERROR(C136*C37, 0)</f>
        <v>51.209508</v>
      </c>
      <c r="D236" s="1">
        <f t="shared" si="35"/>
        <v>121.60300599999999</v>
      </c>
      <c r="E236" s="1">
        <f t="shared" si="35"/>
        <v>150.90473300000002</v>
      </c>
      <c r="F236" s="1">
        <f t="shared" si="35"/>
        <v>128.23630400000002</v>
      </c>
      <c r="G236" s="1">
        <f t="shared" si="35"/>
        <v>122.57618800000002</v>
      </c>
      <c r="H236" s="1">
        <f t="shared" si="35"/>
        <v>77.412713000000011</v>
      </c>
      <c r="I236" s="1">
        <f t="shared" si="35"/>
        <v>74.605027000000007</v>
      </c>
      <c r="J236" s="1">
        <f t="shared" si="35"/>
        <v>90.338135999999992</v>
      </c>
      <c r="K236" s="1">
        <f t="shared" si="35"/>
        <v>77.860152999999997</v>
      </c>
      <c r="L236" s="1">
        <f t="shared" si="35"/>
        <v>75.410419000000005</v>
      </c>
      <c r="M236" s="1">
        <f t="shared" si="35"/>
        <v>77.569316999999998</v>
      </c>
      <c r="N236" s="1">
        <f t="shared" si="35"/>
        <v>93.369541999999996</v>
      </c>
      <c r="O236" s="1">
        <f t="shared" si="35"/>
        <v>208.070786</v>
      </c>
      <c r="P236" s="1">
        <f t="shared" si="35"/>
        <v>161.850234</v>
      </c>
      <c r="Q236" s="1">
        <f t="shared" si="35"/>
        <v>206.3817</v>
      </c>
      <c r="R236" s="1">
        <f t="shared" si="35"/>
        <v>215.88979999999998</v>
      </c>
    </row>
    <row r="237" spans="1:18">
      <c r="A237" s="1" t="str">
        <v>OSMO</v>
      </c>
      <c r="B237" s="1" t="s">
        <v>56</v>
      </c>
      <c r="C237" s="1">
        <f t="shared" ref="C237:R237" si="36">IFERROR(C137*C38, 0)</f>
        <v>387.60250000000002</v>
      </c>
      <c r="D237" s="1">
        <f t="shared" si="36"/>
        <v>554.44749999999999</v>
      </c>
      <c r="E237" s="1">
        <f t="shared" si="36"/>
        <v>534.01749999999993</v>
      </c>
      <c r="F237" s="1">
        <f t="shared" si="36"/>
        <v>454.56750000000005</v>
      </c>
      <c r="G237" s="1">
        <f t="shared" si="36"/>
        <v>434.70499999999998</v>
      </c>
      <c r="H237" s="1">
        <f t="shared" si="36"/>
        <v>314.96250000000003</v>
      </c>
      <c r="I237" s="1">
        <f t="shared" si="36"/>
        <v>280.34499999999997</v>
      </c>
      <c r="J237" s="1">
        <f t="shared" si="36"/>
        <v>271.83249999999998</v>
      </c>
      <c r="K237" s="1">
        <f t="shared" si="36"/>
        <v>205.435</v>
      </c>
      <c r="L237" s="1">
        <f t="shared" si="36"/>
        <v>177.6275</v>
      </c>
      <c r="M237" s="1">
        <f t="shared" si="36"/>
        <v>204.47024999999999</v>
      </c>
      <c r="N237" s="1">
        <f t="shared" si="36"/>
        <v>392.53974999999997</v>
      </c>
      <c r="O237" s="1">
        <f t="shared" si="36"/>
        <v>859.19500000000005</v>
      </c>
      <c r="P237" s="1">
        <f t="shared" si="36"/>
        <v>907.4325</v>
      </c>
      <c r="Q237" s="1">
        <f t="shared" si="36"/>
        <v>890.97500000000002</v>
      </c>
      <c r="R237" s="1">
        <f t="shared" si="36"/>
        <v>777.47500000000002</v>
      </c>
    </row>
    <row r="238" spans="1:18">
      <c r="A238" s="1" t="str">
        <v>Pendle</v>
      </c>
      <c r="B238" s="1" t="s">
        <v>525</v>
      </c>
      <c r="C238" s="1">
        <f t="shared" ref="C238:R238" si="37">IFERROR(C138*C39, 0)</f>
        <v>0</v>
      </c>
      <c r="D238" s="1">
        <f t="shared" si="37"/>
        <v>0</v>
      </c>
      <c r="E238" s="1">
        <f t="shared" si="37"/>
        <v>0</v>
      </c>
      <c r="F238" s="1">
        <f t="shared" si="37"/>
        <v>0</v>
      </c>
      <c r="G238" s="1">
        <f t="shared" si="37"/>
        <v>0</v>
      </c>
      <c r="H238" s="1">
        <f t="shared" si="37"/>
        <v>0</v>
      </c>
      <c r="I238" s="1">
        <f t="shared" si="37"/>
        <v>0</v>
      </c>
      <c r="J238" s="1">
        <f t="shared" si="37"/>
        <v>0</v>
      </c>
      <c r="K238" s="1">
        <f t="shared" si="37"/>
        <v>0</v>
      </c>
      <c r="L238" s="1">
        <f t="shared" si="37"/>
        <v>0</v>
      </c>
      <c r="M238" s="1">
        <f t="shared" si="37"/>
        <v>0</v>
      </c>
      <c r="N238" s="1">
        <f t="shared" si="37"/>
        <v>0</v>
      </c>
      <c r="O238" s="1">
        <f t="shared" si="37"/>
        <v>0</v>
      </c>
      <c r="P238" s="1">
        <f t="shared" si="37"/>
        <v>0</v>
      </c>
      <c r="Q238" s="1">
        <f t="shared" si="37"/>
        <v>101.87840000000001</v>
      </c>
      <c r="R238" s="1">
        <f t="shared" si="37"/>
        <v>127.99280000000002</v>
      </c>
    </row>
    <row r="239" spans="1:18">
      <c r="A239" s="1" t="str">
        <v>PIXEL</v>
      </c>
      <c r="C239" s="1">
        <f t="shared" ref="C239:R239" si="38">IFERROR(C139*C40, 0)</f>
        <v>0</v>
      </c>
      <c r="D239" s="1">
        <f t="shared" si="38"/>
        <v>0</v>
      </c>
      <c r="E239" s="1">
        <f t="shared" si="38"/>
        <v>0</v>
      </c>
      <c r="F239" s="1">
        <f t="shared" si="38"/>
        <v>0</v>
      </c>
      <c r="G239" s="1">
        <f t="shared" si="38"/>
        <v>0</v>
      </c>
      <c r="H239" s="1">
        <f t="shared" si="38"/>
        <v>0</v>
      </c>
      <c r="I239" s="1">
        <f t="shared" si="38"/>
        <v>0</v>
      </c>
      <c r="J239" s="1">
        <f t="shared" si="38"/>
        <v>0</v>
      </c>
      <c r="K239" s="1">
        <f t="shared" si="38"/>
        <v>0</v>
      </c>
      <c r="L239" s="1">
        <f t="shared" si="38"/>
        <v>0</v>
      </c>
      <c r="M239" s="1">
        <f t="shared" si="38"/>
        <v>0</v>
      </c>
      <c r="N239" s="1">
        <f t="shared" si="38"/>
        <v>0</v>
      </c>
      <c r="O239" s="1">
        <f t="shared" si="38"/>
        <v>0</v>
      </c>
      <c r="P239" s="1">
        <f t="shared" si="38"/>
        <v>0</v>
      </c>
      <c r="Q239" s="1">
        <f t="shared" si="38"/>
        <v>0</v>
      </c>
      <c r="R239" s="1">
        <f t="shared" si="38"/>
        <v>0</v>
      </c>
    </row>
    <row r="240" spans="1:18">
      <c r="A240" s="1" t="str">
        <v>SAND</v>
      </c>
      <c r="B240" s="1" t="s">
        <v>11</v>
      </c>
      <c r="C240" s="1">
        <f t="shared" ref="C240:R240" si="39">IFERROR(C140*C41, 0)</f>
        <v>59.514000000000003</v>
      </c>
      <c r="D240" s="1">
        <f t="shared" si="39"/>
        <v>114.2076</v>
      </c>
      <c r="E240" s="1">
        <f t="shared" si="39"/>
        <v>106.81319999999999</v>
      </c>
      <c r="F240" s="1">
        <f t="shared" si="39"/>
        <v>97.889999999999986</v>
      </c>
      <c r="G240" s="1">
        <f t="shared" si="39"/>
        <v>90.558000000000007</v>
      </c>
      <c r="H240" s="1">
        <f t="shared" si="39"/>
        <v>82.773599999999988</v>
      </c>
      <c r="I240" s="1">
        <f t="shared" si="39"/>
        <v>64.880399999999995</v>
      </c>
      <c r="J240" s="1">
        <f t="shared" si="39"/>
        <v>66.097200000000001</v>
      </c>
      <c r="K240" s="1">
        <f t="shared" si="39"/>
        <v>48.048000000000002</v>
      </c>
      <c r="L240" s="1">
        <f t="shared" si="39"/>
        <v>48.313199999999995</v>
      </c>
      <c r="M240" s="1">
        <f t="shared" si="39"/>
        <v>53.632799999999996</v>
      </c>
      <c r="N240" s="1">
        <f t="shared" si="39"/>
        <v>63.476399999999998</v>
      </c>
      <c r="O240" s="1">
        <f t="shared" si="39"/>
        <v>92.398800000000008</v>
      </c>
      <c r="P240" s="1">
        <f t="shared" si="39"/>
        <v>68.265599999999992</v>
      </c>
      <c r="Q240" s="1">
        <f t="shared" si="39"/>
        <v>94.841448</v>
      </c>
      <c r="R240" s="1">
        <f t="shared" si="39"/>
        <v>110.74190399999999</v>
      </c>
    </row>
    <row r="241" spans="1:18">
      <c r="A241" s="1" t="str">
        <v>SOL</v>
      </c>
      <c r="B241" s="1" t="s">
        <v>7</v>
      </c>
      <c r="C241" s="1">
        <f t="shared" ref="C241:R241" si="40">IFERROR(C141*C42, 0)</f>
        <v>51.008248000400002</v>
      </c>
      <c r="D241" s="1">
        <f t="shared" si="40"/>
        <v>122.43002754759999</v>
      </c>
      <c r="E241" s="1">
        <f t="shared" si="40"/>
        <v>111.9418722416</v>
      </c>
      <c r="F241" s="1">
        <f t="shared" si="40"/>
        <v>108.20706571799998</v>
      </c>
      <c r="G241" s="1">
        <f t="shared" si="40"/>
        <v>116.29061956359999</v>
      </c>
      <c r="H241" s="1">
        <f t="shared" si="40"/>
        <v>106.5187285224</v>
      </c>
      <c r="I241" s="1">
        <f t="shared" si="40"/>
        <v>96.439867082000006</v>
      </c>
      <c r="J241" s="1">
        <f t="shared" si="40"/>
        <v>121.35563115039999</v>
      </c>
      <c r="K241" s="1">
        <f t="shared" si="40"/>
        <v>100.99326133679999</v>
      </c>
      <c r="L241" s="1">
        <f t="shared" si="40"/>
        <v>109.3326238484</v>
      </c>
      <c r="M241" s="1">
        <f t="shared" si="40"/>
        <v>196.51221722119996</v>
      </c>
      <c r="N241" s="1">
        <f t="shared" si="40"/>
        <v>303.38907787599999</v>
      </c>
      <c r="O241" s="1">
        <f t="shared" si="40"/>
        <v>649.6015501103999</v>
      </c>
      <c r="P241" s="1">
        <f t="shared" si="40"/>
        <v>619.20336510719994</v>
      </c>
      <c r="Q241" s="1">
        <f t="shared" si="40"/>
        <v>801.46475165999993</v>
      </c>
      <c r="R241" s="1">
        <f t="shared" si="40"/>
        <v>1212.2872813355998</v>
      </c>
    </row>
    <row r="242" spans="1:18">
      <c r="A242" s="1" t="str">
        <v>STX</v>
      </c>
      <c r="B242" s="1" t="s">
        <v>57</v>
      </c>
      <c r="C242" s="1">
        <f t="shared" ref="C242:R242" si="41">IFERROR(C142*C43, 0)</f>
        <v>271.43153949999999</v>
      </c>
      <c r="D242" s="1">
        <f t="shared" si="41"/>
        <v>358.44547800000004</v>
      </c>
      <c r="E242" s="1">
        <f t="shared" si="41"/>
        <v>1151.9606484999999</v>
      </c>
      <c r="F242" s="1">
        <f t="shared" si="41"/>
        <v>1208.4547727500001</v>
      </c>
      <c r="G242" s="1">
        <f t="shared" si="41"/>
        <v>931.82837125000003</v>
      </c>
      <c r="H242" s="1">
        <f t="shared" si="41"/>
        <v>779.35917154999993</v>
      </c>
      <c r="I242" s="1">
        <f t="shared" si="41"/>
        <v>897.80202515000008</v>
      </c>
      <c r="J242" s="1">
        <f t="shared" si="41"/>
        <v>763.51484244999995</v>
      </c>
      <c r="K242" s="1">
        <f t="shared" si="41"/>
        <v>637.14982429999998</v>
      </c>
      <c r="L242" s="1">
        <f t="shared" si="41"/>
        <v>623.64318309999999</v>
      </c>
      <c r="M242" s="1">
        <f t="shared" si="41"/>
        <v>812.34654524999996</v>
      </c>
      <c r="N242" s="1">
        <f t="shared" si="41"/>
        <v>898.4513829</v>
      </c>
      <c r="O242" s="1">
        <f t="shared" si="41"/>
        <v>1944.9563328000002</v>
      </c>
      <c r="P242" s="1">
        <f t="shared" si="41"/>
        <v>1296.2642223999999</v>
      </c>
      <c r="Q242" s="1">
        <f t="shared" si="41"/>
        <v>2728.0749500000002</v>
      </c>
      <c r="R242" s="1">
        <f t="shared" si="41"/>
        <v>3454.4099721000007</v>
      </c>
    </row>
    <row r="243" spans="1:18">
      <c r="A243" s="1" t="str">
        <v>SUPER</v>
      </c>
      <c r="B243" s="1" t="s">
        <v>475</v>
      </c>
      <c r="C243" s="1">
        <f t="shared" ref="C243:R243" si="42">IFERROR(C143*C44, 0)</f>
        <v>0</v>
      </c>
      <c r="D243" s="1">
        <f t="shared" si="42"/>
        <v>0</v>
      </c>
      <c r="E243" s="1">
        <f t="shared" si="42"/>
        <v>0</v>
      </c>
      <c r="F243" s="1">
        <f t="shared" si="42"/>
        <v>0</v>
      </c>
      <c r="G243" s="1">
        <f t="shared" si="42"/>
        <v>0</v>
      </c>
      <c r="H243" s="1">
        <f t="shared" si="42"/>
        <v>0</v>
      </c>
      <c r="I243" s="1">
        <f t="shared" si="42"/>
        <v>0</v>
      </c>
      <c r="J243" s="1">
        <f t="shared" si="42"/>
        <v>0</v>
      </c>
      <c r="K243" s="1">
        <f t="shared" si="42"/>
        <v>0</v>
      </c>
      <c r="L243" s="1">
        <f t="shared" si="42"/>
        <v>0</v>
      </c>
      <c r="M243" s="1">
        <f t="shared" si="42"/>
        <v>0</v>
      </c>
      <c r="N243" s="1">
        <f t="shared" si="42"/>
        <v>0</v>
      </c>
      <c r="O243" s="1">
        <f t="shared" si="42"/>
        <v>0</v>
      </c>
      <c r="P243" s="1">
        <f t="shared" si="42"/>
        <v>85.724999999999994</v>
      </c>
      <c r="Q243" s="1">
        <f t="shared" si="42"/>
        <v>372</v>
      </c>
      <c r="R243" s="1">
        <f t="shared" si="42"/>
        <v>402</v>
      </c>
    </row>
    <row r="244" spans="1:18">
      <c r="A244" s="1" t="str">
        <v>THE</v>
      </c>
      <c r="B244" s="1" t="s">
        <v>69</v>
      </c>
      <c r="C244" s="1">
        <f t="shared" ref="C244:R244" si="43">IFERROR(C144*C45, 0)</f>
        <v>0</v>
      </c>
      <c r="D244" s="1">
        <f t="shared" si="43"/>
        <v>0</v>
      </c>
      <c r="E244" s="1">
        <f t="shared" si="43"/>
        <v>0</v>
      </c>
      <c r="F244" s="1">
        <f t="shared" si="43"/>
        <v>0</v>
      </c>
      <c r="G244" s="1">
        <f t="shared" si="43"/>
        <v>0</v>
      </c>
      <c r="H244" s="1">
        <f t="shared" si="43"/>
        <v>0</v>
      </c>
      <c r="I244" s="1">
        <f t="shared" si="43"/>
        <v>0</v>
      </c>
      <c r="J244" s="1">
        <f t="shared" si="43"/>
        <v>0</v>
      </c>
      <c r="K244" s="1">
        <f t="shared" si="43"/>
        <v>0</v>
      </c>
      <c r="L244" s="1">
        <f t="shared" si="43"/>
        <v>0</v>
      </c>
      <c r="M244" s="1">
        <f t="shared" si="43"/>
        <v>93.777695000000008</v>
      </c>
      <c r="N244" s="1">
        <f t="shared" si="43"/>
        <v>135.30065299999998</v>
      </c>
      <c r="O244" s="1">
        <f t="shared" si="43"/>
        <v>229.780427</v>
      </c>
      <c r="P244" s="1">
        <f t="shared" si="43"/>
        <v>162.380843</v>
      </c>
      <c r="Q244" s="1">
        <f t="shared" si="43"/>
        <v>214.20630884000002</v>
      </c>
      <c r="R244" s="1">
        <f t="shared" si="43"/>
        <v>531.30630701000007</v>
      </c>
    </row>
    <row r="245" spans="1:18">
      <c r="A245" s="1" t="str">
        <v>TIA</v>
      </c>
      <c r="Q245" s="1">
        <f t="shared" ref="Q245" si="44">IFERROR(Q145*Q46, 0)</f>
        <v>0</v>
      </c>
    </row>
    <row r="246" spans="1:18">
      <c r="A246" s="1" t="str">
        <v>VET</v>
      </c>
      <c r="B246" s="1" t="s">
        <v>13</v>
      </c>
      <c r="C246" s="1">
        <f t="shared" ref="C246:R246" si="45">IFERROR(C146*C47, 0)</f>
        <v>26.702000000000002</v>
      </c>
      <c r="D246" s="1">
        <f t="shared" si="45"/>
        <v>39.072800000000001</v>
      </c>
      <c r="E246" s="1">
        <f t="shared" si="45"/>
        <v>45.562400000000004</v>
      </c>
      <c r="F246" s="1">
        <f t="shared" si="45"/>
        <v>39.647400000000005</v>
      </c>
      <c r="G246" s="1">
        <f t="shared" si="45"/>
        <v>37.501100000000001</v>
      </c>
      <c r="H246" s="1">
        <f t="shared" si="45"/>
        <v>34.374600000000001</v>
      </c>
      <c r="I246" s="1">
        <f t="shared" si="45"/>
        <v>33.309899999999999</v>
      </c>
      <c r="J246" s="1">
        <f t="shared" si="45"/>
        <v>31.4678</v>
      </c>
      <c r="K246" s="1">
        <f t="shared" si="45"/>
        <v>26.634399999999999</v>
      </c>
      <c r="L246" s="1">
        <f t="shared" si="45"/>
        <v>29.439800000000002</v>
      </c>
      <c r="M246" s="1">
        <f t="shared" si="45"/>
        <v>31.890300000000003</v>
      </c>
      <c r="N246" s="1">
        <f t="shared" si="45"/>
        <v>36.098399999999998</v>
      </c>
      <c r="O246" s="1">
        <f t="shared" si="45"/>
        <v>58.017699999999998</v>
      </c>
      <c r="P246" s="1">
        <f t="shared" si="45"/>
        <v>47.7087</v>
      </c>
      <c r="Q246" s="1">
        <f t="shared" si="45"/>
        <v>80.505499099999994</v>
      </c>
      <c r="R246" s="1">
        <f t="shared" si="45"/>
        <v>76.591813999999999</v>
      </c>
    </row>
    <row r="247" spans="1:18">
      <c r="A247" s="1" t="str">
        <v>WAVAX</v>
      </c>
      <c r="B247" s="1" t="s">
        <v>64</v>
      </c>
      <c r="C247" s="1">
        <f t="shared" ref="C247:R247" si="46">IFERROR(C147*C48, 0)</f>
        <v>87.2</v>
      </c>
      <c r="D247" s="1">
        <f t="shared" si="46"/>
        <v>158.80000000000001</v>
      </c>
      <c r="E247" s="1">
        <f t="shared" si="46"/>
        <v>141.76</v>
      </c>
      <c r="F247" s="1">
        <f t="shared" si="46"/>
        <v>133.12</v>
      </c>
      <c r="G247" s="1">
        <f t="shared" si="46"/>
        <v>137.12</v>
      </c>
      <c r="H247" s="1">
        <f t="shared" si="46"/>
        <v>112.72</v>
      </c>
      <c r="I247" s="1">
        <f t="shared" si="46"/>
        <v>104.24</v>
      </c>
      <c r="J247" s="1">
        <f t="shared" si="46"/>
        <v>102.64</v>
      </c>
      <c r="K247" s="1">
        <f t="shared" si="46"/>
        <v>80</v>
      </c>
      <c r="L247" s="1">
        <f t="shared" si="46"/>
        <v>73.92</v>
      </c>
      <c r="M247" s="1">
        <f t="shared" si="46"/>
        <v>90.32</v>
      </c>
      <c r="N247" s="1">
        <f t="shared" si="46"/>
        <v>171.04</v>
      </c>
      <c r="O247" s="1">
        <f t="shared" si="46"/>
        <v>308.24</v>
      </c>
      <c r="P247" s="1">
        <f t="shared" si="46"/>
        <v>266.08</v>
      </c>
      <c r="Q247" s="1">
        <f t="shared" si="46"/>
        <v>326.39999999999998</v>
      </c>
      <c r="R247" s="1">
        <f t="shared" si="46"/>
        <v>466.16</v>
      </c>
    </row>
    <row r="248" spans="1:18">
      <c r="A248" s="1" t="str">
        <v>WETH</v>
      </c>
      <c r="B248" s="1" t="s">
        <v>361</v>
      </c>
      <c r="C248" s="1">
        <f t="shared" ref="C248:R248" si="47">IFERROR(C148*C49, 0)</f>
        <v>1544.4103899999998</v>
      </c>
      <c r="D248" s="1">
        <f t="shared" si="47"/>
        <v>2048.4038799999998</v>
      </c>
      <c r="E248" s="1">
        <f t="shared" si="47"/>
        <v>2074.9984799999997</v>
      </c>
      <c r="F248" s="1">
        <f t="shared" si="47"/>
        <v>2355.2229399999997</v>
      </c>
      <c r="G248" s="1">
        <f t="shared" si="47"/>
        <v>2422.75515</v>
      </c>
      <c r="H248" s="1">
        <f t="shared" si="47"/>
        <v>2416.0419499999998</v>
      </c>
      <c r="I248" s="1">
        <f t="shared" si="47"/>
        <v>2500.65409</v>
      </c>
      <c r="J248" s="1">
        <f t="shared" si="47"/>
        <v>2397.05134</v>
      </c>
      <c r="K248" s="1">
        <f t="shared" si="47"/>
        <v>2123.1527799999999</v>
      </c>
      <c r="L248" s="1">
        <f t="shared" si="47"/>
        <v>2160.0108300000002</v>
      </c>
      <c r="M248" s="1">
        <f t="shared" si="47"/>
        <v>2339.0208899999998</v>
      </c>
      <c r="N248" s="1">
        <f t="shared" si="47"/>
        <v>2643.9034499999998</v>
      </c>
      <c r="O248" s="1">
        <f t="shared" si="47"/>
        <v>2939.8910199999996</v>
      </c>
      <c r="P248" s="1">
        <f t="shared" si="47"/>
        <v>2944.3966099999998</v>
      </c>
      <c r="Q248" s="1">
        <f t="shared" si="47"/>
        <v>4306.2208700000001</v>
      </c>
      <c r="R248" s="1">
        <f t="shared" si="47"/>
        <v>4655.7591199999997</v>
      </c>
    </row>
    <row r="249" spans="1:18">
      <c r="A249" s="1" t="str">
        <v>XAI</v>
      </c>
      <c r="B249" s="1" t="s">
        <v>376</v>
      </c>
      <c r="C249" s="1">
        <f t="shared" ref="C249:R249" si="48">IFERROR(C149*C50, 0)</f>
        <v>0</v>
      </c>
      <c r="D249" s="1">
        <f t="shared" si="48"/>
        <v>0</v>
      </c>
      <c r="E249" s="1">
        <f t="shared" si="48"/>
        <v>0</v>
      </c>
      <c r="F249" s="1">
        <f t="shared" si="48"/>
        <v>0</v>
      </c>
      <c r="G249" s="1">
        <f t="shared" si="48"/>
        <v>0</v>
      </c>
      <c r="H249" s="1">
        <f t="shared" si="48"/>
        <v>0</v>
      </c>
      <c r="I249" s="1">
        <f t="shared" si="48"/>
        <v>0</v>
      </c>
      <c r="J249" s="1">
        <f t="shared" si="48"/>
        <v>0</v>
      </c>
      <c r="K249" s="1">
        <f t="shared" si="48"/>
        <v>0</v>
      </c>
      <c r="L249" s="1">
        <f t="shared" si="48"/>
        <v>0</v>
      </c>
      <c r="M249" s="1">
        <f t="shared" si="48"/>
        <v>0</v>
      </c>
      <c r="N249" s="1">
        <f t="shared" si="48"/>
        <v>0</v>
      </c>
      <c r="O249" s="1">
        <f t="shared" si="48"/>
        <v>0</v>
      </c>
      <c r="P249" s="1">
        <f t="shared" si="48"/>
        <v>0</v>
      </c>
      <c r="Q249" s="1">
        <f t="shared" si="48"/>
        <v>0</v>
      </c>
      <c r="R249" s="1">
        <f t="shared" si="48"/>
        <v>0</v>
      </c>
    </row>
    <row r="250" spans="1:18">
      <c r="A250" s="1" t="e" vm="19">
        <v>#VALUE!</v>
      </c>
      <c r="B250" s="1" t="e" vm="19">
        <v>#VALUE!</v>
      </c>
      <c r="C250" s="1">
        <f t="shared" ref="C250:R250" si="49">IFERROR(C150*C51, 0)</f>
        <v>0</v>
      </c>
      <c r="D250" s="1">
        <f t="shared" si="49"/>
        <v>0</v>
      </c>
      <c r="E250" s="1">
        <f t="shared" si="49"/>
        <v>0</v>
      </c>
      <c r="F250" s="1">
        <f t="shared" si="49"/>
        <v>0</v>
      </c>
      <c r="G250" s="1">
        <f t="shared" si="49"/>
        <v>0</v>
      </c>
      <c r="H250" s="1">
        <f t="shared" si="49"/>
        <v>0</v>
      </c>
      <c r="I250" s="1">
        <f t="shared" si="49"/>
        <v>0</v>
      </c>
      <c r="J250" s="1">
        <f t="shared" si="49"/>
        <v>0</v>
      </c>
      <c r="K250" s="1">
        <f t="shared" si="49"/>
        <v>0</v>
      </c>
      <c r="L250" s="1">
        <f t="shared" si="49"/>
        <v>0</v>
      </c>
      <c r="M250" s="1">
        <f t="shared" si="49"/>
        <v>0</v>
      </c>
      <c r="N250" s="1">
        <f t="shared" si="49"/>
        <v>0</v>
      </c>
      <c r="O250" s="1">
        <f t="shared" si="49"/>
        <v>0</v>
      </c>
      <c r="P250" s="1">
        <f t="shared" si="49"/>
        <v>0</v>
      </c>
      <c r="Q250" s="1">
        <f t="shared" si="49"/>
        <v>0</v>
      </c>
      <c r="R250" s="1">
        <f t="shared" si="49"/>
        <v>0</v>
      </c>
    </row>
    <row r="251" spans="1:18">
      <c r="A251" s="1" t="e" vm="18">
        <v>#VALUE!</v>
      </c>
      <c r="B251" s="1" t="e" vm="18">
        <v>#VALUE!</v>
      </c>
      <c r="C251" s="1">
        <f t="shared" ref="C251:R251" si="50">IFERROR(C151*C52, 0)</f>
        <v>0</v>
      </c>
      <c r="D251" s="1">
        <f t="shared" si="50"/>
        <v>0</v>
      </c>
      <c r="E251" s="1">
        <f t="shared" si="50"/>
        <v>0</v>
      </c>
      <c r="F251" s="1">
        <f t="shared" si="50"/>
        <v>135.19999999999999</v>
      </c>
      <c r="G251" s="1">
        <f t="shared" si="50"/>
        <v>121.38</v>
      </c>
      <c r="H251" s="1">
        <f t="shared" si="50"/>
        <v>358.08</v>
      </c>
      <c r="I251" s="1">
        <f t="shared" si="50"/>
        <v>400.02</v>
      </c>
      <c r="J251" s="1">
        <f t="shared" si="50"/>
        <v>878.68</v>
      </c>
      <c r="K251" s="1">
        <f t="shared" si="50"/>
        <v>875.85</v>
      </c>
      <c r="L251" s="1">
        <f t="shared" si="50"/>
        <v>664.8</v>
      </c>
      <c r="M251" s="1">
        <f t="shared" si="50"/>
        <v>599.25</v>
      </c>
      <c r="N251" s="1">
        <f t="shared" si="50"/>
        <v>952.5</v>
      </c>
      <c r="O251" s="1">
        <f t="shared" si="50"/>
        <v>1132.5</v>
      </c>
      <c r="P251" s="1">
        <f t="shared" si="50"/>
        <v>1651.25</v>
      </c>
      <c r="Q251" s="1">
        <f t="shared" si="50"/>
        <v>1994.7500000000002</v>
      </c>
      <c r="R251" s="1">
        <f t="shared" si="50"/>
        <v>1620</v>
      </c>
    </row>
    <row r="252" spans="1:18">
      <c r="A252" s="1" t="e" vm="24">
        <v>#VALUE!</v>
      </c>
      <c r="B252" s="1" t="e" vm="24">
        <v>#VALUE!</v>
      </c>
      <c r="C252" s="1">
        <f t="shared" ref="C252:R252" si="51">IFERROR(C152*C53, 0)</f>
        <v>0</v>
      </c>
      <c r="D252" s="1">
        <f t="shared" si="51"/>
        <v>0</v>
      </c>
      <c r="E252" s="1">
        <f t="shared" si="51"/>
        <v>0</v>
      </c>
      <c r="F252" s="1">
        <f t="shared" si="51"/>
        <v>0</v>
      </c>
      <c r="G252" s="1">
        <f t="shared" si="51"/>
        <v>0</v>
      </c>
      <c r="H252" s="1">
        <f t="shared" si="51"/>
        <v>0</v>
      </c>
      <c r="I252" s="1">
        <f t="shared" si="51"/>
        <v>0</v>
      </c>
      <c r="J252" s="1">
        <f t="shared" si="51"/>
        <v>0</v>
      </c>
      <c r="K252" s="1">
        <f t="shared" si="51"/>
        <v>0</v>
      </c>
      <c r="L252" s="1">
        <f t="shared" si="51"/>
        <v>0</v>
      </c>
      <c r="M252" s="1">
        <f t="shared" si="51"/>
        <v>0</v>
      </c>
      <c r="N252" s="1">
        <f t="shared" si="51"/>
        <v>0</v>
      </c>
      <c r="O252" s="1">
        <f t="shared" si="51"/>
        <v>0</v>
      </c>
      <c r="P252" s="1">
        <f t="shared" si="51"/>
        <v>240.79999999999998</v>
      </c>
      <c r="Q252" s="1">
        <f t="shared" si="51"/>
        <v>175.2</v>
      </c>
      <c r="R252" s="1">
        <f t="shared" si="51"/>
        <v>313.60000000000002</v>
      </c>
    </row>
    <row r="253" spans="1:18">
      <c r="A253" s="1" t="e" vm="25">
        <v>#VALUE!</v>
      </c>
      <c r="B253" s="1" t="e" vm="25">
        <v>#VALUE!</v>
      </c>
      <c r="C253" s="1">
        <f t="shared" ref="C253:R253" si="52">IFERROR(C153*C54, 0)</f>
        <v>0</v>
      </c>
      <c r="D253" s="1">
        <f t="shared" si="52"/>
        <v>0</v>
      </c>
      <c r="E253" s="1">
        <f t="shared" si="52"/>
        <v>0</v>
      </c>
      <c r="F253" s="1">
        <f t="shared" si="52"/>
        <v>0</v>
      </c>
      <c r="G253" s="1">
        <f t="shared" si="52"/>
        <v>0</v>
      </c>
      <c r="H253" s="1">
        <f t="shared" si="52"/>
        <v>0</v>
      </c>
      <c r="I253" s="1">
        <f t="shared" si="52"/>
        <v>0</v>
      </c>
      <c r="J253" s="1">
        <f t="shared" si="52"/>
        <v>0</v>
      </c>
      <c r="K253" s="1">
        <f t="shared" si="52"/>
        <v>0</v>
      </c>
      <c r="L253" s="1">
        <f t="shared" si="52"/>
        <v>0</v>
      </c>
      <c r="M253" s="1">
        <f t="shared" si="52"/>
        <v>0</v>
      </c>
      <c r="N253" s="1">
        <f t="shared" si="52"/>
        <v>0</v>
      </c>
      <c r="O253" s="1">
        <f t="shared" si="52"/>
        <v>0</v>
      </c>
      <c r="P253" s="1">
        <f t="shared" si="52"/>
        <v>567</v>
      </c>
      <c r="Q253" s="1">
        <f t="shared" si="52"/>
        <v>1170.3999999999999</v>
      </c>
      <c r="R253" s="1">
        <f t="shared" si="52"/>
        <v>1145.2</v>
      </c>
    </row>
    <row r="254" spans="1:18">
      <c r="A254" s="1" t="e" vm="17">
        <v>#VALUE!</v>
      </c>
      <c r="B254" s="1" t="e" vm="17">
        <v>#VALUE!</v>
      </c>
      <c r="C254" s="1">
        <f t="shared" ref="C254:R254" si="53">IFERROR(C154*C55, 0)</f>
        <v>0</v>
      </c>
      <c r="D254" s="1">
        <f t="shared" si="53"/>
        <v>0</v>
      </c>
      <c r="E254" s="1">
        <f t="shared" si="53"/>
        <v>979.5</v>
      </c>
      <c r="F254" s="1">
        <f t="shared" si="53"/>
        <v>2244.34</v>
      </c>
      <c r="G254" s="1">
        <f t="shared" si="53"/>
        <v>2658.5</v>
      </c>
      <c r="H254" s="1">
        <f t="shared" si="53"/>
        <v>3708</v>
      </c>
      <c r="I254" s="1">
        <f t="shared" si="53"/>
        <v>4904.4000000000005</v>
      </c>
      <c r="J254" s="1">
        <f t="shared" si="53"/>
        <v>6519.84</v>
      </c>
      <c r="K254" s="1">
        <f t="shared" si="53"/>
        <v>6000</v>
      </c>
      <c r="L254" s="1">
        <f t="shared" si="53"/>
        <v>6284</v>
      </c>
      <c r="M254" s="1">
        <f t="shared" si="53"/>
        <v>6503.28</v>
      </c>
      <c r="N254" s="1">
        <f t="shared" si="53"/>
        <v>10616.76</v>
      </c>
      <c r="O254" s="1">
        <f t="shared" si="53"/>
        <v>11765.36</v>
      </c>
      <c r="P254" s="1">
        <f t="shared" si="53"/>
        <v>11330</v>
      </c>
      <c r="Q254" s="1">
        <f t="shared" si="53"/>
        <v>17837.599999999999</v>
      </c>
      <c r="R254" s="1">
        <f t="shared" si="53"/>
        <v>14581.2</v>
      </c>
    </row>
    <row r="255" spans="1:18">
      <c r="A255" s="1" t="e" vm="14">
        <v>#VALUE!</v>
      </c>
      <c r="B255" s="1" t="e" vm="14">
        <v>#VALUE!</v>
      </c>
      <c r="C255" s="1">
        <f t="shared" ref="C255:R255" si="54">IFERROR(C155*C56, 0)</f>
        <v>0</v>
      </c>
      <c r="D255" s="1">
        <f t="shared" si="54"/>
        <v>211.8</v>
      </c>
      <c r="E255" s="1">
        <f t="shared" si="54"/>
        <v>240.46</v>
      </c>
      <c r="F255" s="1">
        <f t="shared" si="54"/>
        <v>135.5</v>
      </c>
      <c r="G255" s="1">
        <f t="shared" si="54"/>
        <v>118.56</v>
      </c>
      <c r="H255" s="1">
        <f t="shared" si="54"/>
        <v>146.72</v>
      </c>
      <c r="I255" s="1">
        <f t="shared" si="54"/>
        <v>0</v>
      </c>
      <c r="J255" s="1">
        <f t="shared" si="54"/>
        <v>0</v>
      </c>
      <c r="K255" s="1">
        <f t="shared" si="54"/>
        <v>0</v>
      </c>
      <c r="L255" s="1">
        <f t="shared" si="54"/>
        <v>0</v>
      </c>
      <c r="M255" s="1">
        <f t="shared" si="54"/>
        <v>0</v>
      </c>
      <c r="N255" s="1">
        <f t="shared" si="54"/>
        <v>0</v>
      </c>
      <c r="O255" s="1">
        <f t="shared" si="54"/>
        <v>0</v>
      </c>
      <c r="P255" s="1">
        <f t="shared" si="54"/>
        <v>0</v>
      </c>
      <c r="Q255" s="1">
        <f t="shared" si="54"/>
        <v>0</v>
      </c>
      <c r="R255" s="1">
        <f t="shared" si="54"/>
        <v>0</v>
      </c>
    </row>
    <row r="256" spans="1:18">
      <c r="A256" s="1" t="e" vm="15">
        <v>#VALUE!</v>
      </c>
      <c r="B256" s="1" t="e" vm="15">
        <v>#VALUE!</v>
      </c>
      <c r="C256" s="1">
        <f t="shared" ref="C256:R256" si="55">IFERROR(C156*C57, 0)</f>
        <v>0</v>
      </c>
      <c r="D256" s="1">
        <f t="shared" si="55"/>
        <v>0</v>
      </c>
      <c r="E256" s="1">
        <f t="shared" si="55"/>
        <v>656</v>
      </c>
      <c r="F256" s="1">
        <f t="shared" si="55"/>
        <v>1026.5999999999999</v>
      </c>
      <c r="G256" s="1">
        <f t="shared" si="55"/>
        <v>1210.3</v>
      </c>
      <c r="H256" s="1">
        <f t="shared" si="55"/>
        <v>1236.9000000000001</v>
      </c>
      <c r="I256" s="1">
        <f t="shared" si="55"/>
        <v>1242.5</v>
      </c>
      <c r="J256" s="1">
        <f t="shared" si="55"/>
        <v>1261.3999999999999</v>
      </c>
      <c r="K256" s="1">
        <f t="shared" si="55"/>
        <v>1225</v>
      </c>
      <c r="L256" s="1">
        <f t="shared" si="55"/>
        <v>1174.6000000000001</v>
      </c>
      <c r="M256" s="1">
        <f t="shared" si="55"/>
        <v>1164.8</v>
      </c>
      <c r="N256" s="1">
        <f t="shared" si="55"/>
        <v>1192.1000000000001</v>
      </c>
      <c r="O256" s="1">
        <f t="shared" si="55"/>
        <v>1210.3</v>
      </c>
      <c r="P256" s="1">
        <f t="shared" si="55"/>
        <v>1237.5999999999999</v>
      </c>
      <c r="Q256" s="1">
        <f t="shared" si="55"/>
        <v>1250.2</v>
      </c>
      <c r="R256" s="1">
        <f t="shared" si="55"/>
        <v>1237.5999999999999</v>
      </c>
    </row>
    <row r="257" spans="1:18">
      <c r="A257" s="1" t="e" vm="13">
        <v>#VALUE!</v>
      </c>
      <c r="B257" s="1" t="e" vm="13">
        <v>#VALUE!</v>
      </c>
      <c r="C257" s="1">
        <f t="shared" ref="C257:P257" si="56">IFERROR(C157*C59, 0)</f>
        <v>17.899999999999999</v>
      </c>
      <c r="D257" s="1">
        <f t="shared" si="56"/>
        <v>35.85</v>
      </c>
      <c r="E257" s="1">
        <f t="shared" si="56"/>
        <v>35.9</v>
      </c>
      <c r="F257" s="1">
        <f t="shared" si="56"/>
        <v>42.699999999999996</v>
      </c>
      <c r="G257" s="1">
        <f t="shared" si="56"/>
        <v>48.8</v>
      </c>
      <c r="H257" s="1">
        <f t="shared" si="56"/>
        <v>48.3</v>
      </c>
      <c r="I257" s="1">
        <f t="shared" si="56"/>
        <v>70.25</v>
      </c>
      <c r="J257" s="1">
        <f t="shared" si="56"/>
        <v>84.3</v>
      </c>
      <c r="K257" s="1">
        <f t="shared" si="56"/>
        <v>62.65</v>
      </c>
      <c r="L257" s="1">
        <f t="shared" si="56"/>
        <v>46</v>
      </c>
      <c r="M257" s="1">
        <f t="shared" si="56"/>
        <v>45</v>
      </c>
      <c r="N257" s="1">
        <f t="shared" si="56"/>
        <v>61</v>
      </c>
      <c r="O257" s="1">
        <f t="shared" si="56"/>
        <v>133.19999999999999</v>
      </c>
      <c r="P257" s="1">
        <f t="shared" si="56"/>
        <v>88.800000000000011</v>
      </c>
      <c r="Q257" s="1">
        <f t="shared" ref="Q257" si="57">IFERROR(Q157*Q58, 0)</f>
        <v>278.64999999999998</v>
      </c>
      <c r="R257" s="1">
        <f t="shared" ref="R257:R263" si="58">IFERROR(R157*R58, 0)</f>
        <v>316.75</v>
      </c>
    </row>
    <row r="258" spans="1:18">
      <c r="A258" s="1" t="e" vm="20">
        <v>#VALUE!</v>
      </c>
      <c r="B258" s="1" t="e" vm="20">
        <v>#VALUE!</v>
      </c>
      <c r="C258" s="1">
        <f>IFERROR(C158*#REF!, 0)</f>
        <v>0</v>
      </c>
      <c r="D258" s="1">
        <f>IFERROR(D158*#REF!, 0)</f>
        <v>0</v>
      </c>
      <c r="E258" s="1">
        <f>IFERROR(E158*#REF!, 0)</f>
        <v>0</v>
      </c>
      <c r="F258" s="1">
        <f>IFERROR(F158*#REF!, 0)</f>
        <v>0</v>
      </c>
      <c r="G258" s="1">
        <f>IFERROR(G158*#REF!, 0)</f>
        <v>0</v>
      </c>
      <c r="H258" s="1">
        <f>IFERROR(H158*#REF!, 0)</f>
        <v>0</v>
      </c>
      <c r="I258" s="1">
        <f>IFERROR(I158*#REF!, 0)</f>
        <v>0</v>
      </c>
      <c r="J258" s="1">
        <f>IFERROR(J158*#REF!, 0)</f>
        <v>0</v>
      </c>
      <c r="K258" s="1">
        <f>IFERROR(K158*#REF!, 0)</f>
        <v>0</v>
      </c>
      <c r="L258" s="1">
        <f>IFERROR(L158*#REF!, 0)</f>
        <v>0</v>
      </c>
      <c r="M258" s="1">
        <f>IFERROR(M158*#REF!, 0)</f>
        <v>0</v>
      </c>
      <c r="N258" s="1">
        <f>IFERROR(N158*#REF!, 0)</f>
        <v>0</v>
      </c>
      <c r="O258" s="1">
        <f>IFERROR(O158*#REF!, 0)</f>
        <v>0</v>
      </c>
      <c r="P258" s="1">
        <f>IFERROR(P158*#REF!, 0)</f>
        <v>0</v>
      </c>
      <c r="Q258" s="1">
        <f t="shared" ref="Q258" si="59">IFERROR(Q158*Q59, 0)</f>
        <v>6234.55</v>
      </c>
      <c r="R258" s="1">
        <f t="shared" si="58"/>
        <v>4951.45</v>
      </c>
    </row>
    <row r="259" spans="1:18">
      <c r="A259" s="1" t="e" vm="21">
        <v>#VALUE!</v>
      </c>
      <c r="B259" s="1" t="e" vm="21">
        <v>#VALUE!</v>
      </c>
      <c r="C259" s="1">
        <f t="shared" ref="C259:Q259" si="60">IFERROR(C159*C60, 0)</f>
        <v>0</v>
      </c>
      <c r="D259" s="1">
        <f t="shared" si="60"/>
        <v>0</v>
      </c>
      <c r="E259" s="1">
        <f t="shared" si="60"/>
        <v>0</v>
      </c>
      <c r="F259" s="1">
        <f t="shared" si="60"/>
        <v>0</v>
      </c>
      <c r="G259" s="1">
        <f t="shared" si="60"/>
        <v>0</v>
      </c>
      <c r="H259" s="1">
        <f t="shared" si="60"/>
        <v>298.5</v>
      </c>
      <c r="I259" s="1">
        <f t="shared" si="60"/>
        <v>1041</v>
      </c>
      <c r="J259" s="1">
        <f t="shared" si="60"/>
        <v>1720</v>
      </c>
      <c r="K259" s="1">
        <f t="shared" si="60"/>
        <v>1787.7</v>
      </c>
      <c r="L259" s="1">
        <f t="shared" si="60"/>
        <v>1732.85</v>
      </c>
      <c r="M259" s="1">
        <f t="shared" si="60"/>
        <v>2148.1</v>
      </c>
      <c r="N259" s="1">
        <f t="shared" si="60"/>
        <v>2517.6499999999996</v>
      </c>
      <c r="O259" s="1">
        <f t="shared" si="60"/>
        <v>3462.45</v>
      </c>
      <c r="P259" s="1">
        <f t="shared" si="60"/>
        <v>3010.8</v>
      </c>
      <c r="Q259" s="1">
        <f t="shared" si="60"/>
        <v>5976</v>
      </c>
      <c r="R259" s="1">
        <f t="shared" si="58"/>
        <v>3389.38</v>
      </c>
    </row>
    <row r="260" spans="1:18">
      <c r="A260" s="1" t="e" vm="26">
        <v>#VALUE!</v>
      </c>
      <c r="B260" s="1" t="e" vm="26">
        <v>#VALUE!</v>
      </c>
      <c r="C260" s="1">
        <f t="shared" ref="C260:Q260" si="61">IFERROR(C160*C61, 0)</f>
        <v>0</v>
      </c>
      <c r="D260" s="1">
        <f t="shared" si="61"/>
        <v>0</v>
      </c>
      <c r="E260" s="1">
        <f t="shared" si="61"/>
        <v>0</v>
      </c>
      <c r="F260" s="1">
        <f t="shared" si="61"/>
        <v>0</v>
      </c>
      <c r="G260" s="1">
        <f t="shared" si="61"/>
        <v>0</v>
      </c>
      <c r="H260" s="1">
        <f t="shared" si="61"/>
        <v>0</v>
      </c>
      <c r="I260" s="1">
        <f t="shared" si="61"/>
        <v>0</v>
      </c>
      <c r="J260" s="1">
        <f t="shared" si="61"/>
        <v>0</v>
      </c>
      <c r="K260" s="1">
        <f t="shared" si="61"/>
        <v>0</v>
      </c>
      <c r="L260" s="1">
        <f t="shared" si="61"/>
        <v>0</v>
      </c>
      <c r="M260" s="1">
        <f t="shared" si="61"/>
        <v>0</v>
      </c>
      <c r="N260" s="1">
        <f t="shared" si="61"/>
        <v>0</v>
      </c>
      <c r="O260" s="1">
        <f t="shared" si="61"/>
        <v>0</v>
      </c>
      <c r="P260" s="1">
        <f t="shared" si="61"/>
        <v>654</v>
      </c>
      <c r="Q260" s="1">
        <f t="shared" si="61"/>
        <v>857.4</v>
      </c>
      <c r="R260" s="1">
        <f t="shared" si="58"/>
        <v>579</v>
      </c>
    </row>
    <row r="261" spans="1:18">
      <c r="A261" s="1" t="e" vm="23">
        <v>#VALUE!</v>
      </c>
      <c r="B261" s="1" t="e" vm="23">
        <v>#VALUE!</v>
      </c>
      <c r="C261" s="1">
        <f t="shared" ref="C261:Q261" si="62">IFERROR(C161*C62, 0)</f>
        <v>0</v>
      </c>
      <c r="D261" s="1">
        <f t="shared" si="62"/>
        <v>0</v>
      </c>
      <c r="E261" s="1">
        <f t="shared" si="62"/>
        <v>0</v>
      </c>
      <c r="F261" s="1">
        <f t="shared" si="62"/>
        <v>0</v>
      </c>
      <c r="G261" s="1">
        <f t="shared" si="62"/>
        <v>0</v>
      </c>
      <c r="H261" s="1">
        <f t="shared" si="62"/>
        <v>0</v>
      </c>
      <c r="I261" s="1">
        <f t="shared" si="62"/>
        <v>0</v>
      </c>
      <c r="J261" s="1">
        <f t="shared" si="62"/>
        <v>0</v>
      </c>
      <c r="K261" s="1">
        <f t="shared" si="62"/>
        <v>0</v>
      </c>
      <c r="L261" s="1">
        <f t="shared" si="62"/>
        <v>0</v>
      </c>
      <c r="M261" s="1">
        <f t="shared" si="62"/>
        <v>0</v>
      </c>
      <c r="N261" s="1">
        <f t="shared" si="62"/>
        <v>0</v>
      </c>
      <c r="O261" s="1">
        <f t="shared" si="62"/>
        <v>254.8</v>
      </c>
      <c r="P261" s="1">
        <f t="shared" si="62"/>
        <v>215.79999999999998</v>
      </c>
      <c r="Q261" s="1">
        <f t="shared" si="62"/>
        <v>326</v>
      </c>
      <c r="R261" s="1">
        <f t="shared" si="58"/>
        <v>1509.9</v>
      </c>
    </row>
    <row r="262" spans="1:18">
      <c r="A262" s="1" t="e" vm="16">
        <v>#VALUE!</v>
      </c>
      <c r="B262" s="1" t="e" vm="16">
        <v>#VALUE!</v>
      </c>
      <c r="C262" s="1">
        <f t="shared" ref="C262:Q262" si="63">IFERROR(C162*C63, 0)</f>
        <v>0</v>
      </c>
      <c r="D262" s="1">
        <f t="shared" si="63"/>
        <v>0</v>
      </c>
      <c r="E262" s="1">
        <f t="shared" si="63"/>
        <v>285.39999999999998</v>
      </c>
      <c r="F262" s="1">
        <f t="shared" si="63"/>
        <v>0</v>
      </c>
      <c r="G262" s="1">
        <f t="shared" si="63"/>
        <v>0</v>
      </c>
      <c r="H262" s="1">
        <f t="shared" si="63"/>
        <v>0</v>
      </c>
      <c r="I262" s="1">
        <f t="shared" si="63"/>
        <v>0</v>
      </c>
      <c r="J262" s="1">
        <f t="shared" si="63"/>
        <v>0</v>
      </c>
      <c r="K262" s="1">
        <f t="shared" si="63"/>
        <v>0</v>
      </c>
      <c r="L262" s="1">
        <f t="shared" si="63"/>
        <v>0</v>
      </c>
      <c r="M262" s="1">
        <f t="shared" si="63"/>
        <v>0</v>
      </c>
      <c r="N262" s="1">
        <f t="shared" si="63"/>
        <v>0</v>
      </c>
      <c r="O262" s="1">
        <f t="shared" si="63"/>
        <v>0</v>
      </c>
      <c r="P262" s="1">
        <f t="shared" si="63"/>
        <v>0</v>
      </c>
      <c r="Q262" s="1">
        <f t="shared" si="63"/>
        <v>0</v>
      </c>
      <c r="R262" s="1">
        <f t="shared" si="58"/>
        <v>0</v>
      </c>
    </row>
    <row r="263" spans="1:18">
      <c r="A263" s="1" t="e" vm="22">
        <v>#VALUE!</v>
      </c>
      <c r="B263" s="1" t="e" vm="22">
        <v>#VALUE!</v>
      </c>
      <c r="C263" s="1">
        <f t="shared" ref="C263:Q263" si="64">IFERROR(C163*C64, 0)</f>
        <v>0</v>
      </c>
      <c r="D263" s="1">
        <f t="shared" si="64"/>
        <v>0</v>
      </c>
      <c r="E263" s="1">
        <f t="shared" si="64"/>
        <v>0</v>
      </c>
      <c r="F263" s="1">
        <f t="shared" si="64"/>
        <v>0</v>
      </c>
      <c r="G263" s="1">
        <f t="shared" si="64"/>
        <v>0</v>
      </c>
      <c r="H263" s="1">
        <f t="shared" si="64"/>
        <v>1645.29</v>
      </c>
      <c r="I263" s="1">
        <f t="shared" si="64"/>
        <v>2143.3200000000002</v>
      </c>
      <c r="J263" s="1">
        <f t="shared" si="64"/>
        <v>2170.1999999999998</v>
      </c>
      <c r="K263" s="1">
        <f t="shared" si="64"/>
        <v>2169.6000000000004</v>
      </c>
      <c r="L263" s="1">
        <f t="shared" si="64"/>
        <v>2042.7599999999998</v>
      </c>
      <c r="M263" s="1">
        <f t="shared" si="64"/>
        <v>2206.92</v>
      </c>
      <c r="N263" s="1">
        <f t="shared" si="64"/>
        <v>2265.7200000000003</v>
      </c>
      <c r="O263" s="1">
        <f t="shared" si="64"/>
        <v>2297.2799999999997</v>
      </c>
      <c r="P263" s="1">
        <f t="shared" si="64"/>
        <v>0</v>
      </c>
      <c r="Q263" s="1">
        <f t="shared" si="64"/>
        <v>0</v>
      </c>
      <c r="R263" s="1">
        <f t="shared" si="58"/>
        <v>0</v>
      </c>
    </row>
    <row r="300" spans="2:18">
      <c r="B300" s="1" t="s">
        <v>435</v>
      </c>
      <c r="C300" s="100">
        <v>44927</v>
      </c>
      <c r="D300" s="100">
        <v>44958</v>
      </c>
      <c r="E300" s="100">
        <v>44986</v>
      </c>
      <c r="F300" s="100">
        <v>45017</v>
      </c>
      <c r="G300" s="100">
        <v>45047</v>
      </c>
      <c r="H300" s="100">
        <v>45078</v>
      </c>
      <c r="I300" s="100">
        <v>45108</v>
      </c>
      <c r="J300" s="100">
        <v>45139</v>
      </c>
      <c r="K300" s="100">
        <v>45170</v>
      </c>
      <c r="L300" s="100">
        <v>45200</v>
      </c>
      <c r="M300" s="100">
        <v>45231</v>
      </c>
      <c r="N300" s="100">
        <v>45261</v>
      </c>
      <c r="O300" s="100">
        <v>45292</v>
      </c>
      <c r="P300" s="100">
        <v>45323</v>
      </c>
      <c r="Q300" s="100">
        <v>45352</v>
      </c>
      <c r="R300" s="1" t="s">
        <v>535</v>
      </c>
    </row>
    <row r="301" spans="2:18">
      <c r="B301" s="1" t="s">
        <v>349</v>
      </c>
      <c r="C301" s="1">
        <f t="shared" ref="C301:R301" si="65">SUM(C201:C248)</f>
        <v>33305.947041736814</v>
      </c>
      <c r="D301" s="1">
        <f t="shared" si="65"/>
        <v>46088.453805087418</v>
      </c>
      <c r="E301" s="1">
        <f t="shared" si="65"/>
        <v>46099.863232476237</v>
      </c>
      <c r="F301" s="1">
        <f t="shared" si="65"/>
        <v>52750.442560666204</v>
      </c>
      <c r="G301" s="1">
        <f t="shared" si="65"/>
        <v>54286.541673336047</v>
      </c>
      <c r="H301" s="1">
        <f t="shared" si="65"/>
        <v>51776.013726931116</v>
      </c>
      <c r="I301" s="1">
        <f t="shared" si="65"/>
        <v>54515.652403046115</v>
      </c>
      <c r="J301" s="1">
        <f t="shared" si="65"/>
        <v>52756.817662738256</v>
      </c>
      <c r="K301" s="1">
        <f t="shared" si="65"/>
        <v>46340.289260335157</v>
      </c>
      <c r="L301" s="1">
        <f t="shared" si="65"/>
        <v>47435.579894534239</v>
      </c>
      <c r="M301" s="1">
        <f t="shared" si="65"/>
        <v>59956.16098345544</v>
      </c>
      <c r="N301" s="1">
        <f t="shared" si="65"/>
        <v>67594.608892091099</v>
      </c>
      <c r="O301" s="1">
        <f t="shared" si="65"/>
        <v>81088.543876522992</v>
      </c>
      <c r="P301" s="1">
        <f t="shared" si="65"/>
        <v>81593.015467246427</v>
      </c>
      <c r="Q301" s="1">
        <f t="shared" si="65"/>
        <v>118178.85706511136</v>
      </c>
      <c r="R301" s="1">
        <f t="shared" si="65"/>
        <v>130467.8942151315</v>
      </c>
    </row>
    <row r="302" spans="2:18">
      <c r="B302" s="1" t="s">
        <v>534</v>
      </c>
      <c r="C302" s="1">
        <f t="shared" ref="C302:R302" si="66">SUM(C249:C254,C257:C261)</f>
        <v>17.899999999999999</v>
      </c>
      <c r="D302" s="1">
        <f t="shared" si="66"/>
        <v>35.85</v>
      </c>
      <c r="E302" s="1">
        <f t="shared" si="66"/>
        <v>1015.4</v>
      </c>
      <c r="F302" s="1">
        <f t="shared" si="66"/>
        <v>2422.2399999999998</v>
      </c>
      <c r="G302" s="1">
        <f t="shared" si="66"/>
        <v>2828.6800000000003</v>
      </c>
      <c r="H302" s="1">
        <f t="shared" si="66"/>
        <v>4412.88</v>
      </c>
      <c r="I302" s="1">
        <f t="shared" si="66"/>
        <v>6415.67</v>
      </c>
      <c r="J302" s="1">
        <f t="shared" si="66"/>
        <v>9202.82</v>
      </c>
      <c r="K302" s="1">
        <f t="shared" si="66"/>
        <v>8726.2000000000007</v>
      </c>
      <c r="L302" s="1">
        <f t="shared" si="66"/>
        <v>8727.65</v>
      </c>
      <c r="M302" s="1">
        <f t="shared" si="66"/>
        <v>9295.6299999999992</v>
      </c>
      <c r="N302" s="1">
        <f t="shared" si="66"/>
        <v>14147.91</v>
      </c>
      <c r="O302" s="1">
        <f t="shared" si="66"/>
        <v>16748.310000000001</v>
      </c>
      <c r="P302" s="1">
        <f t="shared" si="66"/>
        <v>17758.449999999997</v>
      </c>
      <c r="Q302" s="1">
        <f t="shared" si="66"/>
        <v>34850.549999999996</v>
      </c>
      <c r="R302" s="1">
        <f t="shared" si="66"/>
        <v>28406.480000000003</v>
      </c>
    </row>
    <row r="303" spans="2:18">
      <c r="B303" s="1" t="s">
        <v>411</v>
      </c>
      <c r="C303" s="1">
        <f t="shared" ref="C303:R303" si="67">SUM(C255,C262)</f>
        <v>0</v>
      </c>
      <c r="D303" s="1">
        <f t="shared" si="67"/>
        <v>211.8</v>
      </c>
      <c r="E303" s="1">
        <f t="shared" si="67"/>
        <v>525.86</v>
      </c>
      <c r="F303" s="1">
        <f t="shared" si="67"/>
        <v>135.5</v>
      </c>
      <c r="G303" s="1">
        <f t="shared" si="67"/>
        <v>118.56</v>
      </c>
      <c r="H303" s="1">
        <f t="shared" si="67"/>
        <v>146.72</v>
      </c>
      <c r="I303" s="1">
        <f t="shared" si="67"/>
        <v>0</v>
      </c>
      <c r="J303" s="1">
        <f t="shared" si="67"/>
        <v>0</v>
      </c>
      <c r="K303" s="1">
        <f t="shared" si="67"/>
        <v>0</v>
      </c>
      <c r="L303" s="1">
        <f t="shared" si="67"/>
        <v>0</v>
      </c>
      <c r="M303" s="1">
        <f t="shared" si="67"/>
        <v>0</v>
      </c>
      <c r="N303" s="1">
        <f t="shared" si="67"/>
        <v>0</v>
      </c>
      <c r="O303" s="1">
        <f t="shared" si="67"/>
        <v>0</v>
      </c>
      <c r="P303" s="1">
        <f t="shared" si="67"/>
        <v>0</v>
      </c>
      <c r="Q303" s="1">
        <f t="shared" si="67"/>
        <v>0</v>
      </c>
      <c r="R303" s="1">
        <f t="shared" si="67"/>
        <v>0</v>
      </c>
    </row>
  </sheetData>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F9C3-AA18-4AAE-BA69-9C9E199ADB80}">
  <sheetPr codeName="Sheet5"/>
  <dimension ref="B1:X94"/>
  <sheetViews>
    <sheetView tabSelected="1" topLeftCell="B1" zoomScaleNormal="100" workbookViewId="0">
      <selection activeCell="E6" sqref="E6"/>
    </sheetView>
  </sheetViews>
  <sheetFormatPr defaultRowHeight="15"/>
  <cols>
    <col min="1" max="1" width="1.7109375" style="1" customWidth="1"/>
    <col min="2" max="2" width="16.7109375" style="1" customWidth="1"/>
    <col min="3" max="3" width="15.140625" style="1" customWidth="1"/>
    <col min="4" max="4" width="15.7109375" style="1" bestFit="1" customWidth="1"/>
    <col min="5" max="12" width="15.140625" style="1" customWidth="1"/>
    <col min="13" max="13" width="1.42578125" style="1" customWidth="1"/>
    <col min="14" max="14" width="14.7109375" style="1" customWidth="1"/>
    <col min="15" max="15" width="12.7109375" style="1" customWidth="1"/>
    <col min="16" max="18" width="13.7109375" style="1" customWidth="1"/>
    <col min="19" max="19" width="14.7109375" style="1" customWidth="1"/>
    <col min="20" max="21" width="12.7109375" style="1" customWidth="1"/>
    <col min="22" max="22" width="10.7109375" style="1" customWidth="1"/>
    <col min="23" max="24" width="12.7109375" style="1" customWidth="1"/>
    <col min="25" max="16384" width="9.140625" style="1"/>
  </cols>
  <sheetData>
    <row r="1" spans="2:22" ht="33.75">
      <c r="B1" s="151" t="s">
        <v>514</v>
      </c>
      <c r="C1" s="151"/>
      <c r="D1" s="151"/>
      <c r="E1" s="151"/>
      <c r="F1" s="151"/>
      <c r="G1" s="151"/>
      <c r="H1" s="151"/>
      <c r="I1" s="151"/>
      <c r="J1" s="52" t="s">
        <v>460</v>
      </c>
      <c r="K1" s="62" t="s">
        <v>461</v>
      </c>
      <c r="L1" s="63" t="s">
        <v>348</v>
      </c>
      <c r="N1" s="86">
        <v>365</v>
      </c>
      <c r="O1" s="64" t="s">
        <v>462</v>
      </c>
    </row>
    <row r="2" spans="2:22" ht="7.5" customHeight="1"/>
    <row r="3" spans="2:22" ht="21" customHeight="1">
      <c r="B3" s="155" t="s">
        <v>435</v>
      </c>
      <c r="C3" s="156"/>
      <c r="D3" s="161">
        <f>SUM(Portfolio_v2!J3:J100)</f>
        <v>160392.65877513157</v>
      </c>
      <c r="E3" s="162"/>
      <c r="N3" s="190" t="s">
        <v>501</v>
      </c>
      <c r="O3" s="191"/>
      <c r="P3" s="66" t="s">
        <v>47</v>
      </c>
      <c r="Q3" s="66" t="s">
        <v>23</v>
      </c>
      <c r="R3" s="66" t="s">
        <v>27</v>
      </c>
      <c r="S3" s="66" t="e" vm="17">
        <v>#VALUE!</v>
      </c>
      <c r="T3" s="66" t="e" vm="20">
        <v>#VALUE!</v>
      </c>
      <c r="U3" s="67" t="e" vm="21">
        <v>#VALUE!</v>
      </c>
    </row>
    <row r="4" spans="2:22" ht="18" customHeight="1">
      <c r="B4" s="157" t="s">
        <v>436</v>
      </c>
      <c r="C4" s="158"/>
      <c r="D4" s="163">
        <f>SUM(Portfolio_v2!N3:N100)</f>
        <v>85441.433402215887</v>
      </c>
      <c r="E4" s="164"/>
      <c r="N4" s="188" t="s">
        <v>3</v>
      </c>
      <c r="O4" s="145"/>
      <c r="P4" s="1" t="str">
        <f>_xlfn.XLOOKUP(P3,Portfolio_v2!$B$3:$B$58,Portfolio_v2!$A$3:$A$58)</f>
        <v>Bitcoin</v>
      </c>
      <c r="Q4" s="1" t="str">
        <f>_xlfn.XLOOKUP(Q3,Portfolio_v2!$B$3:$B$58,Portfolio_v2!$A$3:$A$58)</f>
        <v>Ethereum</v>
      </c>
      <c r="R4" s="1" t="str">
        <f>_xlfn.XLOOKUP(R3,Portfolio_v2!$B$3:$B$58,Portfolio_v2!$A$3:$A$58)</f>
        <v>Avalanche</v>
      </c>
      <c r="S4" s="1" t="str">
        <f>_xlfn.XLOOKUP(S3,Portfolio_v2!$B$3:$B$58,Portfolio_v2!$A$3:$A$58)</f>
        <v>Coinbase</v>
      </c>
      <c r="T4" s="1" t="str">
        <f>_xlfn.XLOOKUP(T3,Portfolio_v2!$B$3:$B$63,Portfolio_v2!$A$3:$A$63)</f>
        <v>Marathon Digital</v>
      </c>
      <c r="U4" s="53" t="str">
        <f>_xlfn.XLOOKUP(U3,Portfolio_v2!$B$3:$B$63,Portfolio_v2!$A$3:$A$63)</f>
        <v>MicroStrategy</v>
      </c>
    </row>
    <row r="5" spans="2:22" ht="18" customHeight="1">
      <c r="B5" s="157" t="s">
        <v>437</v>
      </c>
      <c r="C5" s="158"/>
      <c r="D5" s="111">
        <f>SUM(Portfolio_v2!L3:L100)</f>
        <v>63831.252757900402</v>
      </c>
      <c r="E5" s="112">
        <f>(SUM(Portfolio_v2!J3:J100)-SUM(Portfolio_v2!I3:I100))/SUM(Portfolio_v2!I3:I100)</f>
        <v>0.66104311640315117</v>
      </c>
      <c r="N5" s="188" t="s">
        <v>463</v>
      </c>
      <c r="O5" s="145"/>
      <c r="P5" s="1" t="str">
        <f>_xlfn.XLOOKUP(P3,Portfolio_v2!$B$3:$B$58,Portfolio_v2!$Y$3:$Y$58)</f>
        <v>USD</v>
      </c>
      <c r="Q5" s="1" t="str">
        <f>_xlfn.XLOOKUP(Q3,Portfolio_v2!$B$3:$B$58,Portfolio_v2!$Y$3:$Y$58)</f>
        <v>USD</v>
      </c>
      <c r="R5" s="1" t="str">
        <f>_xlfn.XLOOKUP(R3,Portfolio_v2!$B$3:$B$58,Portfolio_v2!$Y$3:$Y$58)</f>
        <v>USD</v>
      </c>
      <c r="S5" s="1" t="str">
        <f>_xlfn.XLOOKUP(S3,Portfolio_v2!$B$3:$B$58,Portfolio_v2!$Y$3:$Y$58)</f>
        <v>USD</v>
      </c>
      <c r="T5" s="1" t="str">
        <f>_xlfn.XLOOKUP(T3,Portfolio_v2!$B$3:$B$63,Portfolio_v2!$Y$3:$Y$63)</f>
        <v>USD</v>
      </c>
      <c r="U5" s="53" t="str">
        <f>_xlfn.XLOOKUP(U3,Portfolio_v2!$B$3:$B$63,Portfolio_v2!$Y$3:$Y$63)</f>
        <v>USD</v>
      </c>
    </row>
    <row r="6" spans="2:22" ht="18" customHeight="1">
      <c r="B6" s="159" t="s">
        <v>380</v>
      </c>
      <c r="C6" s="160"/>
      <c r="D6" s="113">
        <f>SUMPRODUCT(Portfolio_v2!H3:H100,Portfolio_v2!C3:C100)</f>
        <v>6830.5388217917616</v>
      </c>
      <c r="E6" s="114">
        <f>D6/D3</f>
        <v>4.2586355721979073E-2</v>
      </c>
      <c r="N6" s="188" t="s">
        <v>282</v>
      </c>
      <c r="O6" s="145"/>
      <c r="P6" s="1">
        <f>_xlfn.XLOOKUP(P3,Portfolio_v2!$B$3:$B$58,Portfolio_v2!$E$3:$E$58)</f>
        <v>70232</v>
      </c>
      <c r="Q6" s="1">
        <f>_xlfn.XLOOKUP(Q3,Portfolio_v2!$B$3:$B$58,Portfolio_v2!$E$3:$E$58)</f>
        <v>3610.03</v>
      </c>
      <c r="R6" s="1">
        <f>_xlfn.XLOOKUP(R3,Portfolio_v2!$B$3:$B$58,Portfolio_v2!$E$3:$E$58)</f>
        <v>58.29</v>
      </c>
      <c r="S6" s="1">
        <f>_xlfn.XLOOKUP(S3,Portfolio_v2!$B$3:$B$58,Portfolio_v2!$E$3:$E$58)</f>
        <v>251.4</v>
      </c>
      <c r="T6" s="1">
        <f>_xlfn.XLOOKUP(T3,Portfolio_v2!$B$3:$B$64,Portfolio_v2!$E$3:$E$64)</f>
        <v>21.07</v>
      </c>
      <c r="U6" s="53">
        <f>_xlfn.XLOOKUP(U3,Portfolio_v2!$B$3:$B$63,Portfolio_v2!$E$3:$E$63)</f>
        <v>1694.69</v>
      </c>
    </row>
    <row r="7" spans="2:22">
      <c r="N7" s="188" t="s">
        <v>379</v>
      </c>
      <c r="O7" s="145"/>
      <c r="P7" s="41">
        <f>_xlfn.XLOOKUP(P3,Portfolio_v2!$B$3:$B$58,Portfolio_v2!$G$3:$G$58)</f>
        <v>5.3891700000000001E-2</v>
      </c>
      <c r="Q7" s="41">
        <f>_xlfn.XLOOKUP(Q3,Portfolio_v2!$B$3:$B$58,Portfolio_v2!$G$3:$G$58)</f>
        <v>5.1454899999999998E-2</v>
      </c>
      <c r="R7" s="41">
        <f>_xlfn.XLOOKUP(R3,Portfolio_v2!$B$3:$B$58,Portfolio_v2!$G$3:$G$58)</f>
        <v>4.37004E-2</v>
      </c>
      <c r="S7" s="41">
        <f>_xlfn.XLOOKUP(S3,Portfolio_v2!$B$3:$B$58,Portfolio_v2!$G$3:$G$58)</f>
        <v>2.9484E-2</v>
      </c>
      <c r="T7" s="41">
        <f>_xlfn.XLOOKUP(T3,Portfolio_v2!$B$3:$B$63,Portfolio_v2!$G$3:$G$63)</f>
        <v>2.6803E-2</v>
      </c>
      <c r="U7" s="50">
        <f>_xlfn.XLOOKUP(U3,Portfolio_v2!$B$3:$B$63,Portfolio_v2!$G$3:$G$63)</f>
        <v>3.4123000000000001E-2</v>
      </c>
      <c r="V7" s="41"/>
    </row>
    <row r="8" spans="2:22" ht="16.5" customHeight="1">
      <c r="B8" s="168" t="s">
        <v>438</v>
      </c>
      <c r="C8" s="169"/>
      <c r="D8" s="168" t="s">
        <v>439</v>
      </c>
      <c r="E8" s="172"/>
      <c r="N8" s="188" t="s">
        <v>380</v>
      </c>
      <c r="O8" s="145"/>
      <c r="P8" s="1">
        <f>_xlfn.XLOOKUP(P3,Portfolio_v2!$B$3:$B$58,Portfolio_v2!$H$3:$H$58)</f>
        <v>3591.35</v>
      </c>
      <c r="Q8" s="1">
        <f>_xlfn.XLOOKUP(Q3,Portfolio_v2!$B$3:$B$58,Portfolio_v2!$H$3:$H$58)</f>
        <v>176.66</v>
      </c>
      <c r="R8" s="1">
        <f>_xlfn.XLOOKUP(R3,Portfolio_v2!$B$3:$B$58,Portfolio_v2!$H$3:$H$58)</f>
        <v>2.44</v>
      </c>
      <c r="S8" s="1">
        <f>_xlfn.XLOOKUP(S3,Portfolio_v2!$B$3:$B$58,Portfolio_v2!$H$3:$H$58)</f>
        <v>7.2</v>
      </c>
      <c r="T8" s="1">
        <f>_xlfn.XLOOKUP(T3,Portfolio_v2!$B$3:$B$63,Portfolio_v2!$H$3:$H$63)</f>
        <v>0.55000000000000004</v>
      </c>
      <c r="U8" s="53">
        <f>_xlfn.XLOOKUP(U3,Portfolio_v2!$B$3:$B$63,Portfolio_v2!$H$3:$H$63)</f>
        <v>55.92</v>
      </c>
    </row>
    <row r="9" spans="2:22" ht="18" customHeight="1">
      <c r="B9" s="104" t="str" cm="1">
        <f t="array" ref="B9">IFERROR(INDEX(Portfolio_v2!B:B, MATCH(MAX(Portfolio_v2!G3:G62), Portfolio_v2!G3:G62, 0) + 2), "")</f>
        <v>ALT</v>
      </c>
      <c r="C9" s="105">
        <f>MAX(Portfolio_v2!G3:G100)</f>
        <v>0.21077110000000002</v>
      </c>
      <c r="D9" s="110" t="str" cm="1">
        <f t="array" ref="D9">IFERROR(INDEX(Portfolio_v2!B:B, MATCH(MIN(Portfolio_v2!G3:G62), Portfolio_v2!G3:G62, 0) + 2), "")</f>
        <v>ALEX</v>
      </c>
      <c r="E9" s="106">
        <f>MIN(Portfolio_v2!G3:G100)</f>
        <v>-1.7954100000000001E-2</v>
      </c>
      <c r="N9" s="188" t="s">
        <v>464</v>
      </c>
      <c r="O9" s="145"/>
      <c r="P9" s="84" cm="1">
        <f t="array" ref="P9">IF(ISBLANK(P3),"",IFERROR(_FV(P3,"Market cap",TRUE),INDEX(markets?vs_currency_usd_ids_bitcoin_2Cethereum_2Ctether_2Cbinancecoin_2Csola__2[market_cap],MATCH(P3,'CoinGeko API'!$C:$C,0))))</f>
        <v>433574172994</v>
      </c>
      <c r="Q9" s="84" cm="1">
        <f t="array" ref="Q9">IF(ISBLANK(Q3),"",IFERROR(_FV(Q3,"Market cap",TRUE),INDEX(markets?vs_currency_usd_ids_bitcoin_2Cethereum_2Ctether_2Cbinancecoin_2Csola__2[market_cap],MATCH(Q3,'CoinGeko API'!$C:$C,0))))</f>
        <v>104253001097</v>
      </c>
      <c r="R9" s="82" cm="1">
        <f t="array" ref="R9">IF(ISBLANK(R3),"",IFERROR(_FV(R3,"Market cap",TRUE),INDEX(markets?vs_currency_usd_ids_bitcoin_2Cethereum_2Ctether_2Cbinancecoin_2Csola__2[total_volume],MATCH(R3,'CoinGeko API'!$C:$C,0))))</f>
        <v>316051902</v>
      </c>
      <c r="S9" s="82" cm="1">
        <f t="array" ref="S9">IF(ISBLANK(S3),"",IFERROR(_FV(S3,"Market cap",TRUE),INDEX(markets?vs_currency_usd_ids_bitcoin_2Cethereum_2Ctether_2Cbinancecoin_2Csola__2[market_cap],MATCH(S3,'CoinGeko API'!$C:$C,0))))</f>
        <v>61736021460</v>
      </c>
      <c r="T9" s="82" cm="1">
        <f t="array" ref="T9">IF(ISBLANK(T3),"",IFERROR(_FV(T3,"Market cap",TRUE),INDEX(markets?vs_currency_usd_ids_bitcoin_2Cethereum_2Ctether_2Cbinancecoin_2Csola__2[market_cap],MATCH(T3,'CoinGeko API'!$C:$C,0))))</f>
        <v>5958330518</v>
      </c>
      <c r="U9" s="68" cm="1">
        <f t="array" ref="U9">IF(ISBLANK(U3),"",IFERROR(_FV(U3,"Market cap",TRUE),INDEX(markets?vs_currency_usd_ids_bitcoin_2Cethereum_2Ctether_2Cbinancecoin_2Csola__2[market_cap],MATCH(U3,'CoinGeko API'!$C:$C,0))))</f>
        <v>30059445246</v>
      </c>
      <c r="V9" s="82"/>
    </row>
    <row r="10" spans="2:22" ht="18" customHeight="1">
      <c r="B10" s="104" t="str" cm="1">
        <f t="array" ref="B10">IFERROR(INDEX(Portfolio_v2!B:B, MATCH(LARGE(Portfolio_v2!G3:G62, 2), Portfolio_v2!G3:G62, 0) + 2), "")</f>
        <v>THE</v>
      </c>
      <c r="C10" s="105">
        <f>LARGE(Portfolio_v2!G3:G100, 2)</f>
        <v>0.14344099999999999</v>
      </c>
      <c r="D10" s="110" t="e" cm="1" vm="26">
        <f t="array" ref="D10">IFERROR(INDEX(Portfolio_v2!B:B, MATCH(SMALL(Portfolio_v2!G3:G62, 2), Portfolio_v2!G3:G62, 0) + 2), "")</f>
        <v>#VALUE!</v>
      </c>
      <c r="E10" s="106">
        <f>SMALL(Portfolio_v2!G3:G100, 2)</f>
        <v>-2.068E-3</v>
      </c>
      <c r="N10" s="188" t="s">
        <v>465</v>
      </c>
      <c r="O10" s="145"/>
      <c r="P10" s="84" cm="1">
        <f t="array" ref="P10">IF(ISBLANK(P3),"",IFERROR(_FV(P3,"Volume"),INDEX(markets?vs_currency_usd_ids_bitcoin_2Cethereum_2Ctether_2Cbinancecoin_2Csola__2[total_volume],MATCH(P3,'CoinGeko API'!$C:$C,0))))</f>
        <v>21091244209</v>
      </c>
      <c r="Q10" s="84" cm="1">
        <f t="array" ref="Q10">IF(ISBLANK(Q3),"",IFERROR(_FV(Q3,"Volume"),INDEX(markets?vs_currency_usd_ids_bitcoin_2Cethereum_2Ctether_2Cbinancecoin_2Csola__2[total_volume],MATCH(Q3,'CoinGeko API'!$C:$C,0))))</f>
        <v>73516417536</v>
      </c>
      <c r="R10" s="82" cm="1">
        <f t="array" ref="R10">IF(ISBLANK(R3),"",IFERROR(_FV(R3,"Volume"),INDEX(markets?vs_currency_usd_ids_bitcoin_2Cethereum_2Ctether_2Cbinancecoin_2Csola__2[total_volume],MATCH(R3,'CoinGeko API'!$C:$C,0))))</f>
        <v>316051902</v>
      </c>
      <c r="S10" s="82" cm="1">
        <f t="array" ref="S10">IF(ISBLANK(S3),"",IFERROR(_FV(S3,"Volume"),INDEX(markets?vs_currency_usd_ids_bitcoin_2Cethereum_2Ctether_2Cbinancecoin_2Csola__2[total_volume],MATCH(S3,'CoinGeko API'!$C:$C,0))))</f>
        <v>29654</v>
      </c>
      <c r="T10" s="82" cm="1">
        <f t="array" ref="T10">IF(ISBLANK(T3),"",IFERROR(_FV(T3,"Volume"),INDEX(markets?vs_currency_usd_ids_bitcoin_2Cethereum_2Ctether_2Cbinancecoin_2Csola__2[total_volume],MATCH(T3,'CoinGeko API'!$C:$C,0))))</f>
        <v>59280</v>
      </c>
      <c r="U10" s="68" cm="1">
        <f t="array" ref="U10">IF(ISBLANK(U3),"",IFERROR(_FV(U3,"Volume"),INDEX(markets?vs_currency_usd_ids_bitcoin_2Cethereum_2Ctether_2Cbinancecoin_2Csola__2[total_volume],MATCH(U3,'CoinGeko API'!$C:$C,0))))</f>
        <v>3055</v>
      </c>
      <c r="V10" s="82"/>
    </row>
    <row r="11" spans="2:22" ht="18" customHeight="1">
      <c r="B11" s="170" t="s">
        <v>440</v>
      </c>
      <c r="C11" s="171"/>
      <c r="D11" s="170" t="s">
        <v>441</v>
      </c>
      <c r="E11" s="189"/>
      <c r="N11" s="188" t="s">
        <v>466</v>
      </c>
      <c r="O11" s="145"/>
      <c r="P11" s="85" t="s">
        <v>74</v>
      </c>
      <c r="Q11" s="85" t="s">
        <v>74</v>
      </c>
      <c r="R11" s="85" t="s">
        <v>74</v>
      </c>
      <c r="S11" s="77" t="s">
        <v>74</v>
      </c>
      <c r="T11" s="27">
        <v>-4.0999999999999996</v>
      </c>
      <c r="U11" s="53">
        <v>-1.0900000000000001</v>
      </c>
      <c r="V11" s="82"/>
    </row>
    <row r="12" spans="2:22" ht="18" customHeight="1">
      <c r="B12" s="115" t="e" cm="1" vm="21">
        <f t="array" ref="B12">IFERROR(INDEX(Portfolio_v2!B:B, MATCH(MAX(Portfolio_v2!K3:K62), Portfolio_v2!K3:K62, 0) + 2), "")</f>
        <v>#VALUE!</v>
      </c>
      <c r="C12" s="107">
        <f>MAX(Portfolio_v2!K3:K100)</f>
        <v>3.7932627490171309</v>
      </c>
      <c r="D12" s="108" t="str" cm="1">
        <f t="array" ref="D12">IFERROR(INDEX(Portfolio_v2!B:B, MATCH(MIN(Portfolio_v2!K3:K62), Portfolio_v2!K3:K62, 0) + 2), "")</f>
        <v>DOT</v>
      </c>
      <c r="E12" s="109">
        <f>MIN(Portfolio_v2!K3:K100)</f>
        <v>-0.66129585190263962</v>
      </c>
      <c r="N12" s="188" t="s">
        <v>467</v>
      </c>
      <c r="O12" s="145"/>
      <c r="P12" s="85" t="s">
        <v>74</v>
      </c>
      <c r="Q12" s="85" t="s">
        <v>74</v>
      </c>
      <c r="R12" s="85" t="s">
        <v>74</v>
      </c>
      <c r="S12" s="83" cm="1">
        <f t="array" ref="S12">_FV(S3,"Beta")</f>
        <v>2.8849999999999998</v>
      </c>
      <c r="T12" s="83" cm="1">
        <f t="array" ref="T12">_FV(T3,"Beta")</f>
        <v>5.6067999999999998</v>
      </c>
      <c r="U12" s="69" cm="1">
        <f t="array" ref="U12">_FV(U3,"Beta")</f>
        <v>3.1478000000000002</v>
      </c>
    </row>
    <row r="13" spans="2:22">
      <c r="N13" s="188" t="s">
        <v>468</v>
      </c>
      <c r="O13" s="145"/>
      <c r="P13" s="85" t="s">
        <v>74</v>
      </c>
      <c r="Q13" s="85" t="s">
        <v>74</v>
      </c>
      <c r="R13" s="85" t="s">
        <v>74</v>
      </c>
      <c r="S13" s="1">
        <v>-0.01</v>
      </c>
      <c r="T13" s="1">
        <v>-4.32</v>
      </c>
      <c r="U13" s="53">
        <v>8.6300000000000008</v>
      </c>
      <c r="V13" s="83"/>
    </row>
    <row r="14" spans="2:22">
      <c r="B14" s="165" t="s">
        <v>442</v>
      </c>
      <c r="C14" s="166"/>
      <c r="D14" s="56">
        <f>D15+D16</f>
        <v>176442.29861568561</v>
      </c>
      <c r="N14" s="188" t="s">
        <v>469</v>
      </c>
      <c r="O14" s="145"/>
      <c r="P14" s="2">
        <v>73350</v>
      </c>
      <c r="Q14" s="2">
        <v>4080</v>
      </c>
      <c r="R14" s="2">
        <v>55</v>
      </c>
      <c r="S14" s="2" cm="1">
        <f t="array" ref="S14">_FV(S3,"52 week high",TRUE)</f>
        <v>283.48</v>
      </c>
      <c r="T14" s="2" cm="1">
        <f t="array" ref="T14">_FV(T3,"52 week high",TRUE)</f>
        <v>34.090000000000003</v>
      </c>
      <c r="U14" s="71" cm="1">
        <f t="array" ref="U14">_FV(U3,"52 week high",TRUE)</f>
        <v>1999.99</v>
      </c>
    </row>
    <row r="15" spans="2:22">
      <c r="B15" s="173" t="s">
        <v>443</v>
      </c>
      <c r="C15" s="137"/>
      <c r="D15" s="57">
        <f>SUM(Portfolio_v2!J3:J100)</f>
        <v>160392.65877513157</v>
      </c>
      <c r="N15" s="188" t="s">
        <v>470</v>
      </c>
      <c r="O15" s="145"/>
      <c r="P15" s="2">
        <v>19593.39</v>
      </c>
      <c r="Q15" s="2">
        <v>1372.941</v>
      </c>
      <c r="R15" s="2">
        <v>8.6999999999999993</v>
      </c>
      <c r="S15" s="2" cm="1">
        <f t="array" ref="S15">_FV(S3,"52 week low",TRUE)</f>
        <v>46.43</v>
      </c>
      <c r="T15" s="2" cm="1">
        <f t="array" ref="T15">_FV(T3,"52 week low",TRUE)</f>
        <v>7.16</v>
      </c>
      <c r="U15" s="71" cm="1">
        <f t="array" ref="U15">_FV(U3,"52 week low",TRUE)</f>
        <v>266</v>
      </c>
      <c r="V15" s="2"/>
    </row>
    <row r="16" spans="2:22">
      <c r="B16" s="173" t="s">
        <v>345</v>
      </c>
      <c r="C16" s="137"/>
      <c r="D16" s="57">
        <f>SUMIF(Transactions!$H:$H,"Cash Deposit",Transactions!$S:$S)+SUMIF(Transactions!$H:$H,"Sell",Transactions!$S:$S)+SUMIF(Transactions!$H:$H,"Dividend",Transactions!$S:$S)-SUMIF(Transactions!$H:$H,"Buy",Transactions!$S:$S)-SUMIF(Transactions!$H:$H,"Cash Withdrawal",Transactions!$S:$S)+SUMIFS(Transactions!$S:$S,Transactions!$L:$L,"Stablecoin",Transactions!$H:$H,"Buy")-SUMIFS(Transactions!$S:$S,Transactions!$L:$L,"Stablecoin",Transactions!$H:$H,"Sell")</f>
        <v>16049.639840554039</v>
      </c>
      <c r="N16" s="188" t="s">
        <v>471</v>
      </c>
      <c r="O16" s="145"/>
      <c r="P16" s="2"/>
      <c r="Q16" s="2"/>
      <c r="R16" s="2"/>
      <c r="U16" s="53"/>
      <c r="V16" s="2"/>
    </row>
    <row r="17" spans="2:24">
      <c r="B17" s="173" t="s">
        <v>383</v>
      </c>
      <c r="C17" s="137"/>
      <c r="D17" s="57">
        <f>SUM(Portfolio_v2!L3:L100)</f>
        <v>63831.252757900402</v>
      </c>
      <c r="N17" s="192" t="s">
        <v>472</v>
      </c>
      <c r="O17" s="193"/>
      <c r="P17" s="75" t="str">
        <f t="shared" ref="P17:U17" si="0">IFERROR(IF(P6&lt;((P14-P15)*0.5+P15),"Buy",IF(P6&gt;((P14-P15)*0.85+P15),"Sell","Hodl")),"-")</f>
        <v>Sell</v>
      </c>
      <c r="Q17" s="75" t="str">
        <f t="shared" si="0"/>
        <v>Hodl</v>
      </c>
      <c r="R17" s="75" t="str">
        <f t="shared" si="0"/>
        <v>Sell</v>
      </c>
      <c r="S17" s="75" t="str">
        <f t="shared" si="0"/>
        <v>Sell</v>
      </c>
      <c r="T17" s="75" t="str">
        <f t="shared" si="0"/>
        <v>Hodl</v>
      </c>
      <c r="U17" s="87" t="str">
        <f t="shared" si="0"/>
        <v>Hodl</v>
      </c>
    </row>
    <row r="18" spans="2:24">
      <c r="B18" s="173" t="s">
        <v>384</v>
      </c>
      <c r="C18" s="137"/>
      <c r="D18" s="57">
        <f>SUM(Portfolio_v2!M3:M100)</f>
        <v>21610.180644315511</v>
      </c>
      <c r="V18" s="77"/>
    </row>
    <row r="19" spans="2:24" ht="15.75">
      <c r="B19" s="173" t="s">
        <v>444</v>
      </c>
      <c r="C19" s="137"/>
      <c r="D19" s="57">
        <f>D17+D18</f>
        <v>85441.433402215916</v>
      </c>
      <c r="N19" s="178" t="s">
        <v>480</v>
      </c>
      <c r="O19" s="179"/>
      <c r="P19" s="179"/>
      <c r="Q19" s="179"/>
      <c r="R19" s="179"/>
      <c r="S19" s="179"/>
      <c r="T19" s="179"/>
      <c r="U19" s="179"/>
      <c r="V19" s="179"/>
      <c r="W19" s="179"/>
      <c r="X19" s="180"/>
    </row>
    <row r="20" spans="2:24">
      <c r="B20" s="174" t="s">
        <v>445</v>
      </c>
      <c r="C20" s="175"/>
      <c r="D20" s="55">
        <f ca="1">(SUM(Portfolio_v2!J3:J100)/SUM(Portfolio_v2!I3:I100))^(1/(YEARFRAC((MIN(Transactions!$C:$C)),TODAY())))-1</f>
        <v>0.42578050425767833</v>
      </c>
      <c r="N20" s="129" t="s">
        <v>320</v>
      </c>
      <c r="O20" s="130" t="s">
        <v>481</v>
      </c>
      <c r="P20" s="130" t="s">
        <v>482</v>
      </c>
      <c r="Q20" s="130" t="s">
        <v>451</v>
      </c>
      <c r="R20" s="130" t="s">
        <v>483</v>
      </c>
      <c r="S20" s="130" t="s">
        <v>330</v>
      </c>
      <c r="T20" s="130" t="s">
        <v>454</v>
      </c>
      <c r="U20" s="130" t="s">
        <v>484</v>
      </c>
      <c r="V20" s="130" t="s">
        <v>456</v>
      </c>
      <c r="W20" s="130" t="s">
        <v>359</v>
      </c>
      <c r="X20" s="131" t="s">
        <v>457</v>
      </c>
    </row>
    <row r="21" spans="2:24">
      <c r="N21" s="73" t="str" cm="1">
        <f t="array" ref="N21:N32">_xlfn._xlws.SORT(_xlfn._xlws.FILTER(_xlfn.UNIQUE(Transactions!$A$3:A1006), _xlfn.UNIQUE(Transactions!$A$3:A1006)&lt;&gt;""))</f>
        <v>Binance</v>
      </c>
      <c r="O21" s="2">
        <f>IF(ISBLANK(N21), "", SUMIFS(Transactions!$S:$S, Transactions!$A:$A, $N21, Transactions!$H:$H, "Cash Deposit") + SUMIFS(Transactions!$S:$S, Transactions!$A:$A, $N21, Transactions!$H:$H, "Crypto Deposit"))</f>
        <v>19677</v>
      </c>
      <c r="P21" s="2">
        <f>IF(ISBLANK(N21), "", SUMIFS(Transactions!$S:$S, Transactions!$A:$A, $N21, Transactions!$H:$H, "Cash Withdrawal") + SUMIFS(Transactions!$S:$S, Transactions!$A:$A, $N21, Transactions!$H:$H, "Crypto Withdrawal"))</f>
        <v>0</v>
      </c>
      <c r="Q21" s="2">
        <f t="shared" ref="Q21" si="1">O21-P21</f>
        <v>19677</v>
      </c>
      <c r="R21" s="2">
        <f>IF(ISBLANK(N21),"",SUMIFS(Transactions!$S:$S,Transactions!$H:$H,"Cash Deposit",Transactions!$A:$A,N21)+SUMIFS(Transactions!$S:$S,Transactions!$H:$H,"Sell",Transactions!$A:$A,N21)+SUMIFS(Transactions!$S:$S,Transactions!$H:$H,"Dividend",Transactions!$A:$A,N21)-SUMIFS(Transactions!$S:$S,Transactions!$H:$H,"Buy",Transactions!$A:$A,N21)-SUMIFS(Transactions!$S:$S,Transactions!$H:$H,"Cash Withdrawal",Transactions!$A:$A,N21)+SUMIFS(Transactions!$S:$S,Transactions!$H:$H,"Buy",Transactions!$L:$L,"Stablecoin",Transactions!$A:$A,N21))</f>
        <v>956.38901908000116</v>
      </c>
      <c r="S21" s="2">
        <f>IF(ISBLANK(N21),"",SUMIFS(Transactions!$R:$R,Transactions!$A:$A,$N21))</f>
        <v>12.914775000000001</v>
      </c>
      <c r="T21" s="125">
        <f>IF(ISBLANK(N21),"",COUNTIFS(Transactions!$H:$H,"Buy",Transactions!$A:$A,N21)+COUNTIFS(Transactions!$H:$H,"Sell",Transactions!$A:$A,N21))</f>
        <v>122</v>
      </c>
      <c r="U21" s="2">
        <f>IF(ISBLANK(N21),"",SUMIFS(Transactions!$S:$S,Transactions!$A:$A,$N21,Transactions!$H:$H,"Dividend"))</f>
        <v>0</v>
      </c>
      <c r="V21" s="2">
        <f>IF(ISBLANK(N21),"",SUMIFS(Transactions!$S:$S,Transactions!$A:$A,$N21,Transactions!$H:$H,"DRIP"))</f>
        <v>0</v>
      </c>
      <c r="W21" s="2">
        <f>IF(ISBLANK(N21),"",SUMIFS(Transactions!$S:$S,Transactions!$A:$A,$N21,Transactions!$H:$H,"Airdrop/Rewards"))</f>
        <v>490.9821</v>
      </c>
      <c r="X21" s="71">
        <f>SUM(U21:W21)</f>
        <v>490.9821</v>
      </c>
    </row>
    <row r="22" spans="2:24">
      <c r="B22" s="165" t="s">
        <v>446</v>
      </c>
      <c r="C22" s="166"/>
      <c r="D22" s="167"/>
      <c r="N22" s="73" t="str">
        <v>Bybit</v>
      </c>
      <c r="O22" s="2">
        <f>IF(ISBLANK(N22), "", SUMIFS(Transactions!$S:$S, Transactions!$A:$A, $N22, Transactions!$H:$H, "Cash Deposit") + SUMIFS(Transactions!$S:$S, Transactions!$A:$A, $N22, Transactions!$H:$H, "Crypto Deposit"))</f>
        <v>8540</v>
      </c>
      <c r="P22" s="2">
        <f>IF(ISBLANK(N22), "", SUMIFS(Transactions!$S:$S, Transactions!$A:$A, $N22, Transactions!$H:$H, "Cash Withdrawal") + SUMIFS(Transactions!$S:$S, Transactions!$A:$A, $N22, Transactions!$H:$H, "Crypto Withdrawal"))</f>
        <v>0</v>
      </c>
      <c r="Q22" s="2">
        <f t="shared" ref="Q22:Q32" si="2">O22-P22</f>
        <v>8540</v>
      </c>
      <c r="R22" s="2">
        <f>IF(ISBLANK(N22),"",SUMIFS(Transactions!$S:$S,Transactions!$H:$H,"Cash Deposit",Transactions!$A:$A,N22)+SUMIFS(Transactions!$S:$S,Transactions!$H:$H,"Sell",Transactions!$A:$A,N22)+SUMIFS(Transactions!$S:$S,Transactions!$H:$H,"Dividend",Transactions!$A:$A,N22)-SUMIFS(Transactions!$S:$S,Transactions!$H:$H,"Buy",Transactions!$A:$A,N22)-SUMIFS(Transactions!$S:$S,Transactions!$H:$H,"Cash Withdrawal",Transactions!$A:$A,N22)+SUMIFS(Transactions!$S:$S,Transactions!$H:$H,"Buy",Transactions!$L:$L,"Stablecoin",Transactions!$A:$A,N22))</f>
        <v>336.16499999999996</v>
      </c>
      <c r="S22" s="2">
        <f>IF(ISBLANK(N22),"",SUMIFS(Transactions!$R:$R,Transactions!$A:$A,$N22))</f>
        <v>0.69500000000000006</v>
      </c>
      <c r="T22" s="125">
        <f>IF(ISBLANK(N22),"",COUNTIFS(Transactions!$H:$H,"Buy",Transactions!$A:$A,N22)+COUNTIFS(Transactions!$H:$H,"Sell",Transactions!$A:$A,N22))</f>
        <v>20</v>
      </c>
      <c r="U22" s="2">
        <f>IF(ISBLANK(N22),"",SUMIFS(Transactions!$S:$S,Transactions!$A:$A,$N22,Transactions!$H:$H,"Dividend"))</f>
        <v>0</v>
      </c>
      <c r="V22" s="2">
        <f>IF(ISBLANK(N22),"",SUMIFS(Transactions!$S:$S,Transactions!$A:$A,$N22,Transactions!$H:$H,"DRIP"))</f>
        <v>0</v>
      </c>
      <c r="W22" s="2">
        <f>IF(ISBLANK(N22),"",SUMIFS(Transactions!$S:$S,Transactions!$A:$A,$N22,Transactions!$H:$H,"Airdrop/Rewards"))</f>
        <v>785</v>
      </c>
      <c r="X22" s="71">
        <f t="shared" ref="X22:X32" si="3">SUM(U22:W22)</f>
        <v>785</v>
      </c>
    </row>
    <row r="23" spans="2:24">
      <c r="B23" s="173" t="s">
        <v>447</v>
      </c>
      <c r="C23" s="137"/>
      <c r="D23" s="58">
        <v>44927</v>
      </c>
      <c r="N23" s="73" t="str">
        <v>Coinbase</v>
      </c>
      <c r="O23" s="2">
        <f>IF(ISBLANK(N23), "", SUMIFS(Transactions!$S:$S, Transactions!$A:$A, $N23, Transactions!$H:$H, "Cash Deposit") + SUMIFS(Transactions!$S:$S, Transactions!$A:$A, $N23, Transactions!$H:$H, "Crypto Deposit"))</f>
        <v>2172.9399999999996</v>
      </c>
      <c r="P23" s="2">
        <f>IF(ISBLANK(N23), "", SUMIFS(Transactions!$S:$S, Transactions!$A:$A, $N23, Transactions!$H:$H, "Cash Withdrawal") + SUMIFS(Transactions!$S:$S, Transactions!$A:$A, $N23, Transactions!$H:$H, "Crypto Withdrawal"))</f>
        <v>0</v>
      </c>
      <c r="Q23" s="2">
        <f t="shared" si="2"/>
        <v>2172.9399999999996</v>
      </c>
      <c r="R23" s="2">
        <f>IF(ISBLANK(N23),"",SUMIFS(Transactions!$S:$S,Transactions!$H:$H,"Cash Deposit",Transactions!$A:$A,N23)+SUMIFS(Transactions!$S:$S,Transactions!$H:$H,"Sell",Transactions!$A:$A,N23)+SUMIFS(Transactions!$S:$S,Transactions!$H:$H,"Dividend",Transactions!$A:$A,N23)-SUMIFS(Transactions!$S:$S,Transactions!$H:$H,"Buy",Transactions!$A:$A,N23)-SUMIFS(Transactions!$S:$S,Transactions!$H:$H,"Cash Withdrawal",Transactions!$A:$A,N23)+SUMIFS(Transactions!$S:$S,Transactions!$H:$H,"Buy",Transactions!$L:$L,"Stablecoin",Transactions!$A:$A,N23))</f>
        <v>41.539293085376812</v>
      </c>
      <c r="S23" s="2">
        <f>IF(ISBLANK(N23),"",SUMIFS(Transactions!$R:$R,Transactions!$A:$A,$N23))</f>
        <v>2.5436179999999999</v>
      </c>
      <c r="T23" s="125">
        <f>IF(ISBLANK(N23),"",COUNTIFS(Transactions!$H:$H,"Buy",Transactions!$A:$A,N23)+COUNTIFS(Transactions!$H:$H,"Sell",Transactions!$A:$A,N23))</f>
        <v>46</v>
      </c>
      <c r="U23" s="2">
        <f>IF(ISBLANK(N23),"",SUMIFS(Transactions!$S:$S,Transactions!$A:$A,$N23,Transactions!$H:$H,"Dividend"))</f>
        <v>0</v>
      </c>
      <c r="V23" s="2">
        <f>IF(ISBLANK(N23),"",SUMIFS(Transactions!$S:$S,Transactions!$A:$A,$N23,Transactions!$H:$H,"DRIP"))</f>
        <v>0</v>
      </c>
      <c r="W23" s="2">
        <f>IF(ISBLANK(N23),"",SUMIFS(Transactions!$S:$S,Transactions!$A:$A,$N23,Transactions!$H:$H,"Airdrop/Rewards"))</f>
        <v>0</v>
      </c>
      <c r="X23" s="71">
        <f t="shared" si="3"/>
        <v>0</v>
      </c>
    </row>
    <row r="24" spans="2:24">
      <c r="B24" s="173" t="s">
        <v>448</v>
      </c>
      <c r="C24" s="137"/>
      <c r="D24" s="58">
        <f ca="1">TODAY()</f>
        <v>45449</v>
      </c>
      <c r="N24" s="73" t="str">
        <v>CRO Defi Wallet</v>
      </c>
      <c r="O24" s="2">
        <f>IF(ISBLANK(N24), "", SUMIFS(Transactions!$S:$S, Transactions!$A:$A, $N24, Transactions!$H:$H, "Cash Deposit") + SUMIFS(Transactions!$S:$S, Transactions!$A:$A, $N24, Transactions!$H:$H, "Crypto Deposit"))</f>
        <v>3760.4028000000003</v>
      </c>
      <c r="P24" s="2">
        <f>IF(ISBLANK(N24), "", SUMIFS(Transactions!$S:$S, Transactions!$A:$A, $N24, Transactions!$H:$H, "Cash Withdrawal") + SUMIFS(Transactions!$S:$S, Transactions!$A:$A, $N24, Transactions!$H:$H, "Crypto Withdrawal"))</f>
        <v>0</v>
      </c>
      <c r="Q24" s="2">
        <f t="shared" si="2"/>
        <v>3760.4028000000003</v>
      </c>
      <c r="R24" s="2">
        <f>IF(ISBLANK(N24),"",SUMIFS(Transactions!$S:$S,Transactions!$H:$H,"Cash Deposit",Transactions!$A:$A,N24)+SUMIFS(Transactions!$S:$S,Transactions!$H:$H,"Sell",Transactions!$A:$A,N24)+SUMIFS(Transactions!$S:$S,Transactions!$H:$H,"Dividend",Transactions!$A:$A,N24)-SUMIFS(Transactions!$S:$S,Transactions!$H:$H,"Buy",Transactions!$A:$A,N24)-SUMIFS(Transactions!$S:$S,Transactions!$H:$H,"Cash Withdrawal",Transactions!$A:$A,N24)+SUMIFS(Transactions!$S:$S,Transactions!$H:$H,"Buy",Transactions!$L:$L,"Stablecoin",Transactions!$A:$A,N24))</f>
        <v>0</v>
      </c>
      <c r="S24" s="2">
        <f>IF(ISBLANK(N24),"",SUMIFS(Transactions!$R:$R,Transactions!$A:$A,$N24))</f>
        <v>0</v>
      </c>
      <c r="T24" s="125">
        <f>IF(ISBLANK(N24),"",COUNTIFS(Transactions!$H:$H,"Buy",Transactions!$A:$A,N24)+COUNTIFS(Transactions!$H:$H,"Sell",Transactions!$A:$A,N24))</f>
        <v>0</v>
      </c>
      <c r="U24" s="2">
        <f>IF(ISBLANK(N24),"",SUMIFS(Transactions!$S:$S,Transactions!$A:$A,$N24,Transactions!$H:$H,"Dividend"))</f>
        <v>0</v>
      </c>
      <c r="V24" s="2">
        <f>IF(ISBLANK(N24),"",SUMIFS(Transactions!$S:$S,Transactions!$A:$A,$N24,Transactions!$H:$H,"DRIP"))</f>
        <v>0</v>
      </c>
      <c r="W24" s="2">
        <f>IF(ISBLANK(N24),"",SUMIFS(Transactions!$S:$S,Transactions!$A:$A,$N24,Transactions!$H:$H,"Airdrop/Rewards"))</f>
        <v>0</v>
      </c>
      <c r="X24" s="71">
        <f t="shared" si="3"/>
        <v>0</v>
      </c>
    </row>
    <row r="25" spans="2:24">
      <c r="B25" s="173" t="s">
        <v>449</v>
      </c>
      <c r="C25" s="137"/>
      <c r="D25" s="61">
        <f ca="1">SUMIFS(Transactions!$S:$S,Transactions!$F:$F,"Cash",Transactions!$H:$H,"Cash Deposit",Transactions!$C:$C,"&gt;="&amp;$D$23,Transactions!$C:$C,"&lt;="&amp;$D$24)</f>
        <v>20945.899999999994</v>
      </c>
      <c r="N25" s="73" t="str">
        <v>Crypto.com</v>
      </c>
      <c r="O25" s="2">
        <f>IF(ISBLANK(N25), "", SUMIFS(Transactions!$S:$S, Transactions!$A:$A, $N25, Transactions!$H:$H, "Cash Deposit") + SUMIFS(Transactions!$S:$S, Transactions!$A:$A, $N25, Transactions!$H:$H, "Crypto Deposit"))</f>
        <v>120.3147</v>
      </c>
      <c r="P25" s="2">
        <f>IF(ISBLANK(N25), "", SUMIFS(Transactions!$S:$S, Transactions!$A:$A, $N25, Transactions!$H:$H, "Cash Withdrawal") + SUMIFS(Transactions!$S:$S, Transactions!$A:$A, $N25, Transactions!$H:$H, "Crypto Withdrawal"))</f>
        <v>0</v>
      </c>
      <c r="Q25" s="2">
        <f t="shared" si="2"/>
        <v>120.3147</v>
      </c>
      <c r="R25" s="2">
        <f>IF(ISBLANK(N25),"",SUMIFS(Transactions!$S:$S,Transactions!$H:$H,"Cash Deposit",Transactions!$A:$A,N25)+SUMIFS(Transactions!$S:$S,Transactions!$H:$H,"Sell",Transactions!$A:$A,N25)+SUMIFS(Transactions!$S:$S,Transactions!$H:$H,"Dividend",Transactions!$A:$A,N25)-SUMIFS(Transactions!$S:$S,Transactions!$H:$H,"Buy",Transactions!$A:$A,N25)-SUMIFS(Transactions!$S:$S,Transactions!$H:$H,"Cash Withdrawal",Transactions!$A:$A,N25)+SUMIFS(Transactions!$S:$S,Transactions!$H:$H,"Buy",Transactions!$L:$L,"Stablecoin",Transactions!$A:$A,N25))</f>
        <v>0</v>
      </c>
      <c r="S25" s="2">
        <f>IF(ISBLANK(N25),"",SUMIFS(Transactions!$R:$R,Transactions!$A:$A,$N25))</f>
        <v>0</v>
      </c>
      <c r="T25" s="125">
        <f>IF(ISBLANK(N25),"",COUNTIFS(Transactions!$H:$H,"Buy",Transactions!$A:$A,N25)+COUNTIFS(Transactions!$H:$H,"Sell",Transactions!$A:$A,N25))</f>
        <v>0</v>
      </c>
      <c r="U25" s="2">
        <f>IF(ISBLANK(N25),"",SUMIFS(Transactions!$S:$S,Transactions!$A:$A,$N25,Transactions!$H:$H,"Dividend"))</f>
        <v>0</v>
      </c>
      <c r="V25" s="2">
        <f>IF(ISBLANK(N25),"",SUMIFS(Transactions!$S:$S,Transactions!$A:$A,$N25,Transactions!$H:$H,"DRIP"))</f>
        <v>0</v>
      </c>
      <c r="W25" s="2">
        <f>IF(ISBLANK(N25),"",SUMIFS(Transactions!$S:$S,Transactions!$A:$A,$N25,Transactions!$H:$H,"Airdrop/Rewards"))</f>
        <v>0</v>
      </c>
      <c r="X25" s="71">
        <f t="shared" si="3"/>
        <v>0</v>
      </c>
    </row>
    <row r="26" spans="2:24">
      <c r="B26" s="173" t="s">
        <v>450</v>
      </c>
      <c r="C26" s="137"/>
      <c r="D26" s="61">
        <f ca="1">SUMIFS(Transactions!$S:$S,Transactions!$F:$F,"Cash",Transactions!$H:$H,"Cash Withdrawal",Transactions!$C:$C,"&gt;="&amp;$D$23,Transactions!$C:$C,"&lt;="&amp;$D$24)</f>
        <v>0</v>
      </c>
      <c r="N26" s="73" t="str">
        <v>Flint Wallet</v>
      </c>
      <c r="O26" s="2">
        <f>IF(ISBLANK(N26), "", SUMIFS(Transactions!$S:$S, Transactions!$A:$A, $N26, Transactions!$H:$H, "Cash Deposit") + SUMIFS(Transactions!$S:$S, Transactions!$A:$A, $N26, Transactions!$H:$H, "Crypto Deposit"))</f>
        <v>0</v>
      </c>
      <c r="P26" s="2">
        <f>IF(ISBLANK(N26), "", SUMIFS(Transactions!$S:$S, Transactions!$A:$A, $N26, Transactions!$H:$H, "Cash Withdrawal") + SUMIFS(Transactions!$S:$S, Transactions!$A:$A, $N26, Transactions!$H:$H, "Crypto Withdrawal"))</f>
        <v>0</v>
      </c>
      <c r="Q26" s="2">
        <f t="shared" si="2"/>
        <v>0</v>
      </c>
      <c r="R26" s="2">
        <f>IF(ISBLANK(N26),"",SUMIFS(Transactions!$S:$S,Transactions!$H:$H,"Cash Deposit",Transactions!$A:$A,N26)+SUMIFS(Transactions!$S:$S,Transactions!$H:$H,"Sell",Transactions!$A:$A,N26)+SUMIFS(Transactions!$S:$S,Transactions!$H:$H,"Dividend",Transactions!$A:$A,N26)-SUMIFS(Transactions!$S:$S,Transactions!$H:$H,"Buy",Transactions!$A:$A,N26)-SUMIFS(Transactions!$S:$S,Transactions!$H:$H,"Cash Withdrawal",Transactions!$A:$A,N26)+SUMIFS(Transactions!$S:$S,Transactions!$H:$H,"Buy",Transactions!$L:$L,"Stablecoin",Transactions!$A:$A,N26))</f>
        <v>0</v>
      </c>
      <c r="S26" s="2">
        <f>IF(ISBLANK(N26),"",SUMIFS(Transactions!$R:$R,Transactions!$A:$A,$N26))</f>
        <v>0</v>
      </c>
      <c r="T26" s="125">
        <f>IF(ISBLANK(N26),"",COUNTIFS(Transactions!$H:$H,"Buy",Transactions!$A:$A,N26)+COUNTIFS(Transactions!$H:$H,"Sell",Transactions!$A:$A,N26))</f>
        <v>0</v>
      </c>
      <c r="U26" s="2">
        <f>IF(ISBLANK(N26),"",SUMIFS(Transactions!$S:$S,Transactions!$A:$A,$N26,Transactions!$H:$H,"Dividend"))</f>
        <v>0</v>
      </c>
      <c r="V26" s="2">
        <f>IF(ISBLANK(N26),"",SUMIFS(Transactions!$S:$S,Transactions!$A:$A,$N26,Transactions!$H:$H,"DRIP"))</f>
        <v>0</v>
      </c>
      <c r="W26" s="2">
        <f>IF(ISBLANK(N26),"",SUMIFS(Transactions!$S:$S,Transactions!$A:$A,$N26,Transactions!$H:$H,"Airdrop/Rewards"))</f>
        <v>0</v>
      </c>
      <c r="X26" s="71">
        <f t="shared" si="3"/>
        <v>0</v>
      </c>
    </row>
    <row r="27" spans="2:24">
      <c r="B27" s="173" t="s">
        <v>451</v>
      </c>
      <c r="C27" s="137"/>
      <c r="D27" s="57">
        <f ca="1">D25-D26</f>
        <v>20945.899999999994</v>
      </c>
      <c r="N27" s="73" t="str">
        <v>Futu</v>
      </c>
      <c r="O27" s="2">
        <f>IF(ISBLANK(N27), "", SUMIFS(Transactions!$S:$S, Transactions!$A:$A, $N27, Transactions!$H:$H, "Cash Deposit") + SUMIFS(Transactions!$S:$S, Transactions!$A:$A, $N27, Transactions!$H:$H, "Crypto Deposit"))</f>
        <v>16780</v>
      </c>
      <c r="P27" s="2">
        <f>IF(ISBLANK(N27), "", SUMIFS(Transactions!$S:$S, Transactions!$A:$A, $N27, Transactions!$H:$H, "Cash Withdrawal") + SUMIFS(Transactions!$S:$S, Transactions!$A:$A, $N27, Transactions!$H:$H, "Crypto Withdrawal"))</f>
        <v>0</v>
      </c>
      <c r="Q27" s="2">
        <f t="shared" si="2"/>
        <v>16780</v>
      </c>
      <c r="R27" s="2">
        <f>IF(ISBLANK(N27),"",SUMIFS(Transactions!$S:$S,Transactions!$H:$H,"Cash Deposit",Transactions!$A:$A,N27)+SUMIFS(Transactions!$S:$S,Transactions!$H:$H,"Sell",Transactions!$A:$A,N27)+SUMIFS(Transactions!$S:$S,Transactions!$H:$H,"Dividend",Transactions!$A:$A,N27)-SUMIFS(Transactions!$S:$S,Transactions!$H:$H,"Buy",Transactions!$A:$A,N27)-SUMIFS(Transactions!$S:$S,Transactions!$H:$H,"Cash Withdrawal",Transactions!$A:$A,N27)+SUMIFS(Transactions!$S:$S,Transactions!$H:$H,"Buy",Transactions!$L:$L,"Stablecoin",Transactions!$A:$A,N27))</f>
        <v>14690.103999999999</v>
      </c>
      <c r="S27" s="2">
        <f>IF(ISBLANK(N27),"",SUMIFS(Transactions!$R:$R,Transactions!$A:$A,$N27))</f>
        <v>241.86000000000013</v>
      </c>
      <c r="T27" s="125">
        <f>IF(ISBLANK(N27),"",COUNTIFS(Transactions!$H:$H,"Buy",Transactions!$A:$A,N27)+COUNTIFS(Transactions!$H:$H,"Sell",Transactions!$A:$A,N27))</f>
        <v>100</v>
      </c>
      <c r="U27" s="2">
        <f>IF(ISBLANK(N27),"",SUMIFS(Transactions!$S:$S,Transactions!$A:$A,$N27,Transactions!$H:$H,"Dividend"))</f>
        <v>133.53</v>
      </c>
      <c r="V27" s="2">
        <f>IF(ISBLANK(N27),"",SUMIFS(Transactions!$S:$S,Transactions!$A:$A,$N27,Transactions!$H:$H,"DRIP"))</f>
        <v>0</v>
      </c>
      <c r="W27" s="2">
        <f>IF(ISBLANK(N27),"",SUMIFS(Transactions!$S:$S,Transactions!$A:$A,$N27,Transactions!$H:$H,"Airdrop/Rewards"))</f>
        <v>0</v>
      </c>
      <c r="X27" s="71">
        <f t="shared" si="3"/>
        <v>133.53</v>
      </c>
    </row>
    <row r="28" spans="2:24">
      <c r="B28" s="173" t="s">
        <v>452</v>
      </c>
      <c r="C28" s="137"/>
      <c r="D28" s="59">
        <f ca="1">COUNTIFS(Transactions!$H:$H,"Cash Deposit",Transactions!$C:$C,"&gt;="&amp;$D$23,Transactions!$C:$C,"&lt;="&amp;$D$24)</f>
        <v>16</v>
      </c>
      <c r="N28" s="73" t="str">
        <v>Keplr Wallet 1</v>
      </c>
      <c r="O28" s="2">
        <f>IF(ISBLANK(N28), "", SUMIFS(Transactions!$S:$S, Transactions!$A:$A, $N28, Transactions!$H:$H, "Cash Deposit") + SUMIFS(Transactions!$S:$S, Transactions!$A:$A, $N28, Transactions!$H:$H, "Crypto Deposit"))</f>
        <v>730.47400000000005</v>
      </c>
      <c r="P28" s="2">
        <f>IF(ISBLANK(N28), "", SUMIFS(Transactions!$S:$S, Transactions!$A:$A, $N28, Transactions!$H:$H, "Cash Withdrawal") + SUMIFS(Transactions!$S:$S, Transactions!$A:$A, $N28, Transactions!$H:$H, "Crypto Withdrawal"))</f>
        <v>0</v>
      </c>
      <c r="Q28" s="2">
        <f t="shared" si="2"/>
        <v>730.47400000000005</v>
      </c>
      <c r="R28" s="2">
        <f>IF(ISBLANK(N28),"",SUMIFS(Transactions!$S:$S,Transactions!$H:$H,"Cash Deposit",Transactions!$A:$A,N28)+SUMIFS(Transactions!$S:$S,Transactions!$H:$H,"Sell",Transactions!$A:$A,N28)+SUMIFS(Transactions!$S:$S,Transactions!$H:$H,"Dividend",Transactions!$A:$A,N28)-SUMIFS(Transactions!$S:$S,Transactions!$H:$H,"Buy",Transactions!$A:$A,N28)-SUMIFS(Transactions!$S:$S,Transactions!$H:$H,"Cash Withdrawal",Transactions!$A:$A,N28)+SUMIFS(Transactions!$S:$S,Transactions!$H:$H,"Buy",Transactions!$L:$L,"Stablecoin",Transactions!$A:$A,N28))</f>
        <v>0</v>
      </c>
      <c r="S28" s="2">
        <f>IF(ISBLANK(N28),"",SUMIFS(Transactions!$R:$R,Transactions!$A:$A,$N28))</f>
        <v>0</v>
      </c>
      <c r="T28" s="125">
        <f>IF(ISBLANK(N28),"",COUNTIFS(Transactions!$H:$H,"Buy",Transactions!$A:$A,N28)+COUNTIFS(Transactions!$H:$H,"Sell",Transactions!$A:$A,N28))</f>
        <v>0</v>
      </c>
      <c r="U28" s="2">
        <f>IF(ISBLANK(N28),"",SUMIFS(Transactions!$S:$S,Transactions!$A:$A,$N28,Transactions!$H:$H,"Dividend"))</f>
        <v>0</v>
      </c>
      <c r="V28" s="2">
        <f>IF(ISBLANK(N28),"",SUMIFS(Transactions!$S:$S,Transactions!$A:$A,$N28,Transactions!$H:$H,"DRIP"))</f>
        <v>0</v>
      </c>
      <c r="W28" s="2">
        <f>IF(ISBLANK(N28),"",SUMIFS(Transactions!$S:$S,Transactions!$A:$A,$N28,Transactions!$H:$H,"Airdrop/Rewards"))</f>
        <v>0</v>
      </c>
      <c r="X28" s="71">
        <f t="shared" si="3"/>
        <v>0</v>
      </c>
    </row>
    <row r="29" spans="2:24">
      <c r="B29" s="173" t="s">
        <v>453</v>
      </c>
      <c r="C29" s="137"/>
      <c r="D29" s="59">
        <f ca="1">COUNTIFS(Transactions!$H:$H,"Cash Withdrawal",Transactions!$C:$C,"&gt;="&amp;$D$23,Transactions!$C:$C,"&lt;="&amp;$D$24)</f>
        <v>0</v>
      </c>
      <c r="N29" s="73" t="str">
        <v>Keplr Wallet 2</v>
      </c>
      <c r="O29" s="2">
        <f>IF(ISBLANK(N29), "", SUMIFS(Transactions!$S:$S, Transactions!$A:$A, $N29, Transactions!$H:$H, "Cash Deposit") + SUMIFS(Transactions!$S:$S, Transactions!$A:$A, $N29, Transactions!$H:$H, "Crypto Deposit"))</f>
        <v>1221.096</v>
      </c>
      <c r="P29" s="2">
        <f>IF(ISBLANK(N29), "", SUMIFS(Transactions!$S:$S, Transactions!$A:$A, $N29, Transactions!$H:$H, "Cash Withdrawal") + SUMIFS(Transactions!$S:$S, Transactions!$A:$A, $N29, Transactions!$H:$H, "Crypto Withdrawal"))</f>
        <v>0</v>
      </c>
      <c r="Q29" s="2">
        <f t="shared" si="2"/>
        <v>1221.096</v>
      </c>
      <c r="R29" s="2">
        <f>IF(ISBLANK(N29),"",SUMIFS(Transactions!$S:$S,Transactions!$H:$H,"Cash Deposit",Transactions!$A:$A,N29)+SUMIFS(Transactions!$S:$S,Transactions!$H:$H,"Sell",Transactions!$A:$A,N29)+SUMIFS(Transactions!$S:$S,Transactions!$H:$H,"Dividend",Transactions!$A:$A,N29)-SUMIFS(Transactions!$S:$S,Transactions!$H:$H,"Buy",Transactions!$A:$A,N29)-SUMIFS(Transactions!$S:$S,Transactions!$H:$H,"Cash Withdrawal",Transactions!$A:$A,N29)+SUMIFS(Transactions!$S:$S,Transactions!$H:$H,"Buy",Transactions!$L:$L,"Stablecoin",Transactions!$A:$A,N29))</f>
        <v>0</v>
      </c>
      <c r="S29" s="2">
        <f>IF(ISBLANK(N29),"",SUMIFS(Transactions!$R:$R,Transactions!$A:$A,$N29))</f>
        <v>0</v>
      </c>
      <c r="T29" s="125">
        <f>IF(ISBLANK(N29),"",COUNTIFS(Transactions!$H:$H,"Buy",Transactions!$A:$A,N29)+COUNTIFS(Transactions!$H:$H,"Sell",Transactions!$A:$A,N29))</f>
        <v>0</v>
      </c>
      <c r="U29" s="2">
        <f>IF(ISBLANK(N29),"",SUMIFS(Transactions!$S:$S,Transactions!$A:$A,$N29,Transactions!$H:$H,"Dividend"))</f>
        <v>0</v>
      </c>
      <c r="V29" s="2">
        <f>IF(ISBLANK(N29),"",SUMIFS(Transactions!$S:$S,Transactions!$A:$A,$N29,Transactions!$H:$H,"DRIP"))</f>
        <v>0</v>
      </c>
      <c r="W29" s="2">
        <f>IF(ISBLANK(N29),"",SUMIFS(Transactions!$S:$S,Transactions!$A:$A,$N29,Transactions!$H:$H,"Airdrop/Rewards"))</f>
        <v>0</v>
      </c>
      <c r="X29" s="71">
        <f t="shared" si="3"/>
        <v>0</v>
      </c>
    </row>
    <row r="30" spans="2:24">
      <c r="B30" s="173" t="s">
        <v>330</v>
      </c>
      <c r="C30" s="137"/>
      <c r="D30" s="57">
        <f ca="1">SUMIFS(Transactions!$R:$R,Transactions!$C:$C,"&gt;="&amp;$D$23,Transactions!$C:$C,"&lt;="&amp;$D$24)</f>
        <v>287.40339300000039</v>
      </c>
      <c r="N30" s="73" t="str">
        <v>MetaMask</v>
      </c>
      <c r="O30" s="2">
        <f>IF(ISBLANK(N30), "", SUMIFS(Transactions!$S:$S, Transactions!$A:$A, $N30, Transactions!$H:$H, "Cash Deposit") + SUMIFS(Transactions!$S:$S, Transactions!$A:$A, $N30, Transactions!$H:$H, "Crypto Deposit"))</f>
        <v>49339.565185550004</v>
      </c>
      <c r="P30" s="2">
        <f>IF(ISBLANK(N30), "", SUMIFS(Transactions!$S:$S, Transactions!$A:$A, $N30, Transactions!$H:$H, "Cash Withdrawal") + SUMIFS(Transactions!$S:$S, Transactions!$A:$A, $N30, Transactions!$H:$H, "Crypto Withdrawal"))</f>
        <v>0</v>
      </c>
      <c r="Q30" s="2">
        <f t="shared" si="2"/>
        <v>49339.565185550004</v>
      </c>
      <c r="R30" s="2">
        <f>IF(ISBLANK(N30),"",SUMIFS(Transactions!$S:$S,Transactions!$H:$H,"Cash Deposit",Transactions!$A:$A,N30)+SUMIFS(Transactions!$S:$S,Transactions!$H:$H,"Sell",Transactions!$A:$A,N30)+SUMIFS(Transactions!$S:$S,Transactions!$H:$H,"Dividend",Transactions!$A:$A,N30)-SUMIFS(Transactions!$S:$S,Transactions!$H:$H,"Buy",Transactions!$A:$A,N30)-SUMIFS(Transactions!$S:$S,Transactions!$H:$H,"Cash Withdrawal",Transactions!$A:$A,N30)+SUMIFS(Transactions!$S:$S,Transactions!$H:$H,"Buy",Transactions!$L:$L,"Stablecoin",Transactions!$A:$A,N30))</f>
        <v>25.442528388666688</v>
      </c>
      <c r="S30" s="2">
        <f>IF(ISBLANK(N30),"",SUMIFS(Transactions!$R:$R,Transactions!$A:$A,$N30))</f>
        <v>26.890000000000008</v>
      </c>
      <c r="T30" s="125">
        <f>IF(ISBLANK(N30),"",COUNTIFS(Transactions!$H:$H,"Buy",Transactions!$A:$A,N30)+COUNTIFS(Transactions!$H:$H,"Sell",Transactions!$A:$A,N30))</f>
        <v>26</v>
      </c>
      <c r="U30" s="2">
        <f>IF(ISBLANK(N30),"",SUMIFS(Transactions!$S:$S,Transactions!$A:$A,$N30,Transactions!$H:$H,"Dividend"))</f>
        <v>0</v>
      </c>
      <c r="V30" s="2">
        <f>IF(ISBLANK(N30),"",SUMIFS(Transactions!$S:$S,Transactions!$A:$A,$N30,Transactions!$H:$H,"DRIP"))</f>
        <v>0</v>
      </c>
      <c r="W30" s="2">
        <f>IF(ISBLANK(N30),"",SUMIFS(Transactions!$S:$S,Transactions!$A:$A,$N30,Transactions!$H:$H,"Airdrop/Rewards"))</f>
        <v>2577.4983100972549</v>
      </c>
      <c r="X30" s="71">
        <f t="shared" si="3"/>
        <v>2577.4983100972549</v>
      </c>
    </row>
    <row r="31" spans="2:24">
      <c r="B31" s="173" t="s">
        <v>454</v>
      </c>
      <c r="C31" s="137"/>
      <c r="D31" s="65">
        <f ca="1">COUNTIFS(Transactions!$H:$H,"Buy",Transactions!$C:$C,"&gt;="&amp;$D$23,Transactions!$C:$C,"&lt;="&amp;$D$24)+COUNTIFS(Transactions!$H:$H,"Sell",Transactions!$C:$C,"&gt;="&amp;$D$23,Transactions!$C:$C,"&lt;="&amp;$D$24)</f>
        <v>318</v>
      </c>
      <c r="N31" s="73" t="str">
        <v>Phantom</v>
      </c>
      <c r="O31" s="2">
        <f>IF(ISBLANK(N31), "", SUMIFS(Transactions!$S:$S, Transactions!$A:$A, $N31, Transactions!$H:$H, "Cash Deposit") + SUMIFS(Transactions!$S:$S, Transactions!$A:$A, $N31, Transactions!$H:$H, "Crypto Deposit"))</f>
        <v>0</v>
      </c>
      <c r="P31" s="2">
        <f>IF(ISBLANK(N31), "", SUMIFS(Transactions!$S:$S, Transactions!$A:$A, $N31, Transactions!$H:$H, "Cash Withdrawal") + SUMIFS(Transactions!$S:$S, Transactions!$A:$A, $N31, Transactions!$H:$H, "Crypto Withdrawal"))</f>
        <v>0</v>
      </c>
      <c r="Q31" s="2">
        <f t="shared" si="2"/>
        <v>0</v>
      </c>
      <c r="R31" s="2">
        <f>IF(ISBLANK(N31),"",SUMIFS(Transactions!$S:$S,Transactions!$H:$H,"Cash Deposit",Transactions!$A:$A,N31)+SUMIFS(Transactions!$S:$S,Transactions!$H:$H,"Sell",Transactions!$A:$A,N31)+SUMIFS(Transactions!$S:$S,Transactions!$H:$H,"Dividend",Transactions!$A:$A,N31)-SUMIFS(Transactions!$S:$S,Transactions!$H:$H,"Buy",Transactions!$A:$A,N31)-SUMIFS(Transactions!$S:$S,Transactions!$H:$H,"Cash Withdrawal",Transactions!$A:$A,N31)+SUMIFS(Transactions!$S:$S,Transactions!$H:$H,"Buy",Transactions!$L:$L,"Stablecoin",Transactions!$A:$A,N31))</f>
        <v>0</v>
      </c>
      <c r="S31" s="2">
        <f>IF(ISBLANK(N31),"",SUMIFS(Transactions!$R:$R,Transactions!$A:$A,$N31))</f>
        <v>0</v>
      </c>
      <c r="T31" s="125">
        <f>IF(ISBLANK(N31),"",COUNTIFS(Transactions!$H:$H,"Buy",Transactions!$A:$A,N31)+COUNTIFS(Transactions!$H:$H,"Sell",Transactions!$A:$A,N31))</f>
        <v>0</v>
      </c>
      <c r="U31" s="2">
        <f>IF(ISBLANK(N31),"",SUMIFS(Transactions!$S:$S,Transactions!$A:$A,$N31,Transactions!$H:$H,"Dividend"))</f>
        <v>0</v>
      </c>
      <c r="V31" s="2">
        <f>IF(ISBLANK(N31),"",SUMIFS(Transactions!$S:$S,Transactions!$A:$A,$N31,Transactions!$H:$H,"DRIP"))</f>
        <v>0</v>
      </c>
      <c r="W31" s="2">
        <f>IF(ISBLANK(N31),"",SUMIFS(Transactions!$S:$S,Transactions!$A:$A,$N31,Transactions!$H:$H,"Airdrop/Rewards"))</f>
        <v>0</v>
      </c>
      <c r="X31" s="71">
        <f t="shared" si="3"/>
        <v>0</v>
      </c>
    </row>
    <row r="32" spans="2:24">
      <c r="B32" s="173" t="s">
        <v>455</v>
      </c>
      <c r="C32" s="137"/>
      <c r="D32" s="57">
        <f ca="1">SUMIFS(Transactions!$S:$S,Transactions!$H:$H,"Dividend",Transactions!$C:$C,"&gt;="&amp;$D$23,Transactions!$C:$C,"&lt;="&amp;$D$24)</f>
        <v>133.53</v>
      </c>
      <c r="N32" s="73" t="str">
        <v>Xverse Wallet</v>
      </c>
      <c r="O32" s="2">
        <f>IF(ISBLANK(N32), "", SUMIFS(Transactions!$S:$S, Transactions!$A:$A, $N32, Transactions!$H:$H, "Cash Deposit") + SUMIFS(Transactions!$S:$S, Transactions!$A:$A, $N32, Transactions!$H:$H, "Crypto Deposit"))</f>
        <v>0</v>
      </c>
      <c r="P32" s="2">
        <f>IF(ISBLANK(N32), "", SUMIFS(Transactions!$S:$S, Transactions!$A:$A, $N32, Transactions!$H:$H, "Cash Withdrawal") + SUMIFS(Transactions!$S:$S, Transactions!$A:$A, $N32, Transactions!$H:$H, "Crypto Withdrawal"))</f>
        <v>0</v>
      </c>
      <c r="Q32" s="2">
        <f t="shared" si="2"/>
        <v>0</v>
      </c>
      <c r="R32" s="2">
        <f>IF(ISBLANK(N32),"",SUMIFS(Transactions!$S:$S,Transactions!$H:$H,"Cash Deposit",Transactions!$A:$A,N32)+SUMIFS(Transactions!$S:$S,Transactions!$H:$H,"Sell",Transactions!$A:$A,N32)+SUMIFS(Transactions!$S:$S,Transactions!$H:$H,"Dividend",Transactions!$A:$A,N32)-SUMIFS(Transactions!$S:$S,Transactions!$H:$H,"Buy",Transactions!$A:$A,N32)-SUMIFS(Transactions!$S:$S,Transactions!$H:$H,"Cash Withdrawal",Transactions!$A:$A,N32)+SUMIFS(Transactions!$S:$S,Transactions!$H:$H,"Buy",Transactions!$L:$L,"Stablecoin",Transactions!$A:$A,N32))</f>
        <v>0</v>
      </c>
      <c r="S32" s="2">
        <f>IF(ISBLANK(N32),"",SUMIFS(Transactions!$R:$R,Transactions!$A:$A,$N32))</f>
        <v>2.5</v>
      </c>
      <c r="T32" s="125">
        <f>IF(ISBLANK(N32),"",COUNTIFS(Transactions!$H:$H,"Buy",Transactions!$A:$A,N32)+COUNTIFS(Transactions!$H:$H,"Sell",Transactions!$A:$A,N32))</f>
        <v>4</v>
      </c>
      <c r="U32" s="2">
        <f>IF(ISBLANK(N32),"",SUMIFS(Transactions!$S:$S,Transactions!$A:$A,$N32,Transactions!$H:$H,"Dividend"))</f>
        <v>0</v>
      </c>
      <c r="V32" s="2">
        <f>IF(ISBLANK(N32),"",SUMIFS(Transactions!$S:$S,Transactions!$A:$A,$N32,Transactions!$H:$H,"DRIP"))</f>
        <v>0</v>
      </c>
      <c r="W32" s="2">
        <f>IF(ISBLANK(N32),"",SUMIFS(Transactions!$S:$S,Transactions!$A:$A,$N32,Transactions!$H:$H,"Airdrop/Rewards"))</f>
        <v>258.74811801999999</v>
      </c>
      <c r="X32" s="71">
        <f t="shared" si="3"/>
        <v>258.74811801999999</v>
      </c>
    </row>
    <row r="33" spans="2:24">
      <c r="B33" s="173" t="s">
        <v>456</v>
      </c>
      <c r="C33" s="137"/>
      <c r="D33" s="57">
        <f ca="1">SUMIFS(Transactions!$S:$S,Transactions!$H:$H,"DRIP",Transactions!$C:$C,"&gt;="&amp;$D$23,Transactions!$C:$C,"&lt;="&amp;$D$24)</f>
        <v>0</v>
      </c>
      <c r="N33" s="126" t="s">
        <v>485</v>
      </c>
      <c r="O33" s="127">
        <f t="shared" ref="O33:X33" si="4">SUM(O21:O31)</f>
        <v>102341.79268555</v>
      </c>
      <c r="P33" s="127">
        <f t="shared" si="4"/>
        <v>0</v>
      </c>
      <c r="Q33" s="127">
        <f t="shared" si="4"/>
        <v>102341.79268555</v>
      </c>
      <c r="R33" s="127">
        <f t="shared" si="4"/>
        <v>16049.639840554044</v>
      </c>
      <c r="S33" s="127">
        <f t="shared" si="4"/>
        <v>284.90339300000011</v>
      </c>
      <c r="T33" s="128">
        <f t="shared" si="4"/>
        <v>314</v>
      </c>
      <c r="U33" s="127">
        <f t="shared" si="4"/>
        <v>133.53</v>
      </c>
      <c r="V33" s="127">
        <f t="shared" si="4"/>
        <v>0</v>
      </c>
      <c r="W33" s="127">
        <f t="shared" si="4"/>
        <v>3853.4804100972551</v>
      </c>
      <c r="X33" s="60">
        <f t="shared" si="4"/>
        <v>3987.0104100972549</v>
      </c>
    </row>
    <row r="34" spans="2:24">
      <c r="B34" s="173" t="s">
        <v>515</v>
      </c>
      <c r="C34" s="137"/>
      <c r="D34" s="57">
        <f ca="1">SUMIFS(Transactions!$S:$S,Transactions!$H:$H,"Airdrop/Rewards",Transactions!$C:$C,"&gt;="&amp;$D$23,Transactions!$C:$C,"&lt;="&amp;$D$24)</f>
        <v>4112.2285281172544</v>
      </c>
      <c r="R34" s="9"/>
      <c r="S34" s="2"/>
      <c r="T34" s="27"/>
      <c r="U34" s="2"/>
    </row>
    <row r="35" spans="2:24">
      <c r="B35" s="173" t="s">
        <v>457</v>
      </c>
      <c r="C35" s="137"/>
      <c r="D35" s="57">
        <f ca="1">D32+D33+D34</f>
        <v>4245.7585281172542</v>
      </c>
      <c r="R35" s="9"/>
      <c r="S35" s="2"/>
      <c r="T35" s="27"/>
      <c r="U35" s="2"/>
    </row>
    <row r="36" spans="2:24">
      <c r="B36" s="173" t="s">
        <v>458</v>
      </c>
      <c r="C36" s="137"/>
      <c r="D36" s="54">
        <f ca="1">D35/D3</f>
        <v>2.6471027792299102E-2</v>
      </c>
      <c r="R36" s="9"/>
      <c r="S36" s="2"/>
      <c r="T36" s="27"/>
      <c r="U36" s="2"/>
    </row>
    <row r="37" spans="2:24">
      <c r="B37" s="174" t="s">
        <v>459</v>
      </c>
      <c r="C37" s="175"/>
      <c r="D37" s="60">
        <f>(D4)/(40*52)</f>
        <v>41.077612212603789</v>
      </c>
      <c r="R37" s="9"/>
      <c r="S37" s="2"/>
      <c r="T37" s="27"/>
      <c r="U37" s="2"/>
    </row>
    <row r="38" spans="2:24" ht="7.5" customHeight="1"/>
    <row r="39" spans="2:24" ht="15.75">
      <c r="B39" s="181" t="s">
        <v>489</v>
      </c>
      <c r="C39" s="182"/>
      <c r="D39" s="182"/>
      <c r="E39" s="182"/>
      <c r="F39" s="182"/>
      <c r="G39" s="182"/>
      <c r="H39" s="182"/>
      <c r="I39" s="182"/>
      <c r="J39" s="182"/>
      <c r="K39" s="182"/>
      <c r="L39" s="183"/>
      <c r="N39" s="92" t="s">
        <v>488</v>
      </c>
      <c r="O39" s="66"/>
      <c r="P39" s="66"/>
      <c r="Q39" s="66"/>
      <c r="R39" s="67"/>
    </row>
    <row r="40" spans="2:24">
      <c r="B40" s="73" t="s">
        <v>486</v>
      </c>
      <c r="C40" s="1" t="s">
        <v>328</v>
      </c>
      <c r="D40" s="1" t="s">
        <v>388</v>
      </c>
      <c r="E40" s="1" t="s">
        <v>492</v>
      </c>
      <c r="F40" s="1" t="s">
        <v>378</v>
      </c>
      <c r="G40" s="1" t="s">
        <v>282</v>
      </c>
      <c r="H40" s="1" t="s">
        <v>381</v>
      </c>
      <c r="I40" s="1" t="s">
        <v>285</v>
      </c>
      <c r="J40" s="1" t="s">
        <v>383</v>
      </c>
      <c r="K40" s="1" t="s">
        <v>487</v>
      </c>
      <c r="L40" s="53" t="s">
        <v>385</v>
      </c>
      <c r="N40" s="103" t="s">
        <v>326</v>
      </c>
      <c r="O40" s="3" t="s">
        <v>381</v>
      </c>
      <c r="P40" s="3" t="s">
        <v>285</v>
      </c>
      <c r="Q40" s="3" t="s">
        <v>388</v>
      </c>
      <c r="R40" s="59" t="s">
        <v>508</v>
      </c>
    </row>
    <row r="41" spans="2:24">
      <c r="B41" s="73" t="str" cm="1">
        <f t="array" ref="B41:B93">_xlfn._xlws.SORT(_xlfn.UNIQUE(_xlfn._xlws.FILTER(Transactions!$E$3:$E1006, (Transactions!$F$3:$F1006="Crypto")+(Transactions!$F$3:$F1006="Stable Coin"), Transactions!$E$3:$E1006&lt;&gt;"")))</f>
        <v>ALEX Lab</v>
      </c>
      <c r="C41" s="27" cm="1">
        <f t="array" ref="C41">IF(ISBLANK(B41), "", SUMPRODUCT((Transactions!$E$3:$E$1007=B41) * (Transactions!$H$3:$H$1007={"Cash Deposit","Crypto Deposit","Buy","Transfer Deposit","DRIP","Airdrop/Rewards"}) * Transactions!$I$3:$I$1007) - SUMPRODUCT(
(Transactions!$E$3:$E$1007=B41) * (Transactions!$H$3:$H$1007={"Sell","Transfer Send","Cash Withdrawal","Crypto Withdrawal"}) * Transactions!$I$3:$I$1007))</f>
        <v>846</v>
      </c>
      <c r="D41" s="76">
        <f>IFERROR(I41/(SUM($I$41:$I$92)),0)</f>
        <v>2.5340329889229603E-3</v>
      </c>
      <c r="E41" s="41">
        <f>IFERROR(_xlfn.XLOOKUP(B41,markets?vs_currency_usd_ids_bitcoin_2Cethereum_2Ctether_2Cbinancecoin_2Csola__2[name],markets?vs_currency_usd_ids_bitcoin_2Cethereum_2Ctether_2Cbinancecoin_2Csola__2[price_change_percentage_24h]), 0)</f>
        <v>-1.7954100000000001E-2</v>
      </c>
      <c r="F41" s="2" cm="1">
        <f t="array" ref="F41">IF(ISBLANK(C41), "", LOOKUP(2, 1/(Transactions!$E$3:E1006=B41), Transactions!$P$3:P1006))</f>
        <v>0.34988179669030733</v>
      </c>
      <c r="G41" s="2">
        <f>IFERROR(_xlfn.XLOOKUP(B41, markets?vs_currency_usd_ids_bitcoin_2Cethereum_2Ctether_2Cbinancecoin_2Csola__2[name], markets?vs_currency_usd_ids_bitcoin_2Cethereum_2Ctether_2Cbinancecoin_2Csola__2[current_price]), 0)</f>
        <v>0.417099</v>
      </c>
      <c r="H41" s="2">
        <f t="shared" ref="H41:H72" si="5">F41*C41</f>
        <v>296</v>
      </c>
      <c r="I41" s="2">
        <f t="shared" ref="I41:I72" si="6">G41*C41</f>
        <v>352.86575399999998</v>
      </c>
      <c r="J41" s="2">
        <f>IF(ISBLANK(B41),"",IFERROR((I41-H41), 0))</f>
        <v>56.865753999999981</v>
      </c>
      <c r="L41" s="53"/>
      <c r="N41" s="93" t="str" cm="1">
        <f t="array" ref="N41:N51">_xlfn._xlws.SORT(_xlfn.UNIQUE(Portfolio_v2!AW3:AW51))</f>
        <v>Bitcoin</v>
      </c>
      <c r="O41" s="2">
        <f>SUMIFS(Portfolio_v2!$I$3:$I$64, Portfolio_v2!$X$3:$X$64, Dashboard!N41)</f>
        <v>24889.668510665171</v>
      </c>
      <c r="P41" s="2">
        <f>SUMIFS(Portfolio_v2!$J$3:$J$64, Portfolio_v2!$X$3:$X$64, Dashboard!N41)</f>
        <v>47759.257225194815</v>
      </c>
      <c r="Q41" s="41">
        <f>P41/SUM($P$41:$P$51)</f>
        <v>0.36527553624375358</v>
      </c>
      <c r="R41" s="98">
        <v>0.3</v>
      </c>
    </row>
    <row r="42" spans="2:24">
      <c r="B42" s="73" t="str">
        <v>AltLayer</v>
      </c>
      <c r="C42" s="27" cm="1">
        <f t="array" ref="C42">IF(ISBLANK(B42), "", SUMPRODUCT((Transactions!$E$3:$E$1007=B42) * (Transactions!$H$3:$H$1007={"Cash Deposit","Crypto Deposit","Buy","Transfer Deposit","DRIP","Airdrop/Rewards"}) * Transactions!$I$3:$I$1007) - SUMPRODUCT(
(Transactions!$E$3:$E$1007=B42) * (Transactions!$H$3:$H$1007={"Sell","Transfer Send","Cash Withdrawal","Crypto Withdrawal"}) * Transactions!$I$3:$I$1007))</f>
        <v>0</v>
      </c>
      <c r="D42" s="76">
        <f t="shared" ref="D42:D72" si="7">IFERROR(I42/(SUM($I$41:$I$92)),0)</f>
        <v>0</v>
      </c>
      <c r="E42" s="41">
        <f>IFERROR(_xlfn.XLOOKUP(B42,markets?vs_currency_usd_ids_bitcoin_2Cethereum_2Ctether_2Cbinancecoin_2Csola__2[name],markets?vs_currency_usd_ids_bitcoin_2Cethereum_2Ctether_2Cbinancecoin_2Csola__2[price_change_percentage_24h]), 0)</f>
        <v>0.21077110000000002</v>
      </c>
      <c r="F42" s="2" cm="1">
        <f t="array" ref="F42">IF(ISBLANK(C42), "", LOOKUP(2, 1/(Transactions!$E$3:E1007=B42), Transactions!$P$3:P1007))</f>
        <v>0.27</v>
      </c>
      <c r="G42" s="2">
        <f>IFERROR(_xlfn.XLOOKUP(B42, markets?vs_currency_usd_ids_bitcoin_2Cethereum_2Ctether_2Cbinancecoin_2Csola__2[name], markets?vs_currency_usd_ids_bitcoin_2Cethereum_2Ctether_2Cbinancecoin_2Csola__2[current_price]), 0)</f>
        <v>0.614263</v>
      </c>
      <c r="H42" s="2">
        <f t="shared" si="5"/>
        <v>0</v>
      </c>
      <c r="I42" s="2">
        <f t="shared" si="6"/>
        <v>0</v>
      </c>
      <c r="J42" s="2">
        <f t="shared" ref="J42:J72" si="8">IF(ISBLANK(B42),"",IFERROR((I42-H42), 0))</f>
        <v>0</v>
      </c>
      <c r="L42" s="53"/>
      <c r="N42" s="93" t="str">
        <v>Defi/Crosschain</v>
      </c>
      <c r="O42" s="2">
        <f>SUMIFS(Portfolio_v2!$I$3:$I$64, Portfolio_v2!$X$3:$X$64, Dashboard!N42)</f>
        <v>2212.8873588418001</v>
      </c>
      <c r="P42" s="2">
        <f>SUMIFS(Portfolio_v2!$J$3:$J$64, Portfolio_v2!$X$3:$X$64, Dashboard!N42)</f>
        <v>2589.2293555524002</v>
      </c>
      <c r="Q42" s="41">
        <f t="shared" ref="Q42:Q51" si="9">P42/SUM($P$41:$P$52)</f>
        <v>1.9803116636590731E-2</v>
      </c>
      <c r="R42" s="98">
        <v>0.03</v>
      </c>
    </row>
    <row r="43" spans="2:24">
      <c r="B43" s="73" t="str">
        <v>Arbitrum</v>
      </c>
      <c r="C43" s="27" cm="1">
        <f t="array" ref="C43">IF(ISBLANK(B43), "", SUMPRODUCT((Transactions!$E$3:$E$1007=B43) * (Transactions!$H$3:$H$1007={"Cash Deposit","Crypto Deposit","Buy","Transfer Deposit","DRIP","Airdrop/Rewards"}) * Transactions!$I$3:$I$1007) - SUMPRODUCT(
(Transactions!$E$3:$E$1007=B43) * (Transactions!$H$3:$H$1007={"Sell","Transfer Send","Cash Withdrawal","Crypto Withdrawal"}) * Transactions!$I$3:$I$1007))</f>
        <v>40.487659999999998</v>
      </c>
      <c r="D43" s="76">
        <f t="shared" si="7"/>
        <v>5.0300410939235849E-4</v>
      </c>
      <c r="E43" s="41">
        <f>IFERROR(_xlfn.XLOOKUP(B43,markets?vs_currency_usd_ids_bitcoin_2Cethereum_2Ctether_2Cbinancecoin_2Csola__2[name],markets?vs_currency_usd_ids_bitcoin_2Cethereum_2Ctether_2Cbinancecoin_2Csola__2[price_change_percentage_24h]), 0)</f>
        <v>4.2282599999999997E-2</v>
      </c>
      <c r="F43" s="2" cm="1">
        <f t="array" ref="F43">IF(ISBLANK(C43), "", LOOKUP(2, 1/(Transactions!$E$3:E1008=B43), Transactions!$P$3:P1008))</f>
        <v>1.3749078114171083</v>
      </c>
      <c r="G43" s="2">
        <f>IFERROR(_xlfn.XLOOKUP(B43, markets?vs_currency_usd_ids_bitcoin_2Cethereum_2Ctether_2Cbinancecoin_2Csola__2[name], markets?vs_currency_usd_ids_bitcoin_2Cethereum_2Ctether_2Cbinancecoin_2Csola__2[current_price]), 0)</f>
        <v>1.73</v>
      </c>
      <c r="H43" s="2">
        <f t="shared" si="5"/>
        <v>55.666799999999995</v>
      </c>
      <c r="I43" s="2">
        <f t="shared" si="6"/>
        <v>70.043651799999992</v>
      </c>
      <c r="J43" s="2">
        <f t="shared" si="8"/>
        <v>14.376851799999997</v>
      </c>
      <c r="L43" s="53"/>
      <c r="N43" s="93" t="str">
        <v>Ethereum</v>
      </c>
      <c r="O43" s="2">
        <f>SUMIFS(Portfolio_v2!$I$3:$I$64, Portfolio_v2!$X$3:$X$64, Dashboard!N43)</f>
        <v>27627.374295874077</v>
      </c>
      <c r="P43" s="2">
        <f>SUMIFS(Portfolio_v2!$J$3:$J$64, Portfolio_v2!$X$3:$X$64, Dashboard!N43)</f>
        <v>42467.437582421022</v>
      </c>
      <c r="Q43" s="41">
        <f t="shared" si="9"/>
        <v>0.32480228833277663</v>
      </c>
      <c r="R43" s="98">
        <v>0.3</v>
      </c>
    </row>
    <row r="44" spans="2:24">
      <c r="B44" s="73" t="str">
        <v>Avalanche</v>
      </c>
      <c r="C44" s="27" cm="1">
        <f t="array" ref="C44">IF(ISBLANK(B44), "", SUMPRODUCT((Transactions!$E$3:$E$1007=B44) * (Transactions!$H$3:$H$1007={"Cash Deposit","Crypto Deposit","Buy","Transfer Deposit","DRIP","Airdrop/Rewards"}) * Transactions!$I$3:$I$1007) - SUMPRODUCT(
(Transactions!$E$3:$E$1007=B44) * (Transactions!$H$3:$H$1007={"Sell","Transfer Send","Cash Withdrawal","Crypto Withdrawal"}) * Transactions!$I$3:$I$1007))</f>
        <v>98.938028914703949</v>
      </c>
      <c r="D44" s="76">
        <f t="shared" si="7"/>
        <v>4.1415228511866402E-2</v>
      </c>
      <c r="E44" s="41">
        <f>IFERROR(_xlfn.XLOOKUP(B44,markets?vs_currency_usd_ids_bitcoin_2Cethereum_2Ctether_2Cbinancecoin_2Csola__2[name],markets?vs_currency_usd_ids_bitcoin_2Cethereum_2Ctether_2Cbinancecoin_2Csola__2[price_change_percentage_24h]), 0)</f>
        <v>4.37004E-2</v>
      </c>
      <c r="F44" s="2" cm="1">
        <f t="array" ref="F44">IF(ISBLANK(C44), "", LOOKUP(2, 1/(Transactions!$E$3:E1009=B44), Transactions!$P$3:P1009))</f>
        <v>25.333068071607066</v>
      </c>
      <c r="G44" s="2">
        <f>IFERROR(_xlfn.XLOOKUP(B44, markets?vs_currency_usd_ids_bitcoin_2Cethereum_2Ctether_2Cbinancecoin_2Csola__2[name], markets?vs_currency_usd_ids_bitcoin_2Cethereum_2Ctether_2Cbinancecoin_2Csola__2[current_price]), 0)</f>
        <v>58.29</v>
      </c>
      <c r="H44" s="2">
        <f t="shared" si="5"/>
        <v>2506.4038213668232</v>
      </c>
      <c r="I44" s="2">
        <f t="shared" si="6"/>
        <v>5767.0977054380928</v>
      </c>
      <c r="J44" s="2">
        <f t="shared" si="8"/>
        <v>3260.6938840712696</v>
      </c>
      <c r="L44" s="53"/>
      <c r="N44" s="93" t="str">
        <v>Gamefi</v>
      </c>
      <c r="O44" s="2">
        <f>SUMIFS(Portfolio_v2!$I$3:$I$64, Portfolio_v2!$X$3:$X$64, Dashboard!N44)</f>
        <v>552.92284279</v>
      </c>
      <c r="P44" s="2">
        <f>SUMIFS(Portfolio_v2!$J$3:$J$64, Portfolio_v2!$X$3:$X$64, Dashboard!N44)</f>
        <v>761.73285499999997</v>
      </c>
      <c r="Q44" s="41">
        <f t="shared" si="9"/>
        <v>5.8259360226780707E-3</v>
      </c>
      <c r="R44" s="98">
        <v>0.02</v>
      </c>
    </row>
    <row r="45" spans="2:24">
      <c r="B45" s="73" t="str">
        <v>Bitcoin</v>
      </c>
      <c r="C45" s="27" cm="1">
        <f t="array" ref="C45">IF(ISBLANK(B45), "", SUMPRODUCT((Transactions!$E$3:$E$1007=B45) * (Transactions!$H$3:$H$1007={"Cash Deposit","Crypto Deposit","Buy","Transfer Deposit","DRIP","Airdrop/Rewards"}) * Transactions!$I$3:$I$1007) - SUMPRODUCT(
(Transactions!$E$3:$E$1007=B45) * (Transactions!$H$3:$H$1007={"Sell","Transfer Send","Cash Withdrawal","Crypto Withdrawal"}) * Transactions!$I$3:$I$1007))</f>
        <v>0.38984523994681658</v>
      </c>
      <c r="D45" s="76">
        <f t="shared" si="7"/>
        <v>0.19662105613134273</v>
      </c>
      <c r="E45" s="41">
        <f>IFERROR(_xlfn.XLOOKUP(B45,markets?vs_currency_usd_ids_bitcoin_2Cethereum_2Ctether_2Cbinancecoin_2Csola__2[name],markets?vs_currency_usd_ids_bitcoin_2Cethereum_2Ctether_2Cbinancecoin_2Csola__2[price_change_percentage_24h]), 0)</f>
        <v>5.3891700000000001E-2</v>
      </c>
      <c r="F45" s="2" cm="1">
        <f t="array" ref="F45">IF(ISBLANK(C45), "", LOOKUP(2, 1/(Transactions!$E$3:E1010=B45), Transactions!$P$3:P1010))</f>
        <v>32216.561571265273</v>
      </c>
      <c r="G45" s="2">
        <f>IFERROR(_xlfn.XLOOKUP(B45, markets?vs_currency_usd_ids_bitcoin_2Cethereum_2Ctether_2Cbinancecoin_2Csola__2[name], markets?vs_currency_usd_ids_bitcoin_2Cethereum_2Ctether_2Cbinancecoin_2Csola__2[current_price]), 0)</f>
        <v>70232</v>
      </c>
      <c r="H45" s="2">
        <f t="shared" si="5"/>
        <v>12559.473176011301</v>
      </c>
      <c r="I45" s="2">
        <f t="shared" si="6"/>
        <v>27379.610891944823</v>
      </c>
      <c r="J45" s="2">
        <f t="shared" si="8"/>
        <v>14820.137715933522</v>
      </c>
      <c r="L45" s="53"/>
      <c r="N45" s="93" t="str">
        <v>Infrastructure</v>
      </c>
      <c r="O45" s="2">
        <f>SUMIFS(Portfolio_v2!$I$3:$I$64, Portfolio_v2!$X$3:$X$64, Dashboard!N45)</f>
        <v>2807.3624489682275</v>
      </c>
      <c r="P45" s="2">
        <f>SUMIFS(Portfolio_v2!$J$3:$J$64, Portfolio_v2!$X$3:$X$64, Dashboard!N45)</f>
        <v>2658.1036166518952</v>
      </c>
      <c r="Q45" s="41">
        <f t="shared" si="9"/>
        <v>2.0329885353656089E-2</v>
      </c>
      <c r="R45" s="98">
        <v>0.03</v>
      </c>
    </row>
    <row r="46" spans="2:24">
      <c r="B46" s="73" t="str">
        <v>Bitcoin Avalanche Bridged (BTC.b)</v>
      </c>
      <c r="C46" s="27" cm="1">
        <f t="array" ref="C46">IF(ISBLANK(B46), "", SUMPRODUCT((Transactions!$E$3:$E$1007=B46) * (Transactions!$H$3:$H$1007={"Cash Deposit","Crypto Deposit","Buy","Transfer Deposit","DRIP","Airdrop/Rewards"}) * Transactions!$I$3:$I$1007) - SUMPRODUCT(
(Transactions!$E$3:$E$1007=B46) * (Transactions!$H$3:$H$1007={"Sell","Transfer Send","Cash Withdrawal","Crypto Withdrawal"}) * Transactions!$I$3:$I$1007))</f>
        <v>0.15500675</v>
      </c>
      <c r="D46" s="76">
        <f t="shared" si="7"/>
        <v>7.8097431985605203E-2</v>
      </c>
      <c r="E46" s="41">
        <f>IFERROR(_xlfn.XLOOKUP(B46,markets?vs_currency_usd_ids_bitcoin_2Cethereum_2Ctether_2Cbinancecoin_2Csola__2[name],markets?vs_currency_usd_ids_bitcoin_2Cethereum_2Ctether_2Cbinancecoin_2Csola__2[price_change_percentage_24h]), 0)</f>
        <v>5.7659299999999997E-2</v>
      </c>
      <c r="F46" s="2" cm="1">
        <f t="array" ref="F46">IF(ISBLANK(C46), "", LOOKUP(2, 1/(Transactions!$E$3:E1011=B46), Transactions!$P$3:P1011))</f>
        <v>31997.89</v>
      </c>
      <c r="G46" s="2">
        <f>IFERROR(_xlfn.XLOOKUP(B46, markets?vs_currency_usd_ids_bitcoin_2Cethereum_2Ctether_2Cbinancecoin_2Csola__2[name], markets?vs_currency_usd_ids_bitcoin_2Cethereum_2Ctether_2Cbinancecoin_2Csola__2[current_price]), 0)</f>
        <v>70159</v>
      </c>
      <c r="H46" s="2">
        <f t="shared" si="5"/>
        <v>4959.8889357574999</v>
      </c>
      <c r="I46" s="2">
        <f t="shared" si="6"/>
        <v>10875.11857325</v>
      </c>
      <c r="J46" s="2">
        <f t="shared" si="8"/>
        <v>5915.2296374924999</v>
      </c>
      <c r="L46" s="53"/>
      <c r="N46" s="93" t="str">
        <v>Layer 1</v>
      </c>
      <c r="O46" s="2">
        <f>SUMIFS(Portfolio_v2!$I$3:$I$64, Portfolio_v2!$X$3:$X$64, Dashboard!N46)</f>
        <v>17213.845196493949</v>
      </c>
      <c r="P46" s="2">
        <f>SUMIFS(Portfolio_v2!$J$3:$J$64, Portfolio_v2!$X$3:$X$64, Dashboard!N46)</f>
        <v>23232.663865811377</v>
      </c>
      <c r="Q46" s="41">
        <f t="shared" si="9"/>
        <v>0.17768960919849214</v>
      </c>
      <c r="R46" s="98">
        <v>0.15</v>
      </c>
    </row>
    <row r="47" spans="2:24">
      <c r="B47" s="73" t="str">
        <v>Bitcoin BEP2</v>
      </c>
      <c r="C47" s="27" cm="1">
        <f t="array" ref="C47">IF(ISBLANK(B47), "", SUMPRODUCT((Transactions!$E$3:$E$1007=B47) * (Transactions!$H$3:$H$1007={"Cash Deposit","Crypto Deposit","Buy","Transfer Deposit","DRIP","Airdrop/Rewards"}) * Transactions!$I$3:$I$1007) - SUMPRODUCT(
(Transactions!$E$3:$E$1007=B47) * (Transactions!$H$3:$H$1007={"Sell","Transfer Send","Cash Withdrawal","Crypto Withdrawal"}) * Transactions!$I$3:$I$1007))</f>
        <v>0.13536499999999999</v>
      </c>
      <c r="D47" s="76">
        <f t="shared" si="7"/>
        <v>6.8264467025358197E-2</v>
      </c>
      <c r="E47" s="41">
        <f>IFERROR(_xlfn.XLOOKUP(B47,markets?vs_currency_usd_ids_bitcoin_2Cethereum_2Ctether_2Cbinancecoin_2Csola__2[name],markets?vs_currency_usd_ids_bitcoin_2Cethereum_2Ctether_2Cbinancecoin_2Csola__2[price_change_percentage_24h]), 0)</f>
        <v>5.4647100000000004E-2</v>
      </c>
      <c r="F47" s="2" cm="1">
        <f t="array" ref="F47">IF(ISBLANK(C47), "", LOOKUP(2, 1/(Transactions!$E$3:E1012=B47), Transactions!$P$3:P1012))</f>
        <v>42136.333271369273</v>
      </c>
      <c r="G47" s="2">
        <f>IFERROR(_xlfn.XLOOKUP(B47, markets?vs_currency_usd_ids_bitcoin_2Cethereum_2Ctether_2Cbinancecoin_2Csola__2[name], markets?vs_currency_usd_ids_bitcoin_2Cethereum_2Ctether_2Cbinancecoin_2Csola__2[current_price]), 0)</f>
        <v>70224</v>
      </c>
      <c r="H47" s="2">
        <f t="shared" si="5"/>
        <v>5703.784753278901</v>
      </c>
      <c r="I47" s="2">
        <f t="shared" si="6"/>
        <v>9505.8717599999982</v>
      </c>
      <c r="J47" s="2">
        <f t="shared" si="8"/>
        <v>3802.0870067210972</v>
      </c>
      <c r="L47" s="53"/>
      <c r="N47" s="93" t="str">
        <v>Layer 2</v>
      </c>
      <c r="O47" s="2">
        <f>SUMIFS(Portfolio_v2!$I$3:$I$64, Portfolio_v2!$X$3:$X$64, Dashboard!N47)</f>
        <v>1987.5961735000001</v>
      </c>
      <c r="P47" s="2">
        <f>SUMIFS(Portfolio_v2!$J$3:$J$64, Portfolio_v2!$X$3:$X$64, Dashboard!N47)</f>
        <v>4701.1317745000006</v>
      </c>
      <c r="Q47" s="41">
        <f t="shared" si="9"/>
        <v>3.5955509563016075E-2</v>
      </c>
      <c r="R47" s="98">
        <v>0.05</v>
      </c>
    </row>
    <row r="48" spans="2:24">
      <c r="B48" s="73" t="str">
        <v>BNB</v>
      </c>
      <c r="C48" s="27" cm="1">
        <f t="array" ref="C48">IF(ISBLANK(B48), "", SUMPRODUCT((Transactions!$E$3:$E$1007=B48) * (Transactions!$H$3:$H$1007={"Cash Deposit","Crypto Deposit","Buy","Transfer Deposit","DRIP","Airdrop/Rewards"}) * Transactions!$I$3:$I$1007) - SUMPRODUCT(
(Transactions!$E$3:$E$1007=B48) * (Transactions!$H$3:$H$1007={"Sell","Transfer Send","Cash Withdrawal","Crypto Withdrawal"}) * Transactions!$I$3:$I$1007))</f>
        <v>10.579829999999999</v>
      </c>
      <c r="D48" s="76">
        <f t="shared" si="7"/>
        <v>4.4927407092051182E-2</v>
      </c>
      <c r="E48" s="41">
        <f>IFERROR(_xlfn.XLOOKUP(B48,markets?vs_currency_usd_ids_bitcoin_2Cethereum_2Ctether_2Cbinancecoin_2Csola__2[name],markets?vs_currency_usd_ids_bitcoin_2Cethereum_2Ctether_2Cbinancecoin_2Csola__2[price_change_percentage_24h]), 0)</f>
        <v>3.8330999999999997E-2</v>
      </c>
      <c r="F48" s="2" cm="1">
        <f t="array" ref="F48">IF(ISBLANK(C48), "", LOOKUP(2, 1/(Transactions!$E$3:E1013=B48), Transactions!$P$3:P1013))</f>
        <v>335.58218827712722</v>
      </c>
      <c r="G48" s="2">
        <f>IFERROR(_xlfn.XLOOKUP(B48, markets?vs_currency_usd_ids_bitcoin_2Cethereum_2Ctether_2Cbinancecoin_2Csola__2[name], markets?vs_currency_usd_ids_bitcoin_2Cethereum_2Ctether_2Cbinancecoin_2Csola__2[current_price]), 0)</f>
        <v>591.33000000000004</v>
      </c>
      <c r="H48" s="2">
        <f t="shared" si="5"/>
        <v>3550.4025029999984</v>
      </c>
      <c r="I48" s="2">
        <f t="shared" si="6"/>
        <v>6256.1708739000005</v>
      </c>
      <c r="J48" s="2">
        <f t="shared" si="8"/>
        <v>2705.7683709000021</v>
      </c>
      <c r="L48" s="53"/>
      <c r="N48" s="93" t="str">
        <v>LP Token</v>
      </c>
      <c r="O48" s="2">
        <f>SUMIFS(Portfolio_v2!$I$3:$I$64, Portfolio_v2!$X$3:$X$64, Dashboard!N48)</f>
        <v>3833.3010930999999</v>
      </c>
      <c r="P48" s="2">
        <f>SUMIFS(Portfolio_v2!$J$3:$J$64, Portfolio_v2!$X$3:$X$64, Dashboard!N48)</f>
        <v>4253.2398999999996</v>
      </c>
      <c r="Q48" s="41">
        <f t="shared" si="9"/>
        <v>3.252991305790752E-2</v>
      </c>
      <c r="R48" s="98">
        <v>0.08</v>
      </c>
    </row>
    <row r="49" spans="2:21">
      <c r="B49" s="73" t="str">
        <v>Bridged Binance-Peg Ethereum (opBNB)</v>
      </c>
      <c r="C49" s="27" cm="1">
        <f t="array" ref="C49">IF(ISBLANK(B49), "", SUMPRODUCT((Transactions!$E$3:$E$1007=B49) * (Transactions!$H$3:$H$1007={"Cash Deposit","Crypto Deposit","Buy","Transfer Deposit","DRIP","Airdrop/Rewards"}) * Transactions!$I$3:$I$1007) - SUMPRODUCT(
(Transactions!$E$3:$E$1007=B49) * (Transactions!$H$3:$H$1007={"Sell","Transfer Send","Cash Withdrawal","Crypto Withdrawal"}) * Transactions!$I$3:$I$1007))</f>
        <v>0.15099258260880419</v>
      </c>
      <c r="D49" s="76">
        <f t="shared" si="7"/>
        <v>6.5709927849929957E-6</v>
      </c>
      <c r="E49" s="41">
        <f>E59</f>
        <v>6.8090799999999993E-2</v>
      </c>
      <c r="F49" s="2" cm="1">
        <f t="array" ref="F49">IF(ISBLANK(C49), "", LOOKUP(2, 1/(Transactions!$E$3:E1014=B49), Transactions!$P$3:P1014))</f>
        <v>2340.8605492729898</v>
      </c>
      <c r="G49" s="2">
        <f>G59</f>
        <v>6.06</v>
      </c>
      <c r="H49" s="2">
        <f t="shared" si="5"/>
        <v>353.45257986179269</v>
      </c>
      <c r="I49" s="2">
        <f t="shared" si="6"/>
        <v>0.91501505060935329</v>
      </c>
      <c r="J49" s="2">
        <f t="shared" si="8"/>
        <v>-352.53756481118336</v>
      </c>
      <c r="L49" s="53"/>
      <c r="N49" s="93" t="str">
        <v>Luanchpool</v>
      </c>
      <c r="O49" s="2">
        <f>SUMIFS(Portfolio_v2!$I$3:$I$64, Portfolio_v2!$X$3:$X$64, Dashboard!N49)</f>
        <v>948.77269999999999</v>
      </c>
      <c r="P49" s="2">
        <f>SUMIFS(Portfolio_v2!$J$3:$J$64, Portfolio_v2!$X$3:$X$64, Dashboard!N49)</f>
        <v>1412.1989999999998</v>
      </c>
      <c r="Q49" s="41">
        <f t="shared" si="9"/>
        <v>1.080087457339614E-2</v>
      </c>
      <c r="R49" s="98">
        <v>0.02</v>
      </c>
    </row>
    <row r="50" spans="2:21">
      <c r="B50" s="73" t="str">
        <v>Cardano</v>
      </c>
      <c r="C50" s="27" cm="1">
        <f t="array" ref="C50">IF(ISBLANK(B50), "", SUMPRODUCT((Transactions!$E$3:$E$1007=B50) * (Transactions!$H$3:$H$1007={"Cash Deposit","Crypto Deposit","Buy","Transfer Deposit","DRIP","Airdrop/Rewards"}) * Transactions!$I$3:$I$1007) - SUMPRODUCT(
(Transactions!$E$3:$E$1007=B50) * (Transactions!$H$3:$H$1007={"Sell","Transfer Send","Cash Withdrawal","Crypto Withdrawal"}) * Transactions!$I$3:$I$1007))</f>
        <v>4121.2099699999999</v>
      </c>
      <c r="D50" s="76">
        <f t="shared" si="7"/>
        <v>1.9630954672928604E-2</v>
      </c>
      <c r="E50" s="41">
        <f>IFERROR(_xlfn.XLOOKUP(B50,markets?vs_currency_usd_ids_bitcoin_2Cethereum_2Ctether_2Cbinancecoin_2Csola__2[name],markets?vs_currency_usd_ids_bitcoin_2Cethereum_2Ctether_2Cbinancecoin_2Csola__2[price_change_percentage_24h]), 0)</f>
        <v>3.2957399999999998E-2</v>
      </c>
      <c r="F50" s="2" cm="1">
        <f t="array" ref="F50">IF(ISBLANK(C50), "", LOOKUP(2, 1/(Transactions!$E$3:E1015=B50), Transactions!$P$3:P1015))</f>
        <v>0.39379549083741522</v>
      </c>
      <c r="G50" s="2">
        <f>IFERROR(_xlfn.XLOOKUP(B50, markets?vs_currency_usd_ids_bitcoin_2Cethereum_2Ctether_2Cbinancecoin_2Csola__2[name], markets?vs_currency_usd_ids_bitcoin_2Cethereum_2Ctether_2Cbinancecoin_2Csola__2[current_price]), 0)</f>
        <v>0.66330599999999995</v>
      </c>
      <c r="H50" s="2">
        <f t="shared" si="5"/>
        <v>1622.9139029801993</v>
      </c>
      <c r="I50" s="2">
        <f t="shared" si="6"/>
        <v>2733.6233003608199</v>
      </c>
      <c r="J50" s="2">
        <f t="shared" si="8"/>
        <v>1110.7093973806207</v>
      </c>
      <c r="L50" s="53"/>
      <c r="N50" s="93" t="str">
        <v>Meme</v>
      </c>
      <c r="O50" s="2">
        <f>SUMIFS(Portfolio_v2!$I$3:$I$64, Portfolio_v2!$X$3:$X$64, Dashboard!N50)</f>
        <v>646.13051999999993</v>
      </c>
      <c r="P50" s="2">
        <f>SUMIFS(Portfolio_v2!$J$3:$J$64, Portfolio_v2!$X$3:$X$64, Dashboard!N50)</f>
        <v>826.66599999999994</v>
      </c>
      <c r="Q50" s="41">
        <f t="shared" si="9"/>
        <v>6.3225620327525319E-3</v>
      </c>
      <c r="R50" s="98">
        <v>0.01</v>
      </c>
    </row>
    <row r="51" spans="2:21">
      <c r="B51" s="73" t="str">
        <v>Cartesi</v>
      </c>
      <c r="C51" s="27" cm="1">
        <f t="array" ref="C51">IF(ISBLANK(B51), "", SUMPRODUCT((Transactions!$E$3:$E$1007=B51) * (Transactions!$H$3:$H$1007={"Cash Deposit","Crypto Deposit","Buy","Transfer Deposit","DRIP","Airdrop/Rewards"}) * Transactions!$I$3:$I$1007) - SUMPRODUCT(
(Transactions!$E$3:$E$1007=B51) * (Transactions!$H$3:$H$1007={"Sell","Transfer Send","Cash Withdrawal","Crypto Withdrawal"}) * Transactions!$I$3:$I$1007))</f>
        <v>543.56054468000002</v>
      </c>
      <c r="D51" s="76">
        <f t="shared" si="7"/>
        <v>1.2595321774460588E-3</v>
      </c>
      <c r="E51" s="41">
        <f>IFERROR(_xlfn.XLOOKUP(B51,markets?vs_currency_usd_ids_bitcoin_2Cethereum_2Ctether_2Cbinancecoin_2Csola__2[name],markets?vs_currency_usd_ids_bitcoin_2Cethereum_2Ctether_2Cbinancecoin_2Csola__2[price_change_percentage_24h]), 0)</f>
        <v>3.40098E-2</v>
      </c>
      <c r="F51" s="2" cm="1">
        <f t="array" ref="F51">IF(ISBLANK(C51), "", LOOKUP(2, 1/(Transactions!$E$3:E1016=B51), Transactions!$P$3:P1016))</f>
        <v>0.81108000000000002</v>
      </c>
      <c r="G51" s="2">
        <f>IFERROR(_xlfn.XLOOKUP(B51, markets?vs_currency_usd_ids_bitcoin_2Cethereum_2Ctether_2Cbinancecoin_2Csola__2[name], markets?vs_currency_usd_ids_bitcoin_2Cethereum_2Ctether_2Cbinancecoin_2Csola__2[current_price]), 0)</f>
        <v>0.32267000000000001</v>
      </c>
      <c r="H51" s="2">
        <f t="shared" si="5"/>
        <v>440.87108657905441</v>
      </c>
      <c r="I51" s="2">
        <f t="shared" si="6"/>
        <v>175.3906809518956</v>
      </c>
      <c r="J51" s="2">
        <f t="shared" si="8"/>
        <v>-265.4804056271588</v>
      </c>
      <c r="L51" s="53"/>
      <c r="N51" s="93" t="str">
        <v>Social Fi</v>
      </c>
      <c r="O51" s="2">
        <f>SUMIFS(Portfolio_v2!$I$3:$I$64, Portfolio_v2!$X$3:$X$64, Dashboard!N51)</f>
        <v>62.810748000000004</v>
      </c>
      <c r="P51" s="2">
        <f>SUMIFS(Portfolio_v2!$J$3:$J$64, Portfolio_v2!$X$3:$X$64, Dashboard!N51)</f>
        <v>86.917599999999993</v>
      </c>
      <c r="Q51" s="41">
        <f t="shared" si="9"/>
        <v>6.6476898498059854E-4</v>
      </c>
      <c r="R51" s="98">
        <v>0.01</v>
      </c>
    </row>
    <row r="52" spans="2:21">
      <c r="B52" s="73" t="str">
        <v>Celestia</v>
      </c>
      <c r="C52" s="27" cm="1">
        <f t="array" ref="C52">IF(ISBLANK(B52), "", SUMPRODUCT((Transactions!$E$3:$E$1007=B52) * (Transactions!$H$3:$H$1007={"Cash Deposit","Crypto Deposit","Buy","Transfer Deposit","DRIP","Airdrop/Rewards"}) * Transactions!$I$3:$I$1007) - SUMPRODUCT(
(Transactions!$E$3:$E$1007=B52) * (Transactions!$H$3:$H$1007={"Sell","Transfer Send","Cash Withdrawal","Crypto Withdrawal"}) * Transactions!$I$3:$I$1007))</f>
        <v>20</v>
      </c>
      <c r="D52" s="76">
        <f t="shared" si="7"/>
        <v>2.0394877108253491E-3</v>
      </c>
      <c r="E52" s="41">
        <f>IFERROR(_xlfn.XLOOKUP(B52,markets?vs_currency_usd_ids_bitcoin_2Cethereum_2Ctether_2Cbinancecoin_2Csola__2[name],markets?vs_currency_usd_ids_bitcoin_2Cethereum_2Ctether_2Cbinancecoin_2Csola__2[price_change_percentage_24h]), 0)</f>
        <v>4.1816399999999997E-2</v>
      </c>
      <c r="F52" s="2" cm="1">
        <f t="array" ref="F52">IF(ISBLANK(C52), "", LOOKUP(2, 1/(Transactions!$E$3:E1017=B52), Transactions!$P$3:P1017))</f>
        <v>15.85</v>
      </c>
      <c r="G52" s="2">
        <f>IFERROR(_xlfn.XLOOKUP(B52, markets?vs_currency_usd_ids_bitcoin_2Cethereum_2Ctether_2Cbinancecoin_2Csola__2[name], markets?vs_currency_usd_ids_bitcoin_2Cethereum_2Ctether_2Cbinancecoin_2Csola__2[current_price]), 0)</f>
        <v>14.2</v>
      </c>
      <c r="H52" s="2">
        <f t="shared" si="5"/>
        <v>317</v>
      </c>
      <c r="I52" s="2">
        <f t="shared" si="6"/>
        <v>284</v>
      </c>
      <c r="J52" s="2">
        <f t="shared" si="8"/>
        <v>-33</v>
      </c>
      <c r="L52" s="53"/>
      <c r="N52" s="94"/>
      <c r="O52" s="72"/>
      <c r="P52" s="72"/>
      <c r="Q52" s="78"/>
      <c r="R52" s="99"/>
    </row>
    <row r="53" spans="2:21">
      <c r="B53" s="73" t="str">
        <v>Chainlink</v>
      </c>
      <c r="C53" s="27" cm="1">
        <f t="array" ref="C53">IF(ISBLANK(B53), "", SUMPRODUCT((Transactions!$E$3:$E$1007=B53) * (Transactions!$H$3:$H$1007={"Cash Deposit","Crypto Deposit","Buy","Transfer Deposit","DRIP","Airdrop/Rewards"}) * Transactions!$I$3:$I$1007) - SUMPRODUCT(
(Transactions!$E$3:$E$1007=B53) * (Transactions!$H$3:$H$1007={"Sell","Transfer Send","Cash Withdrawal","Crypto Withdrawal"}) * Transactions!$I$3:$I$1007))</f>
        <v>70.46181</v>
      </c>
      <c r="D53" s="76">
        <f t="shared" si="7"/>
        <v>9.9025575121545212E-3</v>
      </c>
      <c r="E53" s="41">
        <f>IFERROR(_xlfn.XLOOKUP(B53,markets?vs_currency_usd_ids_bitcoin_2Cethereum_2Ctether_2Cbinancecoin_2Csola__2[name],markets?vs_currency_usd_ids_bitcoin_2Cethereum_2Ctether_2Cbinancecoin_2Csola__2[price_change_percentage_24h]), 0)</f>
        <v>5.5068499999999999E-2</v>
      </c>
      <c r="F53" s="2" cm="1">
        <f t="array" ref="F53">IF(ISBLANK(C53), "", LOOKUP(2, 1/(Transactions!$E$3:E1018=B53), Transactions!$P$3:P1018))</f>
        <v>18.586774092081555</v>
      </c>
      <c r="G53" s="2">
        <f>IFERROR(_xlfn.XLOOKUP(B53, markets?vs_currency_usd_ids_bitcoin_2Cethereum_2Ctether_2Cbinancecoin_2Csola__2[name], markets?vs_currency_usd_ids_bitcoin_2Cethereum_2Ctether_2Cbinancecoin_2Csola__2[current_price]), 0)</f>
        <v>19.57</v>
      </c>
      <c r="H53" s="2">
        <f t="shared" si="5"/>
        <v>1309.657744589173</v>
      </c>
      <c r="I53" s="2">
        <f t="shared" si="6"/>
        <v>1378.9376216999999</v>
      </c>
      <c r="J53" s="2">
        <f t="shared" si="8"/>
        <v>69.279877110826874</v>
      </c>
      <c r="L53" s="53"/>
      <c r="N53" s="6"/>
      <c r="P53" s="2"/>
      <c r="Q53" s="2"/>
      <c r="R53" s="76"/>
      <c r="S53" s="97"/>
    </row>
    <row r="54" spans="2:21">
      <c r="B54" s="73" t="str">
        <v>COQ Inu</v>
      </c>
      <c r="C54" s="27" cm="1">
        <f t="array" ref="C54">IF(ISBLANK(B54), "", SUMPRODUCT((Transactions!$E$3:$E$1007=B54) * (Transactions!$H$3:$H$1007={"Cash Deposit","Crypto Deposit","Buy","Transfer Deposit","DRIP","Airdrop/Rewards"}) * Transactions!$I$3:$I$1007) - SUMPRODUCT(
(Transactions!$E$3:$E$1007=B54) * (Transactions!$H$3:$H$1007={"Sell","Transfer Send","Cash Withdrawal","Crypto Withdrawal"}) * Transactions!$I$3:$I$1007))</f>
        <v>100000000</v>
      </c>
      <c r="D54" s="76">
        <f t="shared" si="7"/>
        <v>3.3823898302772514E-3</v>
      </c>
      <c r="E54" s="41">
        <f>IFERROR(_xlfn.XLOOKUP(B54,markets?vs_currency_usd_ids_bitcoin_2Cethereum_2Ctether_2Cbinancecoin_2Csola__2[name],markets?vs_currency_usd_ids_bitcoin_2Cethereum_2Ctether_2Cbinancecoin_2Csola__2[price_change_percentage_24h]), 0)</f>
        <v>3.4625400000000001E-2</v>
      </c>
      <c r="F54" s="2" cm="1">
        <f t="array" ref="F54">IF(ISBLANK(C54), "", LOOKUP(2, 1/(Transactions!$E$3:E1019=B54), Transactions!$P$3:P1019))</f>
        <v>2.3139999999999998E-6</v>
      </c>
      <c r="G54" s="2">
        <f>IFERROR(_xlfn.XLOOKUP(B54, markets?vs_currency_usd_ids_bitcoin_2Cethereum_2Ctether_2Cbinancecoin_2Csola__2[name], markets?vs_currency_usd_ids_bitcoin_2Cethereum_2Ctether_2Cbinancecoin_2Csola__2[current_price]), 0)</f>
        <v>4.7099999999999998E-6</v>
      </c>
      <c r="H54" s="2">
        <f t="shared" si="5"/>
        <v>231.39999999999998</v>
      </c>
      <c r="I54" s="2">
        <f t="shared" si="6"/>
        <v>471</v>
      </c>
      <c r="J54" s="2">
        <f t="shared" si="8"/>
        <v>239.60000000000002</v>
      </c>
      <c r="L54" s="53"/>
      <c r="N54" s="79" t="s">
        <v>500</v>
      </c>
      <c r="O54" s="80"/>
      <c r="P54" s="81"/>
      <c r="Q54" s="3"/>
      <c r="R54" s="1" t="s">
        <v>322</v>
      </c>
      <c r="S54" s="1" t="s">
        <v>503</v>
      </c>
      <c r="T54" s="1" t="s">
        <v>322</v>
      </c>
      <c r="U54" s="1" t="s">
        <v>509</v>
      </c>
    </row>
    <row r="55" spans="2:21">
      <c r="B55" s="73" t="str">
        <v>Cosmos Hub</v>
      </c>
      <c r="C55" s="27" cm="1">
        <f t="array" ref="C55">IF(ISBLANK(B55), "", SUMPRODUCT((Transactions!$E$3:$E$1007=B55) * (Transactions!$H$3:$H$1007={"Cash Deposit","Crypto Deposit","Buy","Transfer Deposit","DRIP","Airdrop/Rewards"}) * Transactions!$I$3:$I$1007) - SUMPRODUCT(
(Transactions!$E$3:$E$1007=B55) * (Transactions!$H$3:$H$1007={"Sell","Transfer Send","Cash Withdrawal","Crypto Withdrawal"}) * Transactions!$I$3:$I$1007))</f>
        <v>91.408000199999989</v>
      </c>
      <c r="D55" s="76">
        <f t="shared" si="7"/>
        <v>8.0937546819166515E-3</v>
      </c>
      <c r="E55" s="41">
        <f>IFERROR(_xlfn.XLOOKUP(B55,markets?vs_currency_usd_ids_bitcoin_2Cethereum_2Ctether_2Cbinancecoin_2Csola__2[name],markets?vs_currency_usd_ids_bitcoin_2Cethereum_2Ctether_2Cbinancecoin_2Csola__2[price_change_percentage_24h]), 0)</f>
        <v>5.9471100000000006E-2</v>
      </c>
      <c r="F55" s="2" cm="1">
        <f t="array" ref="F55">IF(ISBLANK(C55), "", LOOKUP(2, 1/(Transactions!$E$3:E1020=B55), Transactions!$P$3:P1020))</f>
        <v>12.513515334229281</v>
      </c>
      <c r="G55" s="2">
        <f>IFERROR(_xlfn.XLOOKUP(B55, markets?vs_currency_usd_ids_bitcoin_2Cethereum_2Ctether_2Cbinancecoin_2Csola__2[name], markets?vs_currency_usd_ids_bitcoin_2Cethereum_2Ctether_2Cbinancecoin_2Csola__2[current_price]), 0)</f>
        <v>12.33</v>
      </c>
      <c r="H55" s="2">
        <f t="shared" si="5"/>
        <v>1143.835412173933</v>
      </c>
      <c r="I55" s="2">
        <f t="shared" si="6"/>
        <v>1127.0606424659998</v>
      </c>
      <c r="J55" s="2">
        <f t="shared" si="8"/>
        <v>-16.774769707933274</v>
      </c>
      <c r="L55" s="53"/>
      <c r="N55" s="73" t="s">
        <v>502</v>
      </c>
      <c r="O55" s="6" t="s">
        <v>47</v>
      </c>
      <c r="P55" s="88"/>
      <c r="Q55" s="77" t="s">
        <v>507</v>
      </c>
      <c r="R55" s="9" cm="1">
        <f t="array" ref="R55:R64">_xlfn._xlws.FILTER(Transactions!$C$3:$C1006,(Transactions!$D$3:$D1006=O55)*(Transactions!$H$3:$H1006="Buy"))</f>
        <v>44927</v>
      </c>
      <c r="S55" s="2" cm="1">
        <f t="array" ref="S55:S64">_xlfn._xlws.FILTER(Transactions!$J$3:$J1006,(Transactions!$D$3:$D1006=O55)*(Transactions!$H$3:$H1006="Buy"))</f>
        <v>42552.17</v>
      </c>
      <c r="T55" s="116" cm="1">
        <f t="array" ref="T55:T80">_xlfn._xlws.FILTER(Transactions!$C$3:$C1006,(Transactions!$D$3:$D1006=O55)*(Transactions!$H$3:$H1006="Sell"))</f>
        <v>45309</v>
      </c>
      <c r="U55" s="2" cm="1">
        <f t="array" ref="U55:U80">_xlfn._xlws.FILTER(Transactions!$J$3:$J1006,(Transactions!$D$3:$D1006=O55)*(Transactions!$H$3:$H1006="Sell"))</f>
        <v>42455.75</v>
      </c>
    </row>
    <row r="56" spans="2:21">
      <c r="B56" s="73" t="str">
        <v>Cronos</v>
      </c>
      <c r="C56" s="27" cm="1">
        <f t="array" ref="C56">IF(ISBLANK(B56), "", SUMPRODUCT((Transactions!$E$3:$E$1007=B56) * (Transactions!$H$3:$H$1007={"Cash Deposit","Crypto Deposit","Buy","Transfer Deposit","DRIP","Airdrop/Rewards"}) * Transactions!$I$3:$I$1007) - SUMPRODUCT(
(Transactions!$E$3:$E$1007=B56) * (Transactions!$H$3:$H$1007={"Sell","Transfer Send","Cash Withdrawal","Crypto Withdrawal"}) * Transactions!$I$3:$I$1007))</f>
        <v>11558.85</v>
      </c>
      <c r="D56" s="76">
        <f t="shared" si="7"/>
        <v>1.2430374457075597E-2</v>
      </c>
      <c r="E56" s="41">
        <f>IFERROR(_xlfn.XLOOKUP(B56,markets?vs_currency_usd_ids_bitcoin_2Cethereum_2Ctether_2Cbinancecoin_2Csola__2[name],markets?vs_currency_usd_ids_bitcoin_2Cethereum_2Ctether_2Cbinancecoin_2Csola__2[price_change_percentage_24h]), 0)</f>
        <v>4.2430300000000004E-2</v>
      </c>
      <c r="F56" s="2" cm="1">
        <f t="array" ref="F56">IF(ISBLANK(C56), "", LOOKUP(2, 1/(Transactions!$E$3:E1021=B56), Transactions!$P$3:P1021))</f>
        <v>0.33</v>
      </c>
      <c r="G56" s="2">
        <f>IFERROR(_xlfn.XLOOKUP(B56, markets?vs_currency_usd_ids_bitcoin_2Cethereum_2Ctether_2Cbinancecoin_2Csola__2[name], markets?vs_currency_usd_ids_bitcoin_2Cethereum_2Ctether_2Cbinancecoin_2Csola__2[current_price]), 0)</f>
        <v>0.14974999999999999</v>
      </c>
      <c r="H56" s="2">
        <f t="shared" si="5"/>
        <v>3814.4205000000002</v>
      </c>
      <c r="I56" s="2">
        <f t="shared" si="6"/>
        <v>1730.9377875</v>
      </c>
      <c r="J56" s="2">
        <f t="shared" si="8"/>
        <v>-2083.4827125000002</v>
      </c>
      <c r="L56" s="53"/>
      <c r="N56" s="73" t="s">
        <v>381</v>
      </c>
      <c r="O56" s="152">
        <f>_xlfn.XLOOKUP(O55,Portfolio_v2!B3:B59,Portfolio_v2!I3:I59)</f>
        <v>7147.0908320387334</v>
      </c>
      <c r="P56" s="153"/>
      <c r="Q56" s="2"/>
      <c r="R56" s="9">
        <v>44927</v>
      </c>
      <c r="S56" s="2">
        <v>29303.68</v>
      </c>
      <c r="T56" s="116">
        <v>45309</v>
      </c>
      <c r="U56" s="2">
        <v>41200.089999999997</v>
      </c>
    </row>
    <row r="57" spans="2:21">
      <c r="B57" s="73" t="str">
        <v>Decentralized Social</v>
      </c>
      <c r="C57" s="27" cm="1">
        <f t="array" ref="C57">IF(ISBLANK(B57), "", SUMPRODUCT((Transactions!$E$3:$E$1007=B57) * (Transactions!$H$3:$H$1007={"Cash Deposit","Crypto Deposit","Buy","Transfer Deposit","DRIP","Airdrop/Rewards"}) * Transactions!$I$3:$I$1007) - SUMPRODUCT(
(Transactions!$E$3:$E$1007=B57) * (Transactions!$H$3:$H$1007={"Sell","Transfer Send","Cash Withdrawal","Crypto Withdrawal"}) * Transactions!$I$3:$I$1007))</f>
        <v>2</v>
      </c>
      <c r="D57" s="76">
        <f t="shared" si="7"/>
        <v>4.8832804343705539E-4</v>
      </c>
      <c r="E57" s="41">
        <f>IFERROR(_xlfn.XLOOKUP(B57,markets?vs_currency_usd_ids_bitcoin_2Cethereum_2Ctether_2Cbinancecoin_2Csola__2[name],markets?vs_currency_usd_ids_bitcoin_2Cethereum_2Ctether_2Cbinancecoin_2Csola__2[price_change_percentage_24h]), 0)</f>
        <v>3.6919E-2</v>
      </c>
      <c r="F57" s="2" cm="1">
        <f t="array" ref="F57">IF(ISBLANK(C57), "", LOOKUP(2, 1/(Transactions!$E$3:E1022=B57), Transactions!$P$3:P1022))</f>
        <v>24.57</v>
      </c>
      <c r="G57" s="2">
        <f>IFERROR(_xlfn.XLOOKUP(B57, markets?vs_currency_usd_ids_bitcoin_2Cethereum_2Ctether_2Cbinancecoin_2Csola__2[name], markets?vs_currency_usd_ids_bitcoin_2Cethereum_2Ctether_2Cbinancecoin_2Csola__2[current_price]), 0)</f>
        <v>34</v>
      </c>
      <c r="H57" s="2">
        <f t="shared" si="5"/>
        <v>49.14</v>
      </c>
      <c r="I57" s="2">
        <f t="shared" si="6"/>
        <v>68</v>
      </c>
      <c r="J57" s="2">
        <f t="shared" si="8"/>
        <v>18.86</v>
      </c>
      <c r="L57" s="53"/>
      <c r="N57" s="73" t="s">
        <v>328</v>
      </c>
      <c r="O57" s="145">
        <f>_xlfn.XLOOKUP(O55,Portfolio_v2!B3:B59,Portfolio_v2!C3:C59)</f>
        <v>0.22184523994681654</v>
      </c>
      <c r="P57" s="154"/>
      <c r="Q57" s="77"/>
      <c r="R57" s="9">
        <v>45056</v>
      </c>
      <c r="S57" s="2">
        <v>28166.35</v>
      </c>
      <c r="T57" s="116">
        <v>45310</v>
      </c>
      <c r="U57" s="2">
        <v>41111.800000000003</v>
      </c>
    </row>
    <row r="58" spans="2:21">
      <c r="B58" s="73" t="str">
        <v>Dogecoin</v>
      </c>
      <c r="C58" s="27" cm="1">
        <f t="array" ref="C58">IF(ISBLANK(B58), "", SUMPRODUCT((Transactions!$E$3:$E$1007=B58) * (Transactions!$H$3:$H$1007={"Cash Deposit","Crypto Deposit","Buy","Transfer Deposit","DRIP","Airdrop/Rewards"}) * Transactions!$I$3:$I$1007) - SUMPRODUCT(
(Transactions!$E$3:$E$1007=B58) * (Transactions!$H$3:$H$1007={"Sell","Transfer Send","Cash Withdrawal","Crypto Withdrawal"}) * Transactions!$I$3:$I$1007))</f>
        <v>2000</v>
      </c>
      <c r="D58" s="76">
        <f t="shared" si="7"/>
        <v>2.5541423808394669E-3</v>
      </c>
      <c r="E58" s="41">
        <f>IFERROR(_xlfn.XLOOKUP(B58,markets?vs_currency_usd_ids_bitcoin_2Cethereum_2Ctether_2Cbinancecoin_2Csola__2[name],markets?vs_currency_usd_ids_bitcoin_2Cethereum_2Ctether_2Cbinancecoin_2Csola__2[price_change_percentage_24h]), 0)</f>
        <v>3.1623899999999996E-2</v>
      </c>
      <c r="F58" s="2" cm="1">
        <f t="array" ref="F58">IF(ISBLANK(C58), "", LOOKUP(2, 1/(Transactions!$E$3:E1023=B58), Transactions!$P$3:P1023))</f>
        <v>0.20736526</v>
      </c>
      <c r="G58" s="2">
        <f>IFERROR(_xlfn.XLOOKUP(B58, markets?vs_currency_usd_ids_bitcoin_2Cethereum_2Ctether_2Cbinancecoin_2Csola__2[name], markets?vs_currency_usd_ids_bitcoin_2Cethereum_2Ctether_2Cbinancecoin_2Csola__2[current_price]), 0)</f>
        <v>0.17783299999999999</v>
      </c>
      <c r="H58" s="2">
        <f t="shared" si="5"/>
        <v>414.73052000000001</v>
      </c>
      <c r="I58" s="2">
        <f t="shared" si="6"/>
        <v>355.666</v>
      </c>
      <c r="J58" s="2">
        <f t="shared" si="8"/>
        <v>-59.064520000000016</v>
      </c>
      <c r="L58" s="53"/>
      <c r="N58" s="73" t="s">
        <v>285</v>
      </c>
      <c r="O58" s="184">
        <f>_xlfn.XLOOKUP(O55,Portfolio_v2!B3:B59,Portfolio_v2!J3:J59)</f>
        <v>15580.634891944819</v>
      </c>
      <c r="P58" s="185"/>
      <c r="Q58" s="89"/>
      <c r="R58" s="9">
        <v>45071</v>
      </c>
      <c r="S58" s="2">
        <v>26935.57</v>
      </c>
      <c r="T58" s="116">
        <v>45312</v>
      </c>
      <c r="U58" s="2">
        <v>41754.67</v>
      </c>
    </row>
    <row r="59" spans="2:21">
      <c r="B59" s="73" t="str">
        <v>Dymension</v>
      </c>
      <c r="C59" s="27" cm="1">
        <f t="array" ref="C59">IF(ISBLANK(B59), "", SUMPRODUCT((Transactions!$E$3:$E$1007=B59) * (Transactions!$H$3:$H$1007={"Cash Deposit","Crypto Deposit","Buy","Transfer Deposit","DRIP","Airdrop/Rewards"}) * Transactions!$I$3:$I$1007) - SUMPRODUCT(
(Transactions!$E$3:$E$1007=B59) * (Transactions!$H$3:$H$1007={"Sell","Transfer Send","Cash Withdrawal","Crypto Withdrawal"}) * Transactions!$I$3:$I$1007))</f>
        <v>107</v>
      </c>
      <c r="D59" s="76">
        <f t="shared" si="7"/>
        <v>4.6564951459625798E-3</v>
      </c>
      <c r="E59" s="41">
        <f>IFERROR(_xlfn.XLOOKUP(B59,markets?vs_currency_usd_ids_bitcoin_2Cethereum_2Ctether_2Cbinancecoin_2Csola__2[name],markets?vs_currency_usd_ids_bitcoin_2Cethereum_2Ctether_2Cbinancecoin_2Csola__2[price_change_percentage_24h]), 0)</f>
        <v>6.8090799999999993E-2</v>
      </c>
      <c r="F59" s="2" cm="1">
        <f t="array" ref="F59">IF(ISBLANK(C59), "", LOOKUP(2, 1/(Transactions!$E$3:E1024=B59), Transactions!$P$3:P1024))</f>
        <v>5</v>
      </c>
      <c r="G59" s="2">
        <f>IFERROR(_xlfn.XLOOKUP(B59, markets?vs_currency_usd_ids_bitcoin_2Cethereum_2Ctether_2Cbinancecoin_2Csola__2[name], markets?vs_currency_usd_ids_bitcoin_2Cethereum_2Ctether_2Cbinancecoin_2Csola__2[current_price]), 0)</f>
        <v>6.06</v>
      </c>
      <c r="H59" s="2">
        <f t="shared" si="5"/>
        <v>535</v>
      </c>
      <c r="I59" s="2">
        <f t="shared" si="6"/>
        <v>648.41999999999996</v>
      </c>
      <c r="J59" s="2">
        <f t="shared" si="8"/>
        <v>113.41999999999996</v>
      </c>
      <c r="L59" s="53"/>
      <c r="N59" s="73" t="s">
        <v>382</v>
      </c>
      <c r="O59" s="186">
        <f>_xlfn.XLOOKUP(Dashboard!O55,Portfolio_v2!B3:B59,Portfolio_v2!K3:K59)</f>
        <v>1.179996764851579</v>
      </c>
      <c r="P59" s="187"/>
      <c r="Q59" s="90"/>
      <c r="R59" s="9">
        <v>45097</v>
      </c>
      <c r="S59" s="2">
        <v>27379.05</v>
      </c>
      <c r="T59" s="116">
        <v>45315</v>
      </c>
      <c r="U59" s="2">
        <v>40033.57</v>
      </c>
    </row>
    <row r="60" spans="2:21">
      <c r="B60" s="73" t="str">
        <v>Ethereum</v>
      </c>
      <c r="C60" s="27" cm="1">
        <f t="array" ref="C60">IF(ISBLANK(B60), "", SUMPRODUCT((Transactions!$E$3:$E$1007=B60) * (Transactions!$H$3:$H$1007={"Cash Deposit","Crypto Deposit","Buy","Transfer Deposit","DRIP","Airdrop/Rewards"}) * Transactions!$I$3:$I$1007) - SUMPRODUCT(
(Transactions!$E$3:$E$1007=B60) * (Transactions!$H$3:$H$1007={"Sell","Transfer Send","Cash Withdrawal","Crypto Withdrawal"}) * Transactions!$I$3:$I$1007))</f>
        <v>10.323069533889125</v>
      </c>
      <c r="D60" s="76">
        <f t="shared" si="7"/>
        <v>0.26762237245152104</v>
      </c>
      <c r="E60" s="41">
        <f>IFERROR(_xlfn.XLOOKUP(B60,markets?vs_currency_usd_ids_bitcoin_2Cethereum_2Ctether_2Cbinancecoin_2Csola__2[name],markets?vs_currency_usd_ids_bitcoin_2Cethereum_2Ctether_2Cbinancecoin_2Csola__2[price_change_percentage_24h]), 0)</f>
        <v>5.1454899999999998E-2</v>
      </c>
      <c r="F60" s="2" cm="1">
        <f t="array" ref="F60">IF(ISBLANK(C60), "", LOOKUP(2, 1/(Transactions!$E$3:E1025=B60), Transactions!$P$3:P1025))</f>
        <v>2331.5797609609203</v>
      </c>
      <c r="G60" s="2">
        <f>IFERROR(_xlfn.XLOOKUP(B60, markets?vs_currency_usd_ids_bitcoin_2Cethereum_2Ctether_2Cbinancecoin_2Csola__2[name], markets?vs_currency_usd_ids_bitcoin_2Cethereum_2Ctether_2Cbinancecoin_2Csola__2[current_price]), 0)</f>
        <v>3610.03</v>
      </c>
      <c r="H60" s="2">
        <f t="shared" si="5"/>
        <v>24069.059996208165</v>
      </c>
      <c r="I60" s="2">
        <f t="shared" si="6"/>
        <v>37266.590709425764</v>
      </c>
      <c r="J60" s="2">
        <f t="shared" si="8"/>
        <v>13197.530713217599</v>
      </c>
      <c r="L60" s="53"/>
      <c r="N60" s="73" t="s">
        <v>383</v>
      </c>
      <c r="O60" s="184">
        <f>_xlfn.XLOOKUP(O55,Portfolio_v2!B3:B59,Portfolio_v2!L3:L59)</f>
        <v>8433.5440599060857</v>
      </c>
      <c r="P60" s="185"/>
      <c r="Q60" s="89"/>
      <c r="R60" s="9">
        <v>45235</v>
      </c>
      <c r="S60" s="2">
        <v>35720.923478999997</v>
      </c>
      <c r="T60" s="116">
        <v>45324</v>
      </c>
      <c r="U60" s="2">
        <v>43088</v>
      </c>
    </row>
    <row r="61" spans="2:21">
      <c r="B61" s="73" t="str">
        <v>Fantom</v>
      </c>
      <c r="C61" s="27" cm="1">
        <f t="array" ref="C61">IF(ISBLANK(B61), "", SUMPRODUCT((Transactions!$E$3:$E$1007=B61) * (Transactions!$H$3:$H$1007={"Cash Deposit","Crypto Deposit","Buy","Transfer Deposit","DRIP","Airdrop/Rewards"}) * Transactions!$I$3:$I$1007) - SUMPRODUCT(
(Transactions!$E$3:$E$1007=B61) * (Transactions!$H$3:$H$1007={"Sell","Transfer Send","Cash Withdrawal","Crypto Withdrawal"}) * Transactions!$I$3:$I$1007))</f>
        <v>95.65</v>
      </c>
      <c r="D61" s="76">
        <f t="shared" si="7"/>
        <v>7.7618665310106487E-4</v>
      </c>
      <c r="E61" s="41">
        <f>IFERROR(_xlfn.XLOOKUP(B61,markets?vs_currency_usd_ids_bitcoin_2Cethereum_2Ctether_2Cbinancecoin_2Csola__2[name],markets?vs_currency_usd_ids_bitcoin_2Cethereum_2Ctether_2Cbinancecoin_2Csola__2[price_change_percentage_24h]), 0)</f>
        <v>5.2011099999999998E-2</v>
      </c>
      <c r="F61" s="2" cm="1">
        <f t="array" ref="F61">IF(ISBLANK(C61), "", LOOKUP(2, 1/(Transactions!$E$3:E1026=B61), Transactions!$P$3:P1026))</f>
        <v>1.798</v>
      </c>
      <c r="G61" s="2">
        <f>IFERROR(_xlfn.XLOOKUP(B61, markets?vs_currency_usd_ids_bitcoin_2Cethereum_2Ctether_2Cbinancecoin_2Csola__2[name], markets?vs_currency_usd_ids_bitcoin_2Cethereum_2Ctether_2Cbinancecoin_2Csola__2[current_price]), 0)</f>
        <v>1.1299999999999999</v>
      </c>
      <c r="H61" s="2">
        <f t="shared" si="5"/>
        <v>171.9787</v>
      </c>
      <c r="I61" s="2">
        <f t="shared" si="6"/>
        <v>108.08449999999999</v>
      </c>
      <c r="J61" s="2">
        <f t="shared" si="8"/>
        <v>-63.894200000000012</v>
      </c>
      <c r="L61" s="53"/>
      <c r="N61" s="73" t="s">
        <v>384</v>
      </c>
      <c r="O61" s="184">
        <f>_xlfn.XLOOKUP(O55,Portfolio_v2!B3:B59,Portfolio_v2!M3:M59)</f>
        <v>3886.2451555667776</v>
      </c>
      <c r="P61" s="185"/>
      <c r="Q61" s="89"/>
      <c r="R61" s="9">
        <v>45288</v>
      </c>
      <c r="S61" s="2">
        <v>43909.878682800001</v>
      </c>
      <c r="T61" s="116">
        <v>45324</v>
      </c>
      <c r="U61" s="2">
        <v>43188</v>
      </c>
    </row>
    <row r="62" spans="2:21">
      <c r="B62" s="73" t="str">
        <v>Filecoin</v>
      </c>
      <c r="C62" s="27" cm="1">
        <f t="array" ref="C62">IF(ISBLANK(B62), "", SUMPRODUCT((Transactions!$E$3:$E$1007=B62) * (Transactions!$H$3:$H$1007={"Cash Deposit","Crypto Deposit","Buy","Transfer Deposit","DRIP","Airdrop/Rewards"}) * Transactions!$I$3:$I$1007) - SUMPRODUCT(
(Transactions!$E$3:$E$1007=B62) * (Transactions!$H$3:$H$1007={"Sell","Transfer Send","Cash Withdrawal","Crypto Withdrawal"}) * Transactions!$I$3:$I$1007))</f>
        <v>40</v>
      </c>
      <c r="D62" s="76">
        <f t="shared" si="7"/>
        <v>6.2046386695531746E-4</v>
      </c>
      <c r="E62" s="41">
        <f>IFERROR(_xlfn.XLOOKUP(B62,markets?vs_currency_usd_ids_bitcoin_2Cethereum_2Ctether_2Cbinancecoin_2Csola__2[name],markets?vs_currency_usd_ids_bitcoin_2Cethereum_2Ctether_2Cbinancecoin_2Csola__2[price_change_percentage_24h]), 0)</f>
        <v>3.7911500000000001E-2</v>
      </c>
      <c r="F62" s="2" cm="1">
        <f t="array" ref="F62">IF(ISBLANK(C62), "", LOOKUP(2, 1/(Transactions!$E$3:E1027=B62), Transactions!$P$3:P1027))</f>
        <v>7.3860000000000001</v>
      </c>
      <c r="G62" s="2">
        <v>2.16</v>
      </c>
      <c r="H62" s="2">
        <f t="shared" si="5"/>
        <v>295.44</v>
      </c>
      <c r="I62" s="2">
        <f t="shared" si="6"/>
        <v>86.4</v>
      </c>
      <c r="J62" s="2">
        <f t="shared" si="8"/>
        <v>-209.04</v>
      </c>
      <c r="L62" s="53"/>
      <c r="N62" s="74" t="s">
        <v>385</v>
      </c>
      <c r="O62" s="176">
        <f>O60+O61</f>
        <v>12319.789215472863</v>
      </c>
      <c r="P62" s="177"/>
      <c r="Q62" s="89"/>
      <c r="R62" s="9">
        <v>45294</v>
      </c>
      <c r="S62" s="2">
        <v>42922.160779999998</v>
      </c>
      <c r="T62" s="116">
        <v>45327</v>
      </c>
      <c r="U62" s="2">
        <v>43113.99</v>
      </c>
    </row>
    <row r="63" spans="2:21">
      <c r="B63" s="73" t="str">
        <v>Gains Network gDAI</v>
      </c>
      <c r="C63" s="27" cm="1">
        <f t="array" ref="C63">IF(ISBLANK(B63), "", SUMPRODUCT((Transactions!$E$3:$E$1007=B63) * (Transactions!$H$3:$H$1007={"Cash Deposit","Crypto Deposit","Buy","Transfer Deposit","DRIP","Airdrop/Rewards"}) * Transactions!$I$3:$I$1007) - SUMPRODUCT(
(Transactions!$E$3:$E$1007=B63) * (Transactions!$H$3:$H$1007={"Sell","Transfer Send","Cash Withdrawal","Crypto Withdrawal"}) * Transactions!$I$3:$I$1007))</f>
        <v>746.79</v>
      </c>
      <c r="D63" s="76">
        <f t="shared" si="7"/>
        <v>0</v>
      </c>
      <c r="E63" s="41">
        <f>IFERROR(_xlfn.XLOOKUP(B63,markets?vs_currency_usd_ids_bitcoin_2Cethereum_2Ctether_2Cbinancecoin_2Csola__2[name],markets?vs_currency_usd_ids_bitcoin_2Cethereum_2Ctether_2Cbinancecoin_2Csola__2[price_change_percentage_24h]), 0)</f>
        <v>0</v>
      </c>
      <c r="F63" s="2" cm="1">
        <f t="array" ref="F63">IF(ISBLANK(C63), "", LOOKUP(2, 1/(Transactions!$E$3:E1028=B63), Transactions!$P$3:P1028))</f>
        <v>2.1558899999999999</v>
      </c>
      <c r="G63" s="2">
        <f>IFERROR(_xlfn.XLOOKUP(B63, markets?vs_currency_usd_ids_bitcoin_2Cethereum_2Ctether_2Cbinancecoin_2Csola__2[name], markets?vs_currency_usd_ids_bitcoin_2Cethereum_2Ctether_2Cbinancecoin_2Csola__2[current_price]), 0)</f>
        <v>0</v>
      </c>
      <c r="H63" s="2">
        <f t="shared" si="5"/>
        <v>1609.9970930999998</v>
      </c>
      <c r="I63" s="2">
        <f t="shared" si="6"/>
        <v>0</v>
      </c>
      <c r="J63" s="2">
        <f t="shared" si="8"/>
        <v>-1609.9970930999998</v>
      </c>
      <c r="L63" s="53"/>
      <c r="R63" s="9">
        <v>45314</v>
      </c>
      <c r="S63" s="2">
        <v>40640.732264999999</v>
      </c>
      <c r="T63" s="116">
        <v>45337</v>
      </c>
      <c r="U63" s="2">
        <v>51960</v>
      </c>
    </row>
    <row r="64" spans="2:21">
      <c r="B64" s="73" t="str">
        <v>GALA</v>
      </c>
      <c r="C64" s="27" cm="1">
        <f t="array" ref="C64">IF(ISBLANK(B64), "", SUMPRODUCT((Transactions!$E$3:$E$1007=B64) * (Transactions!$H$3:$H$1007={"Cash Deposit","Crypto Deposit","Buy","Transfer Deposit","DRIP","Airdrop/Rewards"}) * Transactions!$I$3:$I$1007) - SUMPRODUCT(
(Transactions!$E$3:$E$1007=B64) * (Transactions!$H$3:$H$1007={"Sell","Transfer Send","Cash Withdrawal","Crypto Withdrawal"}) * Transactions!$I$3:$I$1007))</f>
        <v>1811</v>
      </c>
      <c r="D64" s="76">
        <f t="shared" si="7"/>
        <v>1.1444685827423036E-2</v>
      </c>
      <c r="E64" s="41">
        <f>IFERROR(_xlfn.XLOOKUP(B64,markets?vs_currency_usd_ids_bitcoin_2Cethereum_2Ctether_2Cbinancecoin_2Csola__2[name],markets?vs_currency_usd_ids_bitcoin_2Cethereum_2Ctether_2Cbinancecoin_2Csola__2[price_change_percentage_24h]), 0)</f>
        <v>3.7868400000000003E-2</v>
      </c>
      <c r="F64" s="2" cm="1">
        <f t="array" ref="F64">IF(ISBLANK(C64), "", LOOKUP(2, 1/(Transactions!$E$3:E1029=B64), Transactions!$P$3:P1029))</f>
        <v>7.1421890000000002E-2</v>
      </c>
      <c r="G64" s="2">
        <v>0.88</v>
      </c>
      <c r="H64" s="2">
        <f t="shared" si="5"/>
        <v>129.34504279000001</v>
      </c>
      <c r="I64" s="2">
        <f t="shared" si="6"/>
        <v>1593.68</v>
      </c>
      <c r="J64" s="2">
        <f t="shared" si="8"/>
        <v>1464.3349572100001</v>
      </c>
      <c r="L64" s="53"/>
      <c r="R64" s="9">
        <v>45328</v>
      </c>
      <c r="S64" s="2">
        <v>43689.320388349515</v>
      </c>
      <c r="T64" s="116">
        <v>45349</v>
      </c>
      <c r="U64" s="2">
        <v>56388</v>
      </c>
    </row>
    <row r="65" spans="2:21">
      <c r="B65" s="73" t="str">
        <v>GLP</v>
      </c>
      <c r="C65" s="27" cm="1">
        <f t="array" ref="C65">IF(ISBLANK(B65), "", SUMPRODUCT((Transactions!$E$3:$E$1007=B65) * (Transactions!$H$3:$H$1007={"Cash Deposit","Crypto Deposit","Buy","Transfer Deposit","DRIP","Airdrop/Rewards"}) * Transactions!$I$3:$I$1007) - SUMPRODUCT(
(Transactions!$E$3:$E$1007=B65) * (Transactions!$H$3:$H$1007={"Sell","Transfer Send","Cash Withdrawal","Crypto Withdrawal"}) * Transactions!$I$3:$I$1007))</f>
        <v>2779.13</v>
      </c>
      <c r="D65" s="76">
        <f t="shared" si="7"/>
        <v>0</v>
      </c>
      <c r="E65" s="41">
        <f>IFERROR(_xlfn.XLOOKUP(B65,markets?vs_currency_usd_ids_bitcoin_2Cethereum_2Ctether_2Cbinancecoin_2Csola__2[name],markets?vs_currency_usd_ids_bitcoin_2Cethereum_2Ctether_2Cbinancecoin_2Csola__2[price_change_percentage_24h]), 0)</f>
        <v>0</v>
      </c>
      <c r="F65" s="2" cm="1">
        <f t="array" ref="F65">IF(ISBLANK(C65), "", LOOKUP(2, 1/(Transactions!$E$3:E1030=B65), Transactions!$P$3:P1030))</f>
        <v>0.8</v>
      </c>
      <c r="G65" s="2">
        <f>IFERROR(_xlfn.XLOOKUP(B65, markets?vs_currency_usd_ids_bitcoin_2Cethereum_2Ctether_2Cbinancecoin_2Csola__2[name], markets?vs_currency_usd_ids_bitcoin_2Cethereum_2Ctether_2Cbinancecoin_2Csola__2[current_price]), 0)</f>
        <v>0</v>
      </c>
      <c r="H65" s="2">
        <f t="shared" si="5"/>
        <v>2223.3040000000001</v>
      </c>
      <c r="I65" s="2">
        <f t="shared" si="6"/>
        <v>0</v>
      </c>
      <c r="J65" s="2">
        <f t="shared" si="8"/>
        <v>-2223.3040000000001</v>
      </c>
      <c r="L65" s="53"/>
      <c r="R65" s="9"/>
      <c r="S65" s="2"/>
      <c r="T65" s="116">
        <v>45349</v>
      </c>
      <c r="U65" s="2">
        <v>57288</v>
      </c>
    </row>
    <row r="66" spans="2:21">
      <c r="B66" s="73" t="str">
        <v>Highstreet</v>
      </c>
      <c r="C66" s="27" cm="1">
        <f t="array" ref="C66">IF(ISBLANK(B66), "", SUMPRODUCT((Transactions!$E$3:$E$1007=B66) * (Transactions!$H$3:$H$1007={"Cash Deposit","Crypto Deposit","Buy","Transfer Deposit","DRIP","Airdrop/Rewards"}) * Transactions!$I$3:$I$1007) - SUMPRODUCT(
(Transactions!$E$3:$E$1007=B66) * (Transactions!$H$3:$H$1007={"Sell","Transfer Send","Cash Withdrawal","Crypto Withdrawal"}) * Transactions!$I$3:$I$1007))</f>
        <v>49.968211029999999</v>
      </c>
      <c r="D66" s="76">
        <f t="shared" si="7"/>
        <v>7.4637981986420531E-4</v>
      </c>
      <c r="E66" s="41">
        <f>IFERROR(_xlfn.XLOOKUP(B66,markets?vs_currency_usd_ids_bitcoin_2Cethereum_2Ctether_2Cbinancecoin_2Csola__2[name],markets?vs_currency_usd_ids_bitcoin_2Cethereum_2Ctether_2Cbinancecoin_2Csola__2[price_change_percentage_24h]), 0)</f>
        <v>4.0259099999999999E-2</v>
      </c>
      <c r="F66" s="2" cm="1">
        <f t="array" ref="F66">IF(ISBLANK(C66), "", LOOKUP(2, 1/(Transactions!$E$3:E1031=B66), Transactions!$P$3:P1031))</f>
        <v>6.06</v>
      </c>
      <c r="G66" s="2">
        <f>IFERROR(_xlfn.XLOOKUP(B66, markets?vs_currency_usd_ids_bitcoin_2Cethereum_2Ctether_2Cbinancecoin_2Csola__2[name], markets?vs_currency_usd_ids_bitcoin_2Cethereum_2Ctether_2Cbinancecoin_2Csola__2[current_price]), 0)</f>
        <v>2.08</v>
      </c>
      <c r="H66" s="2">
        <f t="shared" si="5"/>
        <v>302.80735884179995</v>
      </c>
      <c r="I66" s="2">
        <f t="shared" si="6"/>
        <v>103.9338789424</v>
      </c>
      <c r="J66" s="2">
        <f t="shared" si="8"/>
        <v>-198.87347989939997</v>
      </c>
      <c r="L66" s="53"/>
      <c r="T66" s="116">
        <v>45350</v>
      </c>
      <c r="U66" s="2">
        <v>59388</v>
      </c>
    </row>
    <row r="67" spans="2:21">
      <c r="B67" s="73" t="str">
        <v>Internet Computer</v>
      </c>
      <c r="C67" s="27" cm="1">
        <f t="array" ref="C67">IF(ISBLANK(B67), "", SUMPRODUCT((Transactions!$E$3:$E$1007=B67) * (Transactions!$H$3:$H$1007={"Cash Deposit","Crypto Deposit","Buy","Transfer Deposit","DRIP","Airdrop/Rewards"}) * Transactions!$I$3:$I$1007) - SUMPRODUCT(
(Transactions!$E$3:$E$1007=B67) * (Transactions!$H$3:$H$1007={"Sell","Transfer Send","Cash Withdrawal","Crypto Withdrawal"}) * Transactions!$I$3:$I$1007))</f>
        <v>20.009999999999998</v>
      </c>
      <c r="D67" s="76">
        <f t="shared" si="7"/>
        <v>2.6368529431966179E-3</v>
      </c>
      <c r="E67" s="41">
        <f>IFERROR(_xlfn.XLOOKUP(B67,markets?vs_currency_usd_ids_bitcoin_2Cethereum_2Ctether_2Cbinancecoin_2Csola__2[name],markets?vs_currency_usd_ids_bitcoin_2Cethereum_2Ctether_2Cbinancecoin_2Csola__2[price_change_percentage_24h]), 0)</f>
        <v>0.11981070000000001</v>
      </c>
      <c r="F67" s="2" cm="1">
        <f t="array" ref="F67">IF(ISBLANK(C67), "", LOOKUP(2, 1/(Transactions!$E$3:E1032=B67), Transactions!$P$3:P1032))</f>
        <v>12.211004497751125</v>
      </c>
      <c r="G67" s="2">
        <f>IFERROR(_xlfn.XLOOKUP(B67, markets?vs_currency_usd_ids_bitcoin_2Cethereum_2Ctether_2Cbinancecoin_2Csola__2[name], markets?vs_currency_usd_ids_bitcoin_2Cethereum_2Ctether_2Cbinancecoin_2Csola__2[current_price]), 0)</f>
        <v>18.350000000000001</v>
      </c>
      <c r="H67" s="2">
        <f t="shared" si="5"/>
        <v>244.34219999999999</v>
      </c>
      <c r="I67" s="2">
        <f t="shared" si="6"/>
        <v>367.18349999999998</v>
      </c>
      <c r="J67" s="2">
        <f t="shared" si="8"/>
        <v>122.84129999999999</v>
      </c>
      <c r="L67" s="53"/>
      <c r="T67" s="116">
        <v>45350</v>
      </c>
      <c r="U67" s="2">
        <v>60600</v>
      </c>
    </row>
    <row r="68" spans="2:21">
      <c r="B68" s="73" t="str">
        <v>Liquid Driver liveTHE</v>
      </c>
      <c r="C68" s="27" cm="1">
        <f t="array" ref="C68">IF(ISBLANK(B68), "", SUMPRODUCT((Transactions!$E$3:$E$1007=B68) * (Transactions!$H$3:$H$1007={"Cash Deposit","Crypto Deposit","Buy","Transfer Deposit","DRIP","Airdrop/Rewards"}) * Transactions!$I$3:$I$1007) - SUMPRODUCT(
(Transactions!$E$3:$E$1007=B68) * (Transactions!$H$3:$H$1007={"Sell","Transfer Send","Cash Withdrawal","Crypto Withdrawal"}) * Transactions!$I$3:$I$1007))</f>
        <v>1516.68</v>
      </c>
      <c r="D68" s="76">
        <f t="shared" si="7"/>
        <v>4.995708024587475E-3</v>
      </c>
      <c r="E68" s="41">
        <f>IFERROR(_xlfn.XLOOKUP(B68,markets?vs_currency_usd_ids_bitcoin_2Cethereum_2Ctether_2Cbinancecoin_2Csola__2[name],markets?vs_currency_usd_ids_bitcoin_2Cethereum_2Ctether_2Cbinancecoin_2Csola__2[price_change_percentage_24h]), 0)</f>
        <v>0</v>
      </c>
      <c r="F68" s="2" cm="1">
        <f t="array" ref="F68">IF(ISBLANK(C68), "", LOOKUP(2, 1/(Transactions!$E$3:E1033=B68), Transactions!$P$3:P1033))</f>
        <v>0.2</v>
      </c>
      <c r="G68" s="2">
        <f>IFERROR(_xlfn.XLOOKUP(B68, markets?vs_currency_usd_ids_bitcoin_2Cethereum_2Ctether_2Cbinancecoin_2Csola__2[name], markets?vs_currency_usd_ids_bitcoin_2Cethereum_2Ctether_2Cbinancecoin_2Csola__2[current_price]), 0)</f>
        <v>0.45867000000000002</v>
      </c>
      <c r="H68" s="2">
        <f t="shared" si="5"/>
        <v>303.33600000000001</v>
      </c>
      <c r="I68" s="2">
        <f t="shared" si="6"/>
        <v>695.65561560000003</v>
      </c>
      <c r="J68" s="2">
        <f t="shared" si="8"/>
        <v>392.31961560000002</v>
      </c>
      <c r="L68" s="53"/>
      <c r="T68" s="116">
        <v>45350</v>
      </c>
      <c r="U68" s="2">
        <v>61007.98</v>
      </c>
    </row>
    <row r="69" spans="2:21">
      <c r="B69" s="73" t="str">
        <v>Magic</v>
      </c>
      <c r="C69" s="27" cm="1">
        <f t="array" ref="C69">IF(ISBLANK(B69), "", SUMPRODUCT((Transactions!$E$3:$E$1007=B69) * (Transactions!$H$3:$H$1007={"Cash Deposit","Crypto Deposit","Buy","Transfer Deposit","DRIP","Airdrop/Rewards"}) * Transactions!$I$3:$I$1007) - SUMPRODUCT(
(Transactions!$E$3:$E$1007=B69) * (Transactions!$H$3:$H$1007={"Sell","Transfer Send","Cash Withdrawal","Crypto Withdrawal"}) * Transactions!$I$3:$I$1007))</f>
        <v>99.9</v>
      </c>
      <c r="D69" s="76">
        <f t="shared" si="7"/>
        <v>8.6806772886217378E-4</v>
      </c>
      <c r="E69" s="41">
        <f>IFERROR(_xlfn.XLOOKUP(B69,markets?vs_currency_usd_ids_bitcoin_2Cethereum_2Ctether_2Cbinancecoin_2Csola__2[name],markets?vs_currency_usd_ids_bitcoin_2Cethereum_2Ctether_2Cbinancecoin_2Csola__2[price_change_percentage_24h]), 0)</f>
        <v>5.3492100000000001E-2</v>
      </c>
      <c r="F69" s="2" cm="1">
        <f t="array" ref="F69">IF(ISBLANK(C69), "", LOOKUP(2, 1/(Transactions!$E$3:E1034=B69), Transactions!$P$3:P1034))</f>
        <v>1.23</v>
      </c>
      <c r="G69" s="2">
        <f>IFERROR(_xlfn.XLOOKUP(B69, markets?vs_currency_usd_ids_bitcoin_2Cethereum_2Ctether_2Cbinancecoin_2Csola__2[name], markets?vs_currency_usd_ids_bitcoin_2Cethereum_2Ctether_2Cbinancecoin_2Csola__2[current_price]), 0)</f>
        <v>1.21</v>
      </c>
      <c r="H69" s="2">
        <f t="shared" si="5"/>
        <v>122.87700000000001</v>
      </c>
      <c r="I69" s="2">
        <f t="shared" si="6"/>
        <v>120.879</v>
      </c>
      <c r="J69" s="2">
        <f t="shared" si="8"/>
        <v>-1.9980000000000047</v>
      </c>
      <c r="L69" s="53"/>
      <c r="T69" s="116">
        <v>45350</v>
      </c>
      <c r="U69" s="2">
        <v>61800</v>
      </c>
    </row>
    <row r="70" spans="2:21">
      <c r="B70" s="73" t="str">
        <v>Manta Network</v>
      </c>
      <c r="C70" s="27" cm="1">
        <f t="array" ref="C70">IF(ISBLANK(B70), "", SUMPRODUCT((Transactions!$E$3:$E$1007=B70) * (Transactions!$H$3:$H$1007={"Cash Deposit","Crypto Deposit","Buy","Transfer Deposit","DRIP","Airdrop/Rewards"}) * Transactions!$I$3:$I$1007) - SUMPRODUCT(
(Transactions!$E$3:$E$1007=B70) * (Transactions!$H$3:$H$1007={"Sell","Transfer Send","Cash Withdrawal","Crypto Withdrawal"}) * Transactions!$I$3:$I$1007))</f>
        <v>127</v>
      </c>
      <c r="D70" s="76">
        <f t="shared" si="7"/>
        <v>2.9458389220340365E-3</v>
      </c>
      <c r="E70" s="41">
        <f>IFERROR(_xlfn.XLOOKUP(B70,markets?vs_currency_usd_ids_bitcoin_2Cethereum_2Ctether_2Cbinancecoin_2Csola__2[name],markets?vs_currency_usd_ids_bitcoin_2Cethereum_2Ctether_2Cbinancecoin_2Csola__2[price_change_percentage_24h]), 0)</f>
        <v>4.90301E-2</v>
      </c>
      <c r="F70" s="2" cm="1">
        <f t="array" ref="F70">IF(ISBLANK(C70), "", LOOKUP(2, 1/(Transactions!$E$3:E1035=B70), Transactions!$P$3:P1035))</f>
        <v>0</v>
      </c>
      <c r="G70" s="2">
        <f>IFERROR(_xlfn.XLOOKUP(B70, markets?vs_currency_usd_ids_bitcoin_2Cethereum_2Ctether_2Cbinancecoin_2Csola__2[name], markets?vs_currency_usd_ids_bitcoin_2Cethereum_2Ctether_2Cbinancecoin_2Csola__2[current_price]), 0)</f>
        <v>3.23</v>
      </c>
      <c r="H70" s="2">
        <f t="shared" si="5"/>
        <v>0</v>
      </c>
      <c r="I70" s="2">
        <f t="shared" si="6"/>
        <v>410.21</v>
      </c>
      <c r="J70" s="2">
        <f t="shared" si="8"/>
        <v>410.21</v>
      </c>
      <c r="L70" s="53"/>
      <c r="T70" s="116">
        <v>45350</v>
      </c>
      <c r="U70" s="2">
        <v>62400</v>
      </c>
    </row>
    <row r="71" spans="2:21">
      <c r="B71" s="73" t="str">
        <v>Mantle</v>
      </c>
      <c r="C71" s="27" cm="1">
        <f t="array" ref="C71">IF(ISBLANK(B71), "", SUMPRODUCT((Transactions!$E$3:$E$1007=B71) * (Transactions!$H$3:$H$1007={"Cash Deposit","Crypto Deposit","Buy","Transfer Deposit","DRIP","Airdrop/Rewards"}) * Transactions!$I$3:$I$1007) - SUMPRODUCT(
(Transactions!$E$3:$E$1007=B71) * (Transactions!$H$3:$H$1007={"Sell","Transfer Send","Cash Withdrawal","Crypto Withdrawal"}) * Transactions!$I$3:$I$1007))</f>
        <v>889.07872373999999</v>
      </c>
      <c r="D71" s="76">
        <f t="shared" si="7"/>
        <v>5.5375520917379222E-3</v>
      </c>
      <c r="E71" s="41">
        <f>IFERROR(_xlfn.XLOOKUP(B71,markets?vs_currency_usd_ids_bitcoin_2Cethereum_2Ctether_2Cbinancecoin_2Csola__2[name],markets?vs_currency_usd_ids_bitcoin_2Cethereum_2Ctether_2Cbinancecoin_2Csola__2[price_change_percentage_24h]), 0)</f>
        <v>5.1205800000000003E-2</v>
      </c>
      <c r="F71" s="2" cm="1">
        <f t="array" ref="F71">IF(ISBLANK(C71), "", LOOKUP(2, 1/(Transactions!$E$3:E1036=B71), Transactions!$P$3:P1036))</f>
        <v>0.71309999999999996</v>
      </c>
      <c r="G71" s="2">
        <f>IFERROR(_xlfn.XLOOKUP(B71, markets?vs_currency_usd_ids_bitcoin_2Cethereum_2Ctether_2Cbinancecoin_2Csola__2[name], markets?vs_currency_usd_ids_bitcoin_2Cethereum_2Ctether_2Cbinancecoin_2Csola__2[current_price]), 0)</f>
        <v>0.86731100000000005</v>
      </c>
      <c r="H71" s="2">
        <f t="shared" si="5"/>
        <v>634.00203789899399</v>
      </c>
      <c r="I71" s="2">
        <f t="shared" si="6"/>
        <v>771.10775696566316</v>
      </c>
      <c r="J71" s="2">
        <f t="shared" si="8"/>
        <v>137.10571906666917</v>
      </c>
      <c r="L71" s="53"/>
      <c r="T71" s="116">
        <v>45350</v>
      </c>
      <c r="U71" s="2">
        <v>62850</v>
      </c>
    </row>
    <row r="72" spans="2:21">
      <c r="B72" s="73" t="str">
        <v>NEAR Protocol</v>
      </c>
      <c r="C72" s="27" cm="1">
        <f t="array" ref="C72">IF(ISBLANK(B72), "", SUMPRODUCT((Transactions!$E$3:$E$1007=B72) * (Transactions!$H$3:$H$1007={"Cash Deposit","Crypto Deposit","Buy","Transfer Deposit","DRIP","Airdrop/Rewards"}) * Transactions!$I$3:$I$1007) - SUMPRODUCT(
(Transactions!$E$3:$E$1007=B72) * (Transactions!$H$3:$H$1007={"Sell","Transfer Send","Cash Withdrawal","Crypto Withdrawal"}) * Transactions!$I$3:$I$1007))</f>
        <v>388.91071578000003</v>
      </c>
      <c r="D72" s="76">
        <f t="shared" si="7"/>
        <v>2.1616910425767556E-2</v>
      </c>
      <c r="E72" s="41">
        <f>IFERROR(_xlfn.XLOOKUP(B72,markets?vs_currency_usd_ids_bitcoin_2Cethereum_2Ctether_2Cbinancecoin_2Csola__2[name],markets?vs_currency_usd_ids_bitcoin_2Cethereum_2Ctether_2Cbinancecoin_2Csola__2[price_change_percentage_24h]), 0)</f>
        <v>7.8501799999999997E-2</v>
      </c>
      <c r="F72" s="2" cm="1">
        <f t="array" ref="F72">IF(ISBLANK(C72), "", LOOKUP(2, 1/(Transactions!$E$3:E1037=B72), Transactions!$P$3:P1037))</f>
        <v>7.8430661480134543</v>
      </c>
      <c r="G72" s="2">
        <f>IFERROR(_xlfn.XLOOKUP(B72, markets?vs_currency_usd_ids_bitcoin_2Cethereum_2Ctether_2Cbinancecoin_2Csola__2[name], markets?vs_currency_usd_ids_bitcoin_2Cethereum_2Ctether_2Cbinancecoin_2Csola__2[current_price]), 0)</f>
        <v>7.74</v>
      </c>
      <c r="H72" s="2">
        <f t="shared" si="5"/>
        <v>3050.2524695338002</v>
      </c>
      <c r="I72" s="2">
        <f t="shared" si="6"/>
        <v>3010.1689401372005</v>
      </c>
      <c r="J72" s="2">
        <f t="shared" si="8"/>
        <v>-40.083529396599715</v>
      </c>
      <c r="L72" s="53"/>
      <c r="T72" s="116">
        <v>45355</v>
      </c>
      <c r="U72" s="2">
        <v>64950</v>
      </c>
    </row>
    <row r="73" spans="2:21">
      <c r="B73" s="73" t="str">
        <v>Neutron</v>
      </c>
      <c r="C73" s="27" cm="1">
        <f t="array" ref="C73">IF(ISBLANK(B73), "", SUMPRODUCT((Transactions!$E$3:$E$1007=B73) * (Transactions!$H$3:$H$1007={"Cash Deposit","Crypto Deposit","Buy","Transfer Deposit","DRIP","Airdrop/Rewards"}) * Transactions!$I$3:$I$1007) - SUMPRODUCT(
(Transactions!$E$3:$E$1007=B73) * (Transactions!$H$3:$H$1007={"Sell","Transfer Send","Cash Withdrawal","Crypto Withdrawal"}) * Transactions!$I$3:$I$1007))</f>
        <v>269.89999999999998</v>
      </c>
      <c r="D73" s="76">
        <f t="shared" ref="D73:D93" si="10">IFERROR(I73/(SUM($I$41:$I$92)),0)</f>
        <v>2.5390832057352384E-3</v>
      </c>
      <c r="E73" s="41">
        <f>IFERROR(_xlfn.XLOOKUP(B73,markets?vs_currency_usd_ids_bitcoin_2Cethereum_2Ctether_2Cbinancecoin_2Csola__2[name],markets?vs_currency_usd_ids_bitcoin_2Cethereum_2Ctether_2Cbinancecoin_2Csola__2[price_change_percentage_24h]), 0)</f>
        <v>8.6386500000000005E-2</v>
      </c>
      <c r="F73" s="2" cm="1">
        <f t="array" ref="F73">IF(ISBLANK(C73), "", LOOKUP(2, 1/(Transactions!$E$3:E1038=B73), Transactions!$P$3:P1038))</f>
        <v>1.533059281215265</v>
      </c>
      <c r="G73" s="2">
        <f>IFERROR(_xlfn.XLOOKUP(B73, markets?vs_currency_usd_ids_bitcoin_2Cethereum_2Ctether_2Cbinancecoin_2Csola__2[name], markets?vs_currency_usd_ids_bitcoin_2Cethereum_2Ctether_2Cbinancecoin_2Csola__2[current_price]), 0)</f>
        <v>1.31</v>
      </c>
      <c r="H73" s="2">
        <f t="shared" ref="H73:H93" si="11">F73*C73</f>
        <v>413.77269999999999</v>
      </c>
      <c r="I73" s="2">
        <f t="shared" ref="I73:I93" si="12">G73*C73</f>
        <v>353.56899999999996</v>
      </c>
      <c r="J73" s="2">
        <f t="shared" ref="J73:J93" si="13">IF(ISBLANK(B73),"",IFERROR((I73-H73), 0))</f>
        <v>-60.203700000000026</v>
      </c>
      <c r="L73" s="53"/>
      <c r="T73" s="116">
        <v>45355</v>
      </c>
      <c r="U73" s="2">
        <v>65880</v>
      </c>
    </row>
    <row r="74" spans="2:21">
      <c r="B74" s="73" t="str">
        <v>NFPrompt</v>
      </c>
      <c r="C74" s="27" cm="1">
        <f t="array" ref="C74">IF(ISBLANK(B74), "", SUMPRODUCT((Transactions!$E$3:$E$1007=B74) * (Transactions!$H$3:$H$1007={"Cash Deposit","Crypto Deposit","Buy","Transfer Deposit","DRIP","Airdrop/Rewards"}) * Transactions!$I$3:$I$1007) - SUMPRODUCT(
(Transactions!$E$3:$E$1007=B74) * (Transactions!$H$3:$H$1007={"Sell","Transfer Send","Cash Withdrawal","Crypto Withdrawal"}) * Transactions!$I$3:$I$1007))</f>
        <v>0</v>
      </c>
      <c r="D74" s="76">
        <f t="shared" si="10"/>
        <v>0</v>
      </c>
      <c r="E74" s="41">
        <f>IFERROR(_xlfn.XLOOKUP(B74,markets?vs_currency_usd_ids_bitcoin_2Cethereum_2Ctether_2Cbinancecoin_2Csola__2[name],markets?vs_currency_usd_ids_bitcoin_2Cethereum_2Ctether_2Cbinancecoin_2Csola__2[price_change_percentage_24h]), 0)</f>
        <v>4.1123900000000005E-2</v>
      </c>
      <c r="F74" s="2" cm="1">
        <f t="array" ref="F74">IF(ISBLANK(C74), "", LOOKUP(2, 1/(Transactions!$E$3:E1039=B74), Transactions!$P$3:P1039))</f>
        <v>1.33</v>
      </c>
      <c r="G74" s="2">
        <f>IFERROR(_xlfn.XLOOKUP(B74, markets?vs_currency_usd_ids_bitcoin_2Cethereum_2Ctether_2Cbinancecoin_2Csola__2[name], markets?vs_currency_usd_ids_bitcoin_2Cethereum_2Ctether_2Cbinancecoin_2Csola__2[current_price]), 0)</f>
        <v>0.839862</v>
      </c>
      <c r="H74" s="2">
        <f t="shared" si="11"/>
        <v>0</v>
      </c>
      <c r="I74" s="2">
        <f t="shared" si="12"/>
        <v>0</v>
      </c>
      <c r="J74" s="2">
        <f t="shared" si="13"/>
        <v>0</v>
      </c>
      <c r="L74" s="53"/>
      <c r="T74" s="116">
        <v>45355</v>
      </c>
      <c r="U74" s="2">
        <v>66660</v>
      </c>
    </row>
    <row r="75" spans="2:21">
      <c r="B75" s="73" t="str">
        <v>Optimism</v>
      </c>
      <c r="C75" s="27" cm="1">
        <f t="array" ref="C75">IF(ISBLANK(B75), "", SUMPRODUCT((Transactions!$E$3:$E$1007=B75) * (Transactions!$H$3:$H$1007={"Cash Deposit","Crypto Deposit","Buy","Transfer Deposit","DRIP","Airdrop/Rewards"}) * Transactions!$I$3:$I$1007) - SUMPRODUCT(
(Transactions!$E$3:$E$1007=B75) * (Transactions!$H$3:$H$1007={"Sell","Transfer Send","Cash Withdrawal","Crypto Withdrawal"}) * Transactions!$I$3:$I$1007))</f>
        <v>55.93</v>
      </c>
      <c r="D75" s="76">
        <f t="shared" si="10"/>
        <v>1.5503682887061351E-3</v>
      </c>
      <c r="E75" s="41">
        <f>IFERROR(_xlfn.XLOOKUP(B75,markets?vs_currency_usd_ids_bitcoin_2Cethereum_2Ctether_2Cbinancecoin_2Csola__2[name],markets?vs_currency_usd_ids_bitcoin_2Cethereum_2Ctether_2Cbinancecoin_2Csola__2[price_change_percentage_24h]), 0)</f>
        <v>2.6769100000000001E-2</v>
      </c>
      <c r="F75" s="2" cm="1">
        <f t="array" ref="F75">IF(ISBLANK(C75), "", LOOKUP(2, 1/(Transactions!$E$3:E1040=B75), Transactions!$P$3:P1040))</f>
        <v>3.44</v>
      </c>
      <c r="G75" s="2">
        <f>IFERROR(_xlfn.XLOOKUP(B75, markets?vs_currency_usd_ids_bitcoin_2Cethereum_2Ctether_2Cbinancecoin_2Csola__2[name], markets?vs_currency_usd_ids_bitcoin_2Cethereum_2Ctether_2Cbinancecoin_2Csola__2[current_price]), 0)</f>
        <v>3.86</v>
      </c>
      <c r="H75" s="2">
        <f t="shared" si="11"/>
        <v>192.39920000000001</v>
      </c>
      <c r="I75" s="2">
        <f t="shared" si="12"/>
        <v>215.88979999999998</v>
      </c>
      <c r="J75" s="2">
        <f t="shared" si="13"/>
        <v>23.490599999999972</v>
      </c>
      <c r="L75" s="53"/>
      <c r="T75" s="116">
        <v>45355</v>
      </c>
      <c r="U75" s="2">
        <v>67700</v>
      </c>
    </row>
    <row r="76" spans="2:21">
      <c r="B76" s="73" t="str">
        <v>Osmosis</v>
      </c>
      <c r="C76" s="27" cm="1">
        <f t="array" ref="C76">IF(ISBLANK(B76), "", SUMPRODUCT((Transactions!$E$3:$E$1007=B76) * (Transactions!$H$3:$H$1007={"Cash Deposit","Crypto Deposit","Buy","Transfer Deposit","DRIP","Airdrop/Rewards"}) * Transactions!$I$3:$I$1007) - SUMPRODUCT(
(Transactions!$E$3:$E$1007=B76) * (Transactions!$H$3:$H$1007={"Sell","Transfer Send","Cash Withdrawal","Crypto Withdrawal"}) * Transactions!$I$3:$I$1007))</f>
        <v>567.5</v>
      </c>
      <c r="D76" s="76">
        <f t="shared" si="10"/>
        <v>5.5832771407533033E-3</v>
      </c>
      <c r="E76" s="41">
        <f>IFERROR(_xlfn.XLOOKUP(B76,markets?vs_currency_usd_ids_bitcoin_2Cethereum_2Ctether_2Cbinancecoin_2Csola__2[name],markets?vs_currency_usd_ids_bitcoin_2Cethereum_2Ctether_2Cbinancecoin_2Csola__2[price_change_percentage_24h]), 0)</f>
        <v>3.9958399999999998E-2</v>
      </c>
      <c r="F76" s="2" cm="1">
        <f t="array" ref="F76">IF(ISBLANK(C76), "", LOOKUP(2, 1/(Transactions!$E$3:E1041=B76), Transactions!$P$3:P1041))</f>
        <v>1.78</v>
      </c>
      <c r="G76" s="2">
        <f>IFERROR(_xlfn.XLOOKUP(B76, markets?vs_currency_usd_ids_bitcoin_2Cethereum_2Ctether_2Cbinancecoin_2Csola__2[name], markets?vs_currency_usd_ids_bitcoin_2Cethereum_2Ctether_2Cbinancecoin_2Csola__2[current_price]), 0)</f>
        <v>1.37</v>
      </c>
      <c r="H76" s="2">
        <f t="shared" si="11"/>
        <v>1010.15</v>
      </c>
      <c r="I76" s="2">
        <f t="shared" si="12"/>
        <v>777.47500000000002</v>
      </c>
      <c r="J76" s="2">
        <f t="shared" si="13"/>
        <v>-232.67499999999995</v>
      </c>
      <c r="L76" s="53"/>
      <c r="T76" s="116">
        <v>45356</v>
      </c>
      <c r="U76" s="2">
        <v>66660</v>
      </c>
    </row>
    <row r="77" spans="2:21">
      <c r="B77" s="73" t="str">
        <v>Pendle</v>
      </c>
      <c r="C77" s="27" cm="1">
        <f t="array" ref="C77">IF(ISBLANK(B77), "", SUMPRODUCT((Transactions!$E$3:$E$1007=B77) * (Transactions!$H$3:$H$1007={"Cash Deposit","Crypto Deposit","Buy","Transfer Deposit","DRIP","Airdrop/Rewards"}) * Transactions!$I$3:$I$1007) - SUMPRODUCT(
(Transactions!$E$3:$E$1007=B77) * (Transactions!$H$3:$H$1007={"Sell","Transfer Send","Cash Withdrawal","Crypto Withdrawal"}) * Transactions!$I$3:$I$1007))</f>
        <v>32.24</v>
      </c>
      <c r="D77" s="76">
        <f t="shared" si="10"/>
        <v>9.1915402350044632E-4</v>
      </c>
      <c r="E77" s="41">
        <f>IFERROR(_xlfn.XLOOKUP(B77,markets?vs_currency_usd_ids_bitcoin_2Cethereum_2Ctether_2Cbinancecoin_2Csola__2[name],markets?vs_currency_usd_ids_bitcoin_2Cethereum_2Ctether_2Cbinancecoin_2Csola__2[price_change_percentage_24h]), 0)</f>
        <v>0.1078736</v>
      </c>
      <c r="F77" s="2" cm="1">
        <f t="array" ref="F77">IF(ISBLANK(C77), "", LOOKUP(2, 1/(Transactions!$E$3:E1042=B77), Transactions!$P$3:P1042))</f>
        <v>3.1017369727047144</v>
      </c>
      <c r="G77" s="2">
        <f>IFERROR(_xlfn.XLOOKUP(B77, markets?vs_currency_usd_ids_bitcoin_2Cethereum_2Ctether_2Cbinancecoin_2Csola__2[name], markets?vs_currency_usd_ids_bitcoin_2Cethereum_2Ctether_2Cbinancecoin_2Csola__2[current_price]), 0)</f>
        <v>3.97</v>
      </c>
      <c r="H77" s="2">
        <f t="shared" si="11"/>
        <v>100</v>
      </c>
      <c r="I77" s="2">
        <f t="shared" si="12"/>
        <v>127.99280000000002</v>
      </c>
      <c r="J77" s="2">
        <f t="shared" si="13"/>
        <v>27.992800000000017</v>
      </c>
      <c r="L77" s="53"/>
      <c r="T77" s="1">
        <v>45356</v>
      </c>
      <c r="U77" s="2">
        <v>68100</v>
      </c>
    </row>
    <row r="78" spans="2:21">
      <c r="B78" s="73" t="str">
        <v>Pixels</v>
      </c>
      <c r="C78" s="27" cm="1">
        <f t="array" ref="C78">IF(ISBLANK(B78), "", SUMPRODUCT((Transactions!$E$3:$E$1007=B78) * (Transactions!$H$3:$H$1007={"Cash Deposit","Crypto Deposit","Buy","Transfer Deposit","DRIP","Airdrop/Rewards"}) * Transactions!$I$3:$I$1007) - SUMPRODUCT(
(Transactions!$E$3:$E$1007=B78) * (Transactions!$H$3:$H$1007={"Sell","Transfer Send","Cash Withdrawal","Crypto Withdrawal"}) * Transactions!$I$3:$I$1007))</f>
        <v>0</v>
      </c>
      <c r="D78" s="76">
        <f t="shared" si="10"/>
        <v>0</v>
      </c>
      <c r="E78" s="41">
        <f>IFERROR(_xlfn.XLOOKUP(B78,markets?vs_currency_usd_ids_bitcoin_2Cethereum_2Ctether_2Cbinancecoin_2Csola__2[name],markets?vs_currency_usd_ids_bitcoin_2Cethereum_2Ctether_2Cbinancecoin_2Csola__2[price_change_percentage_24h]), 0)</f>
        <v>6.6393399999999991E-2</v>
      </c>
      <c r="F78" s="2" cm="1">
        <f t="array" ref="F78">IF(ISBLANK(C78), "", LOOKUP(2, 1/(Transactions!$E$3:E1043=B78), Transactions!$P$3:P1043))</f>
        <v>0.49859999999999999</v>
      </c>
      <c r="G78" s="2">
        <f>IFERROR(_xlfn.XLOOKUP(B78, markets?vs_currency_usd_ids_bitcoin_2Cethereum_2Ctether_2Cbinancecoin_2Csola__2[name], markets?vs_currency_usd_ids_bitcoin_2Cethereum_2Ctether_2Cbinancecoin_2Csola__2[current_price]), 0)</f>
        <v>0.844669</v>
      </c>
      <c r="H78" s="2">
        <f t="shared" si="11"/>
        <v>0</v>
      </c>
      <c r="I78" s="2">
        <f t="shared" si="12"/>
        <v>0</v>
      </c>
      <c r="J78" s="2">
        <f t="shared" si="13"/>
        <v>0</v>
      </c>
      <c r="L78" s="53"/>
      <c r="T78" s="1">
        <v>45362</v>
      </c>
      <c r="U78" s="2">
        <v>71700</v>
      </c>
    </row>
    <row r="79" spans="2:21">
      <c r="B79" s="73" t="str">
        <v>Polkadot</v>
      </c>
      <c r="C79" s="27" cm="1">
        <f t="array" ref="C79">IF(ISBLANK(B79), "", SUMPRODUCT((Transactions!$E$3:$E$1007=B79) * (Transactions!$H$3:$H$1007={"Cash Deposit","Crypto Deposit","Buy","Transfer Deposit","DRIP","Airdrop/Rewards"}) * Transactions!$I$3:$I$1007) - SUMPRODUCT(
(Transactions!$E$3:$E$1007=B79) * (Transactions!$H$3:$H$1007={"Sell","Transfer Send","Cash Withdrawal","Crypto Withdrawal"}) * Transactions!$I$3:$I$1007))</f>
        <v>5.0571941000000002</v>
      </c>
      <c r="D79" s="76">
        <f t="shared" si="10"/>
        <v>3.5881395054894233E-4</v>
      </c>
      <c r="E79" s="41">
        <f>IFERROR(_xlfn.XLOOKUP(B79,markets?vs_currency_usd_ids_bitcoin_2Cethereum_2Ctether_2Cbinancecoin_2Csola__2[name],markets?vs_currency_usd_ids_bitcoin_2Cethereum_2Ctether_2Cbinancecoin_2Csola__2[price_change_percentage_24h]), 0)</f>
        <v>5.4707600000000002E-2</v>
      </c>
      <c r="F79" s="2" cm="1">
        <f t="array" ref="F79">IF(ISBLANK(C79), "", LOOKUP(2, 1/(Transactions!$E$3:E1044=B79), Transactions!$P$3:P1044))</f>
        <v>29.17</v>
      </c>
      <c r="G79" s="2">
        <f>IFERROR(_xlfn.XLOOKUP(B79, markets?vs_currency_usd_ids_bitcoin_2Cethereum_2Ctether_2Cbinancecoin_2Csola__2[name], markets?vs_currency_usd_ids_bitcoin_2Cethereum_2Ctether_2Cbinancecoin_2Csola__2[current_price]), 0)</f>
        <v>9.8800000000000008</v>
      </c>
      <c r="H79" s="2">
        <f t="shared" si="11"/>
        <v>147.518351897</v>
      </c>
      <c r="I79" s="2">
        <f t="shared" si="12"/>
        <v>49.96507770800001</v>
      </c>
      <c r="J79" s="2">
        <f t="shared" si="13"/>
        <v>-97.553274188999993</v>
      </c>
      <c r="L79" s="53"/>
      <c r="T79" s="1">
        <v>45363</v>
      </c>
      <c r="U79" s="2">
        <v>72000</v>
      </c>
    </row>
    <row r="80" spans="2:21">
      <c r="B80" s="73" t="str">
        <v>Polygon</v>
      </c>
      <c r="C80" s="27" cm="1">
        <f t="array" ref="C80">IF(ISBLANK(B80), "", SUMPRODUCT((Transactions!$E$3:$E$1007=B80) * (Transactions!$H$3:$H$1007={"Cash Deposit","Crypto Deposit","Buy","Transfer Deposit","DRIP","Airdrop/Rewards"}) * Transactions!$I$3:$I$1007) - SUMPRODUCT(
(Transactions!$E$3:$E$1007=B80) * (Transactions!$H$3:$H$1007={"Sell","Transfer Send","Cash Withdrawal","Crypto Withdrawal"}) * Transactions!$I$3:$I$1007))</f>
        <v>911.56389999999999</v>
      </c>
      <c r="D80" s="76">
        <f t="shared" si="10"/>
        <v>6.8997043442002E-3</v>
      </c>
      <c r="E80" s="41">
        <f>IFERROR(_xlfn.XLOOKUP(B80,markets?vs_currency_usd_ids_bitcoin_2Cethereum_2Ctether_2Cbinancecoin_2Csola__2[name],markets?vs_currency_usd_ids_bitcoin_2Cethereum_2Ctether_2Cbinancecoin_2Csola__2[price_change_percentage_24h]), 0)</f>
        <v>4.0918700000000002E-2</v>
      </c>
      <c r="F80" s="2" cm="1">
        <f t="array" ref="F80">IF(ISBLANK(C80), "", LOOKUP(2, 1/(Transactions!$E$3:E1045=B80), Transactions!$P$3:P1045))</f>
        <v>0.84992391646926779</v>
      </c>
      <c r="G80" s="2">
        <f>IFERROR(_xlfn.XLOOKUP(B80, markets?vs_currency_usd_ids_bitcoin_2Cethereum_2Ctether_2Cbinancecoin_2Csola__2[name], markets?vs_currency_usd_ids_bitcoin_2Cethereum_2Ctether_2Cbinancecoin_2Csola__2[current_price]), 0)</f>
        <v>1.054</v>
      </c>
      <c r="H80" s="2">
        <f t="shared" si="11"/>
        <v>774.75995999999998</v>
      </c>
      <c r="I80" s="2">
        <f t="shared" si="12"/>
        <v>960.78835060000006</v>
      </c>
      <c r="J80" s="2">
        <f t="shared" si="13"/>
        <v>186.02839060000008</v>
      </c>
      <c r="L80" s="53"/>
      <c r="T80" s="1">
        <v>45364</v>
      </c>
      <c r="U80" s="1">
        <v>73330</v>
      </c>
    </row>
    <row r="81" spans="2:12">
      <c r="B81" s="73" t="str">
        <v>Sleepless AI</v>
      </c>
      <c r="C81" s="27" cm="1">
        <f t="array" ref="C81">IF(ISBLANK(B81), "", SUMPRODUCT((Transactions!$E$3:$E$1007=B81) * (Transactions!$H$3:$H$1007={"Cash Deposit","Crypto Deposit","Buy","Transfer Deposit","DRIP","Airdrop/Rewards"}) * Transactions!$I$3:$I$1007) - SUMPRODUCT(
(Transactions!$E$3:$E$1007=B81) * (Transactions!$H$3:$H$1007={"Sell","Transfer Send","Cash Withdrawal","Crypto Withdrawal"}) * Transactions!$I$3:$I$1007))</f>
        <v>0</v>
      </c>
      <c r="D81" s="76">
        <f t="shared" si="10"/>
        <v>0</v>
      </c>
      <c r="E81" s="41">
        <f>IFERROR(_xlfn.XLOOKUP(B81,markets?vs_currency_usd_ids_bitcoin_2Cethereum_2Ctether_2Cbinancecoin_2Csola__2[name],markets?vs_currency_usd_ids_bitcoin_2Cethereum_2Ctether_2Cbinancecoin_2Csola__2[price_change_percentage_24h]), 0)</f>
        <v>4.0564200000000002E-2</v>
      </c>
      <c r="F81" s="2" cm="1">
        <f t="array" ref="F81">IF(ISBLANK(C81), "", LOOKUP(2, 1/(Transactions!$E$3:E1046=B81), Transactions!$P$3:P1046))</f>
        <v>1.38</v>
      </c>
      <c r="G81" s="2">
        <f>IFERROR(_xlfn.XLOOKUP(B81, markets?vs_currency_usd_ids_bitcoin_2Cethereum_2Ctether_2Cbinancecoin_2Csola__2[name], markets?vs_currency_usd_ids_bitcoin_2Cethereum_2Ctether_2Cbinancecoin_2Csola__2[current_price]), 0)</f>
        <v>1.79</v>
      </c>
      <c r="H81" s="2">
        <f t="shared" si="11"/>
        <v>0</v>
      </c>
      <c r="I81" s="2">
        <f t="shared" si="12"/>
        <v>0</v>
      </c>
      <c r="J81" s="2">
        <f t="shared" si="13"/>
        <v>0</v>
      </c>
      <c r="L81" s="53"/>
    </row>
    <row r="82" spans="2:12">
      <c r="B82" s="73" t="str">
        <v>Solana</v>
      </c>
      <c r="C82" s="27" cm="1">
        <f t="array" ref="C82">IF(ISBLANK(B82), "", SUMPRODUCT((Transactions!$E$3:$E$1007=B82) * (Transactions!$H$3:$H$1007={"Cash Deposit","Crypto Deposit","Buy","Transfer Deposit","DRIP","Airdrop/Rewards"}) * Transactions!$I$3:$I$1007) - SUMPRODUCT(
(Transactions!$E$3:$E$1007=B82) * (Transactions!$H$3:$H$1007={"Sell","Transfer Send","Cash Withdrawal","Crypto Withdrawal"}) * Transactions!$I$3:$I$1007))</f>
        <v>6.3861733199999984</v>
      </c>
      <c r="D82" s="76">
        <f t="shared" si="10"/>
        <v>8.7057922967388318E-3</v>
      </c>
      <c r="E82" s="41">
        <f>IFERROR(_xlfn.XLOOKUP(B82,markets?vs_currency_usd_ids_bitcoin_2Cethereum_2Ctether_2Cbinancecoin_2Csola__2[name],markets?vs_currency_usd_ids_bitcoin_2Cethereum_2Ctether_2Cbinancecoin_2Csola__2[price_change_percentage_24h]), 0)</f>
        <v>4.1450800000000003E-2</v>
      </c>
      <c r="F82" s="2" cm="1">
        <f t="array" ref="F82">IF(ISBLANK(C82), "", LOOKUP(2, 1/(Transactions!$E$3:E1047=B82), Transactions!$P$3:P1047))</f>
        <v>68.153098238054085</v>
      </c>
      <c r="G82" s="2">
        <f>IFERROR(_xlfn.XLOOKUP(B82, markets?vs_currency_usd_ids_bitcoin_2Cethereum_2Ctether_2Cbinancecoin_2Csola__2[name], markets?vs_currency_usd_ids_bitcoin_2Cethereum_2Ctether_2Cbinancecoin_2Csola__2[current_price]), 0)</f>
        <v>189.83</v>
      </c>
      <c r="H82" s="2">
        <f t="shared" si="11"/>
        <v>435.2374976431999</v>
      </c>
      <c r="I82" s="2">
        <f t="shared" si="12"/>
        <v>1212.2872813355998</v>
      </c>
      <c r="J82" s="2">
        <f t="shared" si="13"/>
        <v>777.04978369239984</v>
      </c>
      <c r="L82" s="53"/>
    </row>
    <row r="83" spans="2:12">
      <c r="B83" s="73" t="str">
        <v>Stacks</v>
      </c>
      <c r="C83" s="27" cm="1">
        <f t="array" ref="C83">IF(ISBLANK(B83), "", SUMPRODUCT((Transactions!$E$3:$E$1007=B83) * (Transactions!$H$3:$H$1007={"Cash Deposit","Crypto Deposit","Buy","Transfer Deposit","DRIP","Airdrop/Rewards"}) * Transactions!$I$3:$I$1007) - SUMPRODUCT(
(Transactions!$E$3:$E$1007=B83) * (Transactions!$H$3:$H$1007={"Sell","Transfer Send","Cash Withdrawal","Crypto Withdrawal"}) * Transactions!$I$3:$I$1007))</f>
        <v>962.2311900000002</v>
      </c>
      <c r="D83" s="76">
        <f t="shared" si="10"/>
        <v>2.480713621919186E-2</v>
      </c>
      <c r="E83" s="41">
        <f>IFERROR(_xlfn.XLOOKUP(B83,markets?vs_currency_usd_ids_bitcoin_2Cethereum_2Ctether_2Cbinancecoin_2Csola__2[name],markets?vs_currency_usd_ids_bitcoin_2Cethereum_2Ctether_2Cbinancecoin_2Csola__2[price_change_percentage_24h]), 0)</f>
        <v>4.2870999999999994E-3</v>
      </c>
      <c r="F83" s="2" cm="1">
        <f t="array" ref="F83">IF(ISBLANK(C83), "", LOOKUP(2, 1/(Transactions!$E$3:E1048=B83), Transactions!$P$3:P1048))</f>
        <v>1.0026386834332401</v>
      </c>
      <c r="G83" s="2">
        <f>IFERROR(_xlfn.XLOOKUP(B83, markets?vs_currency_usd_ids_bitcoin_2Cethereum_2Ctether_2Cbinancecoin_2Csola__2[name], markets?vs_currency_usd_ids_bitcoin_2Cethereum_2Ctether_2Cbinancecoin_2Csola__2[current_price]), 0)</f>
        <v>3.59</v>
      </c>
      <c r="H83" s="2">
        <f t="shared" si="11"/>
        <v>964.77021350000018</v>
      </c>
      <c r="I83" s="2">
        <f t="shared" si="12"/>
        <v>3454.4099721000007</v>
      </c>
      <c r="J83" s="2">
        <f t="shared" si="13"/>
        <v>2489.6397586000003</v>
      </c>
      <c r="L83" s="53"/>
    </row>
    <row r="84" spans="2:12">
      <c r="B84" s="73" t="str">
        <v>SuperVerse</v>
      </c>
      <c r="C84" s="27" cm="1">
        <f t="array" ref="C84">IF(ISBLANK(B84), "", SUMPRODUCT((Transactions!$E$3:$E$1007=B84) * (Transactions!$H$3:$H$1007={"Cash Deposit","Crypto Deposit","Buy","Transfer Deposit","DRIP","Airdrop/Rewards"}) * Transactions!$I$3:$I$1007) - SUMPRODUCT(
(Transactions!$E$3:$E$1007=B84) * (Transactions!$H$3:$H$1007={"Sell","Transfer Send","Cash Withdrawal","Crypto Withdrawal"}) * Transactions!$I$3:$I$1007))</f>
        <v>300</v>
      </c>
      <c r="D84" s="76">
        <f t="shared" si="10"/>
        <v>2.8868804920837688E-3</v>
      </c>
      <c r="E84" s="41">
        <f>IFERROR(_xlfn.XLOOKUP(B84,markets?vs_currency_usd_ids_bitcoin_2Cethereum_2Ctether_2Cbinancecoin_2Csola__2[name],markets?vs_currency_usd_ids_bitcoin_2Cethereum_2Ctether_2Cbinancecoin_2Csola__2[price_change_percentage_24h]), 0)</f>
        <v>4.0689500000000003E-2</v>
      </c>
      <c r="F84" s="2" cm="1">
        <f t="array" ref="F84">IF(ISBLANK(C84), "", LOOKUP(2, 1/(Transactions!$E$3:E1049=B84), Transactions!$P$3:P1049))</f>
        <v>0.59450000000000003</v>
      </c>
      <c r="G84" s="2">
        <f>IFERROR(_xlfn.XLOOKUP(B84, markets?vs_currency_usd_ids_bitcoin_2Cethereum_2Ctether_2Cbinancecoin_2Csola__2[name], markets?vs_currency_usd_ids_bitcoin_2Cethereum_2Ctether_2Cbinancecoin_2Csola__2[current_price]), 0)</f>
        <v>1.34</v>
      </c>
      <c r="H84" s="2">
        <f t="shared" si="11"/>
        <v>178.35000000000002</v>
      </c>
      <c r="I84" s="2">
        <f t="shared" si="12"/>
        <v>402</v>
      </c>
      <c r="J84" s="2">
        <f t="shared" si="13"/>
        <v>223.64999999999998</v>
      </c>
      <c r="L84" s="53"/>
    </row>
    <row r="85" spans="2:12">
      <c r="B85" s="73" t="str">
        <v>Tether</v>
      </c>
      <c r="C85" s="27" cm="1">
        <f t="array" ref="C85">IF(ISBLANK(B85), "", SUMPRODUCT((Transactions!$E$3:$E$1007=B85) * (Transactions!$H$3:$H$1007={"Cash Deposit","Crypto Deposit","Buy","Transfer Deposit","DRIP","Airdrop/Rewards"}) * Transactions!$I$3:$I$1007) - SUMPRODUCT(
(Transactions!$E$3:$E$1007=B85) * (Transactions!$H$3:$H$1007={"Sell","Transfer Send","Cash Withdrawal","Crypto Withdrawal"}) * Transactions!$I$3:$I$1007))</f>
        <v>10666.999980080382</v>
      </c>
      <c r="D85" s="76">
        <f t="shared" si="10"/>
        <v>7.6602871023761204E-2</v>
      </c>
      <c r="E85" s="41">
        <f>IFERROR(_xlfn.XLOOKUP(B85,markets?vs_currency_usd_ids_bitcoin_2Cethereum_2Ctether_2Cbinancecoin_2Csola__2[name],markets?vs_currency_usd_ids_bitcoin_2Cethereum_2Ctether_2Cbinancecoin_2Csola__2[price_change_percentage_24h]), 0)</f>
        <v>-6.6000000000000003E-6</v>
      </c>
      <c r="F85" s="2" cm="1">
        <f t="array" ref="F85">IF(ISBLANK(C85), "", LOOKUP(2, 1/(Transactions!$E$3:E1050=B85), Transactions!$P$3:P1050))</f>
        <v>1</v>
      </c>
      <c r="G85" s="2">
        <f>IFERROR(_xlfn.XLOOKUP(B85, markets?vs_currency_usd_ids_bitcoin_2Cethereum_2Ctether_2Cbinancecoin_2Csola__2[name], markets?vs_currency_usd_ids_bitcoin_2Cethereum_2Ctether_2Cbinancecoin_2Csola__2[current_price]), 0)</f>
        <v>1</v>
      </c>
      <c r="H85" s="2">
        <f t="shared" si="11"/>
        <v>10666.999980080382</v>
      </c>
      <c r="I85" s="2">
        <f t="shared" si="12"/>
        <v>10666.999980080382</v>
      </c>
      <c r="J85" s="2">
        <f t="shared" si="13"/>
        <v>0</v>
      </c>
      <c r="L85" s="53"/>
    </row>
    <row r="86" spans="2:12">
      <c r="B86" s="73" t="str">
        <v>The Sandbox</v>
      </c>
      <c r="C86" s="27" cm="1">
        <f t="array" ref="C86">IF(ISBLANK(B86), "", SUMPRODUCT((Transactions!$E$3:$E$1007=B86) * (Transactions!$H$3:$H$1007={"Cash Deposit","Crypto Deposit","Buy","Transfer Deposit","DRIP","Airdrop/Rewards"}) * Transactions!$I$3:$I$1007) - SUMPRODUCT(
(Transactions!$E$3:$E$1007=B86) * (Transactions!$H$3:$H$1007={"Sell","Transfer Send","Cash Withdrawal","Crypto Withdrawal"}) * Transactions!$I$3:$I$1007))</f>
        <v>156</v>
      </c>
      <c r="D86" s="76">
        <f t="shared" si="10"/>
        <v>7.9527025451197372E-4</v>
      </c>
      <c r="E86" s="41">
        <f>IFERROR(_xlfn.XLOOKUP(B86,markets?vs_currency_usd_ids_bitcoin_2Cethereum_2Ctether_2Cbinancecoin_2Csola__2[name],markets?vs_currency_usd_ids_bitcoin_2Cethereum_2Ctether_2Cbinancecoin_2Csola__2[price_change_percentage_24h]), 0)</f>
        <v>2.7628799999999998E-2</v>
      </c>
      <c r="F86" s="2" cm="1">
        <f t="array" ref="F86">IF(ISBLANK(C86), "", LOOKUP(2, 1/(Transactions!$E$3:E1051=B86), Transactions!$P$3:P1051))</f>
        <v>0.7843</v>
      </c>
      <c r="G86" s="2">
        <f>IFERROR(_xlfn.XLOOKUP(B86, markets?vs_currency_usd_ids_bitcoin_2Cethereum_2Ctether_2Cbinancecoin_2Csola__2[name], markets?vs_currency_usd_ids_bitcoin_2Cethereum_2Ctether_2Cbinancecoin_2Csola__2[current_price]), 0)</f>
        <v>0.70988399999999996</v>
      </c>
      <c r="H86" s="2">
        <f t="shared" si="11"/>
        <v>122.35079999999999</v>
      </c>
      <c r="I86" s="2">
        <f t="shared" si="12"/>
        <v>110.74190399999999</v>
      </c>
      <c r="J86" s="2">
        <f t="shared" si="13"/>
        <v>-11.608896000000001</v>
      </c>
      <c r="L86" s="53"/>
    </row>
    <row r="87" spans="2:12">
      <c r="B87" s="73" t="str">
        <v>Thena</v>
      </c>
      <c r="C87" s="27" cm="1">
        <f t="array" ref="C87">IF(ISBLANK(B87), "", SUMPRODUCT((Transactions!$E$3:$E$1007=B87) * (Transactions!$H$3:$H$1007={"Cash Deposit","Crypto Deposit","Buy","Transfer Deposit","DRIP","Airdrop/Rewards"}) * Transactions!$I$3:$I$1007) - SUMPRODUCT(
(Transactions!$E$3:$E$1007=B87) * (Transactions!$H$3:$H$1007={"Sell","Transfer Send","Cash Withdrawal","Crypto Withdrawal"}) * Transactions!$I$3:$I$1007))</f>
        <v>1002.97</v>
      </c>
      <c r="D87" s="76">
        <f t="shared" si="10"/>
        <v>3.8154671965876588E-3</v>
      </c>
      <c r="E87" s="41">
        <f>IFERROR(_xlfn.XLOOKUP(B87,markets?vs_currency_usd_ids_bitcoin_2Cethereum_2Ctether_2Cbinancecoin_2Csola__2[name],markets?vs_currency_usd_ids_bitcoin_2Cethereum_2Ctether_2Cbinancecoin_2Csola__2[price_change_percentage_24h]), 0)</f>
        <v>0.14344099999999999</v>
      </c>
      <c r="F87" s="2" cm="1">
        <f t="array" ref="F87">IF(ISBLANK(C87), "", LOOKUP(2, 1/(Transactions!$E$3:E1052=B87), Transactions!$P$3:P1052))</f>
        <v>0.2</v>
      </c>
      <c r="G87" s="2">
        <f>IFERROR(_xlfn.XLOOKUP(B87, markets?vs_currency_usd_ids_bitcoin_2Cethereum_2Ctether_2Cbinancecoin_2Csola__2[name], markets?vs_currency_usd_ids_bitcoin_2Cethereum_2Ctether_2Cbinancecoin_2Csola__2[current_price]), 0)</f>
        <v>0.52973300000000001</v>
      </c>
      <c r="H87" s="2">
        <f t="shared" si="11"/>
        <v>200.59400000000002</v>
      </c>
      <c r="I87" s="2">
        <f t="shared" si="12"/>
        <v>531.30630701000007</v>
      </c>
      <c r="J87" s="2">
        <f t="shared" si="13"/>
        <v>330.71230701000002</v>
      </c>
      <c r="L87" s="53"/>
    </row>
    <row r="88" spans="2:12">
      <c r="B88" s="73" t="str">
        <v>USDA</v>
      </c>
      <c r="C88" s="27" cm="1">
        <f t="array" ref="C88">IF(ISBLANK(B88), "", SUMPRODUCT((Transactions!$E$3:$E$1007=B88) * (Transactions!$H$3:$H$1007={"Cash Deposit","Crypto Deposit","Buy","Transfer Deposit","DRIP","Airdrop/Rewards"}) * Transactions!$I$3:$I$1007) - SUMPRODUCT(
(Transactions!$E$3:$E$1007=B88) * (Transactions!$H$3:$H$1007={"Sell","Transfer Send","Cash Withdrawal","Crypto Withdrawal"}) * Transactions!$I$3:$I$1007))</f>
        <v>466</v>
      </c>
      <c r="D88" s="76">
        <f t="shared" si="10"/>
        <v>0</v>
      </c>
      <c r="E88" s="41">
        <f>IFERROR(_xlfn.XLOOKUP(B88,markets?vs_currency_usd_ids_bitcoin_2Cethereum_2Ctether_2Cbinancecoin_2Csola__2[name],markets?vs_currency_usd_ids_bitcoin_2Cethereum_2Ctether_2Cbinancecoin_2Csola__2[price_change_percentage_24h]), 0)</f>
        <v>0</v>
      </c>
      <c r="F88" s="2" cm="1">
        <f t="array" ref="F88">IF(ISBLANK(C88), "", LOOKUP(2, 1/(Transactions!$E$3:E1053=B88), Transactions!$P$3:P1053))</f>
        <v>1</v>
      </c>
      <c r="G88" s="2">
        <f>IFERROR(_xlfn.XLOOKUP(B88, markets?vs_currency_usd_ids_bitcoin_2Cethereum_2Ctether_2Cbinancecoin_2Csola__2[name], markets?vs_currency_usd_ids_bitcoin_2Cethereum_2Ctether_2Cbinancecoin_2Csola__2[current_price]), 0)</f>
        <v>0</v>
      </c>
      <c r="H88" s="2">
        <f t="shared" si="11"/>
        <v>466</v>
      </c>
      <c r="I88" s="2">
        <f t="shared" si="12"/>
        <v>0</v>
      </c>
      <c r="J88" s="2">
        <f t="shared" si="13"/>
        <v>-466</v>
      </c>
      <c r="L88" s="53"/>
    </row>
    <row r="89" spans="2:12">
      <c r="B89" s="73" t="str">
        <v>USDC</v>
      </c>
      <c r="C89" s="27" cm="1">
        <f t="array" ref="C89">IF(ISBLANK(B89), "", SUMPRODUCT((Transactions!$E$3:$E$1007=B89) * (Transactions!$H$3:$H$1007={"Cash Deposit","Crypto Deposit","Buy","Transfer Deposit","DRIP","Airdrop/Rewards"}) * Transactions!$I$3:$I$1007) - SUMPRODUCT(
(Transactions!$E$3:$E$1007=B89) * (Transactions!$H$3:$H$1007={"Sell","Transfer Send","Cash Withdrawal","Crypto Withdrawal"}) * Transactions!$I$3:$I$1007))</f>
        <v>1469.3299999999995</v>
      </c>
      <c r="D89" s="76">
        <f t="shared" si="10"/>
        <v>1.0551512445700283E-2</v>
      </c>
      <c r="E89" s="41">
        <f>IFERROR(_xlfn.XLOOKUP(B89,markets?vs_currency_usd_ids_bitcoin_2Cethereum_2Ctether_2Cbinancecoin_2Csola__2[name],markets?vs_currency_usd_ids_bitcoin_2Cethereum_2Ctether_2Cbinancecoin_2Csola__2[price_change_percentage_24h]), 0)</f>
        <v>7.6899999999999999E-5</v>
      </c>
      <c r="F89" s="2" cm="1">
        <f t="array" ref="F89">IF(ISBLANK(C89), "", LOOKUP(2, 1/(Transactions!$E$3:E1054=B89), Transactions!$P$3:P1054))</f>
        <v>1</v>
      </c>
      <c r="G89" s="2">
        <f>IFERROR(_xlfn.XLOOKUP(B89, markets?vs_currency_usd_ids_bitcoin_2Cethereum_2Ctether_2Cbinancecoin_2Csola__2[name], markets?vs_currency_usd_ids_bitcoin_2Cethereum_2Ctether_2Cbinancecoin_2Csola__2[current_price]), 0)</f>
        <v>0.99998299999999996</v>
      </c>
      <c r="H89" s="2">
        <f t="shared" si="11"/>
        <v>1469.3299999999995</v>
      </c>
      <c r="I89" s="2">
        <f t="shared" si="12"/>
        <v>1469.3050213899994</v>
      </c>
      <c r="J89" s="2">
        <f t="shared" si="13"/>
        <v>-2.4978610000061963E-2</v>
      </c>
      <c r="L89" s="53"/>
    </row>
    <row r="90" spans="2:12">
      <c r="B90" s="73" t="str">
        <v>VeChain</v>
      </c>
      <c r="C90" s="27" cm="1">
        <f t="array" ref="C90">IF(ISBLANK(B90), "", SUMPRODUCT((Transactions!$E$3:$E$1007=B90) * (Transactions!$H$3:$H$1007={"Cash Deposit","Crypto Deposit","Buy","Transfer Deposit","DRIP","Airdrop/Rewards"}) * Transactions!$I$3:$I$1007) - SUMPRODUCT(
(Transactions!$E$3:$E$1007=B90) * (Transactions!$H$3:$H$1007={"Sell","Transfer Send","Cash Withdrawal","Crypto Withdrawal"}) * Transactions!$I$3:$I$1007))</f>
        <v>1690</v>
      </c>
      <c r="D90" s="76">
        <f t="shared" si="10"/>
        <v>5.5002839226345396E-4</v>
      </c>
      <c r="E90" s="41">
        <f>IFERROR(_xlfn.XLOOKUP(B90,markets?vs_currency_usd_ids_bitcoin_2Cethereum_2Ctether_2Cbinancecoin_2Csola__2[name],markets?vs_currency_usd_ids_bitcoin_2Cethereum_2Ctether_2Cbinancecoin_2Csola__2[price_change_percentage_24h]), 0)</f>
        <v>6.2396399999999998E-2</v>
      </c>
      <c r="F90" s="2" cm="1">
        <f t="array" ref="F90">IF(ISBLANK(C90), "", LOOKUP(2, 1/(Transactions!$E$3:E1055=B90), Transactions!$P$3:P1055))</f>
        <v>0.11837362</v>
      </c>
      <c r="G90" s="2">
        <f>IFERROR(_xlfn.XLOOKUP(B90, markets?vs_currency_usd_ids_bitcoin_2Cethereum_2Ctether_2Cbinancecoin_2Csola__2[name], markets?vs_currency_usd_ids_bitcoin_2Cethereum_2Ctether_2Cbinancecoin_2Csola__2[current_price]), 0)</f>
        <v>4.5320600000000003E-2</v>
      </c>
      <c r="H90" s="2">
        <f t="shared" si="11"/>
        <v>200.0514178</v>
      </c>
      <c r="I90" s="2">
        <f t="shared" si="12"/>
        <v>76.591813999999999</v>
      </c>
      <c r="J90" s="2">
        <f t="shared" si="13"/>
        <v>-123.4596038</v>
      </c>
      <c r="L90" s="53"/>
    </row>
    <row r="91" spans="2:12">
      <c r="B91" s="73" t="str">
        <v>Wrapped AVAX</v>
      </c>
      <c r="C91" s="27" cm="1">
        <f t="array" ref="C91">IF(ISBLANK(B91), "", SUMPRODUCT((Transactions!$E$3:$E$1007=B91) * (Transactions!$H$3:$H$1007={"Cash Deposit","Crypto Deposit","Buy","Transfer Deposit","DRIP","Airdrop/Rewards"}) * Transactions!$I$3:$I$1007) - SUMPRODUCT(
(Transactions!$E$3:$E$1007=B91) * (Transactions!$H$3:$H$1007={"Sell","Transfer Send","Cash Withdrawal","Crypto Withdrawal"}) * Transactions!$I$3:$I$1007))</f>
        <v>8</v>
      </c>
      <c r="D91" s="76">
        <f t="shared" si="10"/>
        <v>3.3476323636561435E-3</v>
      </c>
      <c r="E91" s="41">
        <f>IFERROR(_xlfn.XLOOKUP(B91,markets?vs_currency_usd_ids_bitcoin_2Cethereum_2Ctether_2Cbinancecoin_2Csola__2[name],markets?vs_currency_usd_ids_bitcoin_2Cethereum_2Ctether_2Cbinancecoin_2Csola__2[price_change_percentage_24h]), 0)</f>
        <v>4.4882499999999999E-2</v>
      </c>
      <c r="F91" s="2" cm="1">
        <f t="array" ref="F91">IF(ISBLANK(C91), "", LOOKUP(2, 1/(Transactions!$E$3:E1056=B91), Transactions!$P$3:P1056))</f>
        <v>17.11</v>
      </c>
      <c r="G91" s="2">
        <f>IFERROR(_xlfn.XLOOKUP(B91, markets?vs_currency_usd_ids_bitcoin_2Cethereum_2Ctether_2Cbinancecoin_2Csola__2[name], markets?vs_currency_usd_ids_bitcoin_2Cethereum_2Ctether_2Cbinancecoin_2Csola__2[current_price]), 0)</f>
        <v>58.27</v>
      </c>
      <c r="H91" s="2">
        <f t="shared" si="11"/>
        <v>136.88</v>
      </c>
      <c r="I91" s="2">
        <f t="shared" si="12"/>
        <v>466.16</v>
      </c>
      <c r="J91" s="2">
        <f t="shared" si="13"/>
        <v>329.28000000000003</v>
      </c>
      <c r="L91" s="53"/>
    </row>
    <row r="92" spans="2:12">
      <c r="B92" s="73" t="str">
        <v>Wrapped Ethereum</v>
      </c>
      <c r="C92" s="27" cm="1">
        <f t="array" ref="C92">IF(ISBLANK(B92), "", SUMPRODUCT((Transactions!$E$3:$E$1007=B92) * (Transactions!$H$3:$H$1007={"Cash Deposit","Crypto Deposit","Buy","Transfer Deposit","DRIP","Airdrop/Rewards"}) * Transactions!$I$3:$I$1007) - SUMPRODUCT(
(Transactions!$E$3:$E$1007=B92) * (Transactions!$H$3:$H$1007={"Sell","Transfer Send","Cash Withdrawal","Crypto Withdrawal"}) * Transactions!$I$3:$I$1007))</f>
        <v>1.2909999999999999</v>
      </c>
      <c r="D92" s="76">
        <f t="shared" si="10"/>
        <v>3.3468774156822846E-2</v>
      </c>
      <c r="E92" s="41">
        <f>E60</f>
        <v>5.1454899999999998E-2</v>
      </c>
      <c r="F92" s="2" cm="1">
        <f t="array" ref="F92">IF(ISBLANK(C92), "", LOOKUP(2, 1/(Transactions!$E$3:E1057=B92), Transactions!$P$3:P1057))</f>
        <v>2483.5500000000002</v>
      </c>
      <c r="G92" s="2">
        <f>G60</f>
        <v>3610.03</v>
      </c>
      <c r="H92" s="2">
        <f t="shared" si="11"/>
        <v>3206.26305</v>
      </c>
      <c r="I92" s="2">
        <f t="shared" si="12"/>
        <v>4660.5487300000004</v>
      </c>
      <c r="J92" s="2">
        <f>IF(ISBLANK(B92),"",IFERROR((I92-H92), 0))</f>
        <v>1454.2856800000004</v>
      </c>
      <c r="L92" s="53"/>
    </row>
    <row r="93" spans="2:12">
      <c r="B93" s="73" t="str">
        <v>Xai</v>
      </c>
      <c r="C93" s="27" cm="1">
        <f t="array" ref="C93">IF(ISBLANK(B93), "", SUMPRODUCT((Transactions!$E$3:$E$1007=B93) * (Transactions!$H$3:$H$1007={"Cash Deposit","Crypto Deposit","Buy","Transfer Deposit","DRIP","Airdrop/Rewards"}) * Transactions!$I$3:$I$1007) - SUMPRODUCT(
(Transactions!$E$3:$E$1007=B93) * (Transactions!$H$3:$H$1007={"Sell","Transfer Send","Cash Withdrawal","Crypto Withdrawal"}) * Transactions!$I$3:$I$1007))</f>
        <v>0</v>
      </c>
      <c r="D93" s="76">
        <f t="shared" si="10"/>
        <v>0</v>
      </c>
      <c r="E93" s="41">
        <f>IFERROR(_xlfn.XLOOKUP(B93,markets?vs_currency_usd_ids_bitcoin_2Cethereum_2Ctether_2Cbinancecoin_2Csola__2[name],markets?vs_currency_usd_ids_bitcoin_2Cethereum_2Ctether_2Cbinancecoin_2Csola__2[price_change_percentage_24h]), 0)</f>
        <v>4.9183000000000004E-2</v>
      </c>
      <c r="F93" s="2" cm="1">
        <f t="array" ref="F93">IF(ISBLANK(C93), "", LOOKUP(2, 1/(Transactions!$E$3:E1058=B93), Transactions!$P$3:P1058))</f>
        <v>0.7</v>
      </c>
      <c r="G93" s="2">
        <f>IFERROR(_xlfn.XLOOKUP(B93, markets?vs_currency_usd_ids_bitcoin_2Cethereum_2Ctether_2Cbinancecoin_2Csola__2[name], markets?vs_currency_usd_ids_bitcoin_2Cethereum_2Ctether_2Cbinancecoin_2Csola__2[current_price]), 0)</f>
        <v>1.29</v>
      </c>
      <c r="H93" s="2">
        <f t="shared" si="11"/>
        <v>0</v>
      </c>
      <c r="I93" s="2">
        <f t="shared" si="12"/>
        <v>0</v>
      </c>
      <c r="J93" s="2">
        <f t="shared" si="13"/>
        <v>0</v>
      </c>
      <c r="L93" s="53"/>
    </row>
    <row r="94" spans="2:12">
      <c r="B94" s="74"/>
      <c r="C94" s="51"/>
      <c r="D94" s="51"/>
      <c r="E94" s="51"/>
      <c r="F94" s="51"/>
      <c r="G94" s="51"/>
      <c r="H94" s="51"/>
      <c r="I94" s="51"/>
      <c r="J94" s="51"/>
      <c r="K94" s="51"/>
      <c r="L94" s="70"/>
    </row>
  </sheetData>
  <mergeCells count="58">
    <mergeCell ref="N14:O14"/>
    <mergeCell ref="B18:C18"/>
    <mergeCell ref="N9:O9"/>
    <mergeCell ref="N10:O10"/>
    <mergeCell ref="N11:O11"/>
    <mergeCell ref="N12:O12"/>
    <mergeCell ref="N13:O13"/>
    <mergeCell ref="B15:C15"/>
    <mergeCell ref="B16:C16"/>
    <mergeCell ref="B17:C17"/>
    <mergeCell ref="N16:O16"/>
    <mergeCell ref="N17:O17"/>
    <mergeCell ref="N3:O3"/>
    <mergeCell ref="N4:O4"/>
    <mergeCell ref="N5:O5"/>
    <mergeCell ref="N6:O6"/>
    <mergeCell ref="N7:O7"/>
    <mergeCell ref="N8:O8"/>
    <mergeCell ref="B36:C36"/>
    <mergeCell ref="B29:C29"/>
    <mergeCell ref="B30:C30"/>
    <mergeCell ref="B31:C31"/>
    <mergeCell ref="B32:C32"/>
    <mergeCell ref="B33:C33"/>
    <mergeCell ref="B35:C35"/>
    <mergeCell ref="B23:C23"/>
    <mergeCell ref="B24:C24"/>
    <mergeCell ref="B25:C25"/>
    <mergeCell ref="B26:C26"/>
    <mergeCell ref="B27:C27"/>
    <mergeCell ref="D11:E11"/>
    <mergeCell ref="B28:C28"/>
    <mergeCell ref="N15:O15"/>
    <mergeCell ref="O62:P62"/>
    <mergeCell ref="N19:X19"/>
    <mergeCell ref="B39:L39"/>
    <mergeCell ref="O58:P58"/>
    <mergeCell ref="O59:P59"/>
    <mergeCell ref="O60:P60"/>
    <mergeCell ref="O61:P61"/>
    <mergeCell ref="B19:C19"/>
    <mergeCell ref="B20:C20"/>
    <mergeCell ref="B1:I1"/>
    <mergeCell ref="O56:P56"/>
    <mergeCell ref="O57:P57"/>
    <mergeCell ref="B3:C3"/>
    <mergeCell ref="B4:C4"/>
    <mergeCell ref="B5:C5"/>
    <mergeCell ref="B6:C6"/>
    <mergeCell ref="D3:E3"/>
    <mergeCell ref="D4:E4"/>
    <mergeCell ref="B22:D22"/>
    <mergeCell ref="B8:C8"/>
    <mergeCell ref="B11:C11"/>
    <mergeCell ref="D8:E8"/>
    <mergeCell ref="B34:C34"/>
    <mergeCell ref="B37:C37"/>
    <mergeCell ref="B14:C14"/>
  </mergeCells>
  <conditionalFormatting sqref="D5">
    <cfRule type="colorScale" priority="9">
      <colorScale>
        <cfvo type="min"/>
        <cfvo type="percentile" val="50"/>
        <cfvo type="max"/>
        <color rgb="FFF8696B"/>
        <color rgb="FFFCFCFF"/>
        <color rgb="FF63BE7B"/>
      </colorScale>
    </cfRule>
  </conditionalFormatting>
  <conditionalFormatting sqref="D6">
    <cfRule type="colorScale" priority="2">
      <colorScale>
        <cfvo type="num" val="-1000"/>
        <cfvo type="num" val="0"/>
        <cfvo type="num" val="1000"/>
        <color rgb="FFF8696B"/>
        <color rgb="FFFCFCFF"/>
        <color rgb="FF63BE7B"/>
      </colorScale>
    </cfRule>
  </conditionalFormatting>
  <conditionalFormatting sqref="D41:D93">
    <cfRule type="dataBar" priority="5">
      <dataBar>
        <cfvo type="num" val="0"/>
        <cfvo type="num" val="1"/>
        <color rgb="FF638EC6"/>
      </dataBar>
      <extLst>
        <ext xmlns:x14="http://schemas.microsoft.com/office/spreadsheetml/2009/9/main" uri="{B025F937-C7B1-47D3-B67F-A62EFF666E3E}">
          <x14:id>{3AF9B8C2-6AEE-49D3-88A6-D1821AFB41C8}</x14:id>
        </ext>
      </extLst>
    </cfRule>
  </conditionalFormatting>
  <conditionalFormatting sqref="D4:E4">
    <cfRule type="colorScale" priority="7">
      <colorScale>
        <cfvo type="min"/>
        <cfvo type="percentile" val="50"/>
        <cfvo type="max"/>
        <color rgb="FFF8696B"/>
        <color rgb="FFFCFCFF"/>
        <color rgb="FF63BE7B"/>
      </colorScale>
    </cfRule>
  </conditionalFormatting>
  <conditionalFormatting sqref="E5">
    <cfRule type="colorScale" priority="8">
      <colorScale>
        <cfvo type="min"/>
        <cfvo type="percentile" val="50"/>
        <cfvo type="max"/>
        <color rgb="FFF8696B"/>
        <color rgb="FFFCFCFF"/>
        <color rgb="FF63BE7B"/>
      </colorScale>
    </cfRule>
  </conditionalFormatting>
  <conditionalFormatting sqref="E6">
    <cfRule type="colorScale" priority="1">
      <colorScale>
        <cfvo type="num" val="-0.1"/>
        <cfvo type="num" val="0"/>
        <cfvo type="num" val="0.1"/>
        <color rgb="FFF8696B"/>
        <color rgb="FFFCFCFF"/>
        <color rgb="FF63BE7B"/>
      </colorScale>
    </cfRule>
  </conditionalFormatting>
  <conditionalFormatting sqref="E41:E93">
    <cfRule type="colorScale" priority="4">
      <colorScale>
        <cfvo type="num" val="-0.1"/>
        <cfvo type="num" val="0"/>
        <cfvo type="num" val="0.1"/>
        <color rgb="FFF8696B"/>
        <color rgb="FFFCFCFF"/>
        <color rgb="FF63BE7B"/>
      </colorScale>
    </cfRule>
  </conditionalFormatting>
  <conditionalFormatting sqref="Q41:Q52">
    <cfRule type="dataBar" priority="3">
      <dataBar>
        <cfvo type="num" val="0"/>
        <cfvo type="num" val="1"/>
        <color rgb="FF638EC6"/>
      </dataBar>
      <extLst>
        <ext xmlns:x14="http://schemas.microsoft.com/office/spreadsheetml/2009/9/main" uri="{B025F937-C7B1-47D3-B67F-A62EFF666E3E}">
          <x14:id>{C61C30FB-CCB2-4668-9E07-E70F441A8D03}</x14:id>
        </ext>
      </extLst>
    </cfRule>
  </conditionalFormatting>
  <dataValidations count="2">
    <dataValidation type="list" allowBlank="1" showInputMessage="1" showErrorMessage="1" sqref="L1" xr:uid="{8CE52E22-1DE5-4540-8E9B-3FF9B743239B}">
      <formula1>"USD, GBP, HKD, EUR"</formula1>
    </dataValidation>
    <dataValidation type="date" operator="greaterThanOrEqual" allowBlank="1" showInputMessage="1" showErrorMessage="1" sqref="D23:D24" xr:uid="{C4F32915-6072-4D9D-978E-0BD6C4D205C6}">
      <formula1>44927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AF9B8C2-6AEE-49D3-88A6-D1821AFB41C8}">
            <x14:dataBar minLength="0" maxLength="100" gradient="0">
              <x14:cfvo type="num">
                <xm:f>0</xm:f>
              </x14:cfvo>
              <x14:cfvo type="num">
                <xm:f>1</xm:f>
              </x14:cfvo>
              <x14:negativeFillColor rgb="FFFF0000"/>
              <x14:axisColor rgb="FF000000"/>
            </x14:dataBar>
          </x14:cfRule>
          <xm:sqref>D41:D93</xm:sqref>
        </x14:conditionalFormatting>
        <x14:conditionalFormatting xmlns:xm="http://schemas.microsoft.com/office/excel/2006/main">
          <x14:cfRule type="dataBar" id="{C61C30FB-CCB2-4668-9E07-E70F441A8D03}">
            <x14:dataBar minLength="0" maxLength="100" gradient="0">
              <x14:cfvo type="num">
                <xm:f>0</xm:f>
              </x14:cfvo>
              <x14:cfvo type="num">
                <xm:f>1</xm:f>
              </x14:cfvo>
              <x14:negativeFillColor rgb="FFFF0000"/>
              <x14:axisColor rgb="FF000000"/>
            </x14:dataBar>
          </x14:cfRule>
          <xm:sqref>Q41:Q52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8C835A0-24BE-44B8-BB9C-5FC419D0056D}">
          <x14:formula1>
            <xm:f>Portfolio_v2!$B$3:$B$58</xm:f>
          </x14:formula1>
          <xm:sqref>P3 S3:V3</xm:sqref>
        </x14:dataValidation>
        <x14:dataValidation type="list" allowBlank="1" showInputMessage="1" showErrorMessage="1" xr:uid="{5F575CCB-7826-421E-8CFE-8AF59D1BCD45}">
          <x14:formula1>
            <xm:f>Portfolio_v2!$B$3:$B$59</xm:f>
          </x14:formula1>
          <xm:sqref>O55</xm:sqref>
        </x14:dataValidation>
      </x14:dataValidations>
    </ext>
    <ext xmlns:x14="http://schemas.microsoft.com/office/spreadsheetml/2009/9/main" uri="{05C60535-1F16-4fd2-B633-F4F36F0B64E0}">
      <x14:sparklineGroups xmlns:xm="http://schemas.microsoft.com/office/excel/2006/main">
        <x14:sparklineGroup manualMax="0" manualMin="0" displayEmptyCellsAs="gap" xr2:uid="{37A363D8-A484-4475-BB61-93A9C8A11422}">
          <x14:colorSeries rgb="FF376092"/>
          <x14:colorNegative rgb="FFD00000"/>
          <x14:colorAxis rgb="FF000000"/>
          <x14:colorMarkers rgb="FFD00000"/>
          <x14:colorFirst rgb="FFD00000"/>
          <x14:colorLast rgb="FFD00000"/>
          <x14:colorHigh rgb="FFD00000"/>
          <x14:colorLow rgb="FFD00000"/>
          <x14:sparklines>
            <x14:sparkline>
              <xm:f>'Historical Price'!C10:P10</xm:f>
              <xm:sqref>P1</xm:sqref>
            </x14:sparkline>
          </x14:sparklines>
        </x14:sparklineGroup>
        <x14:sparklineGroup manualMax="0" manualMin="0" displayEmptyCellsAs="gap" xr2:uid="{94AD68AE-2A30-4008-B76B-1C7265B7787A}">
          <x14:colorSeries rgb="FF376092"/>
          <x14:colorNegative rgb="FFD00000"/>
          <x14:colorAxis rgb="FF000000"/>
          <x14:colorMarkers rgb="FFD00000"/>
          <x14:colorFirst rgb="FFD00000"/>
          <x14:colorLast rgb="FFD00000"/>
          <x14:colorHigh rgb="FFD00000"/>
          <x14:colorLow rgb="FFD00000"/>
          <x14:sparklines>
            <x14:sparkline>
              <xm:f>'Historical Price'!C20:P20</xm:f>
              <xm:sqref>Q1</xm:sqref>
            </x14:sparkline>
          </x14:sparklines>
        </x14:sparklineGroup>
        <x14:sparklineGroup manualMax="0" manualMin="0" displayEmptyCellsAs="gap" xr2:uid="{29E4884D-8B0C-4664-B487-781448DEE6EE}">
          <x14:colorSeries rgb="FF376092"/>
          <x14:colorNegative rgb="FFD00000"/>
          <x14:colorAxis rgb="FF000000"/>
          <x14:colorMarkers rgb="FFD00000"/>
          <x14:colorFirst rgb="FFD00000"/>
          <x14:colorLast rgb="FFD00000"/>
          <x14:colorHigh rgb="FFD00000"/>
          <x14:colorLow rgb="FFD00000"/>
          <x14:sparklines>
            <x14:sparkline>
              <xm:f>'Historical Price'!C8:P8</xm:f>
              <xm:sqref>R1</xm:sqref>
            </x14:sparkline>
          </x14:sparklines>
        </x14:sparklineGroup>
        <x14:sparklineGroup manualMax="0" manualMin="0" displayEmptyCellsAs="gap" xr2:uid="{0110133C-45DD-4D44-BB77-C977C03F81DE}">
          <x14:colorSeries rgb="FF376092"/>
          <x14:colorNegative rgb="FFD00000"/>
          <x14:colorAxis rgb="FF000000"/>
          <x14:colorMarkers rgb="FFD00000"/>
          <x14:colorFirst rgb="FFD00000"/>
          <x14:colorLast rgb="FFD00000"/>
          <x14:colorHigh rgb="FFD00000"/>
          <x14:colorLow rgb="FFD00000"/>
          <x14:sparklines>
            <x14:sparkline>
              <xm:f>'Historical Price'!C55:P55</xm:f>
              <xm:sqref>S1</xm:sqref>
            </x14:sparkline>
          </x14:sparklines>
        </x14:sparklineGroup>
        <x14:sparklineGroup manualMax="0" manualMin="0" displayEmptyCellsAs="gap" xr2:uid="{1720BFDA-0880-41A0-9D21-BFCF41DCC0FD}">
          <x14:colorSeries rgb="FF376092"/>
          <x14:colorNegative rgb="FFD00000"/>
          <x14:colorAxis rgb="FF000000"/>
          <x14:colorMarkers rgb="FFD00000"/>
          <x14:colorFirst rgb="FFD00000"/>
          <x14:colorLast rgb="FFD00000"/>
          <x14:colorHigh rgb="FFD00000"/>
          <x14:colorLow rgb="FFD00000"/>
          <x14:sparklines>
            <x14:sparkline>
              <xm:f>'Historical Price'!C59:P59</xm:f>
              <xm:sqref>T1</xm:sqref>
            </x14:sparkline>
          </x14:sparklines>
        </x14:sparklineGroup>
        <x14:sparklineGroup manualMax="0" manualMin="0" displayEmptyCellsAs="gap" xr2:uid="{03544BE2-28B2-4F86-A787-E4A3538067F9}">
          <x14:colorSeries rgb="FF376092"/>
          <x14:colorNegative rgb="FFD00000"/>
          <x14:colorAxis rgb="FF000000"/>
          <x14:colorMarkers rgb="FFD00000"/>
          <x14:colorFirst rgb="FFD00000"/>
          <x14:colorLast rgb="FFD00000"/>
          <x14:colorHigh rgb="FFD00000"/>
          <x14:colorLow rgb="FFD00000"/>
          <x14:sparklines>
            <x14:sparkline>
              <xm:f>'Historical Price'!C60:P60</xm:f>
              <xm:sqref>U1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21C3-5AE0-42DC-9D9A-1234698A0F84}">
  <sheetPr codeName="Sheet6"/>
  <dimension ref="A1:J54"/>
  <sheetViews>
    <sheetView workbookViewId="0">
      <selection activeCell="J3" sqref="J3"/>
    </sheetView>
  </sheetViews>
  <sheetFormatPr defaultRowHeight="15"/>
  <cols>
    <col min="1" max="1" width="18.5703125" style="1" bestFit="1" customWidth="1"/>
    <col min="2" max="2" width="30.28515625" style="1" bestFit="1" customWidth="1"/>
    <col min="3" max="3" width="9.7109375" style="1" bestFit="1" customWidth="1"/>
    <col min="4" max="4" width="31.5703125" style="1" bestFit="1" customWidth="1"/>
    <col min="5" max="5" width="15.140625" style="1" bestFit="1" customWidth="1"/>
    <col min="6" max="6" width="19.28515625" style="1" bestFit="1" customWidth="1"/>
    <col min="7" max="7" width="30.7109375" style="7" bestFit="1" customWidth="1"/>
    <col min="8" max="8" width="13.5703125" style="1" bestFit="1" customWidth="1"/>
    <col min="9" max="9" width="15.140625" style="1" bestFit="1" customWidth="1"/>
    <col min="10" max="10" width="23.5703125" style="1" customWidth="1"/>
    <col min="11" max="16384" width="9.140625" style="1"/>
  </cols>
  <sheetData>
    <row r="1" spans="1:10">
      <c r="A1" s="1" t="s">
        <v>301</v>
      </c>
      <c r="B1" s="1" t="s">
        <v>102</v>
      </c>
      <c r="C1" s="1" t="s">
        <v>103</v>
      </c>
      <c r="D1" s="1" t="s">
        <v>104</v>
      </c>
      <c r="E1" s="1" t="s">
        <v>105</v>
      </c>
      <c r="F1" s="1" t="s">
        <v>415</v>
      </c>
      <c r="G1" s="7" t="s">
        <v>106</v>
      </c>
      <c r="H1" s="1" t="s">
        <v>473</v>
      </c>
      <c r="I1" s="1" t="s">
        <v>474</v>
      </c>
      <c r="J1" s="1" t="s">
        <v>107</v>
      </c>
    </row>
    <row r="2" spans="1:10">
      <c r="A2" s="1">
        <v>1</v>
      </c>
      <c r="B2" s="1" t="s">
        <v>108</v>
      </c>
      <c r="C2" s="1" t="s">
        <v>109</v>
      </c>
      <c r="D2" s="1" t="s">
        <v>4</v>
      </c>
      <c r="E2" s="1">
        <v>70232</v>
      </c>
      <c r="F2" s="1">
        <v>3591.35</v>
      </c>
      <c r="G2" s="7">
        <v>5.3891700000000001E-2</v>
      </c>
      <c r="H2" s="1">
        <v>1381346247482</v>
      </c>
      <c r="I2" s="1">
        <v>44897366166</v>
      </c>
      <c r="J2" s="1" t="s">
        <v>595</v>
      </c>
    </row>
    <row r="3" spans="1:10">
      <c r="A3" s="1">
        <v>2</v>
      </c>
      <c r="B3" s="1" t="s">
        <v>110</v>
      </c>
      <c r="C3" s="1" t="s">
        <v>111</v>
      </c>
      <c r="D3" s="1" t="s">
        <v>24</v>
      </c>
      <c r="E3" s="1">
        <v>3610.03</v>
      </c>
      <c r="F3" s="1">
        <v>176.66</v>
      </c>
      <c r="G3" s="7">
        <v>5.1454899999999998E-2</v>
      </c>
      <c r="H3" s="1">
        <v>433574172994</v>
      </c>
      <c r="I3" s="1">
        <v>21091244209</v>
      </c>
      <c r="J3" s="1" t="s">
        <v>596</v>
      </c>
    </row>
    <row r="4" spans="1:10">
      <c r="A4" s="1">
        <v>3</v>
      </c>
      <c r="B4" s="1" t="s">
        <v>112</v>
      </c>
      <c r="C4" s="1" t="s">
        <v>113</v>
      </c>
      <c r="D4" s="1" t="s">
        <v>114</v>
      </c>
      <c r="E4" s="1">
        <v>1</v>
      </c>
      <c r="F4" s="1">
        <v>-6.5786571341600002E-6</v>
      </c>
      <c r="G4" s="7">
        <v>-6.6000000000000003E-6</v>
      </c>
      <c r="H4" s="1">
        <v>104253001097</v>
      </c>
      <c r="I4" s="1">
        <v>73516417536</v>
      </c>
      <c r="J4" s="1" t="s">
        <v>597</v>
      </c>
    </row>
    <row r="5" spans="1:10">
      <c r="A5" s="1">
        <v>4</v>
      </c>
      <c r="B5" s="1" t="s">
        <v>115</v>
      </c>
      <c r="C5" s="1" t="s">
        <v>116</v>
      </c>
      <c r="D5" s="1" t="s">
        <v>10</v>
      </c>
      <c r="E5" s="1">
        <v>591.33000000000004</v>
      </c>
      <c r="F5" s="1">
        <v>21.83</v>
      </c>
      <c r="G5" s="7">
        <v>3.8330999999999997E-2</v>
      </c>
      <c r="H5" s="1">
        <v>91006576913</v>
      </c>
      <c r="I5" s="1">
        <v>2425585480</v>
      </c>
      <c r="J5" s="1" t="s">
        <v>598</v>
      </c>
    </row>
    <row r="6" spans="1:10">
      <c r="A6" s="1">
        <v>5</v>
      </c>
      <c r="B6" s="1" t="s">
        <v>117</v>
      </c>
      <c r="C6" s="1" t="s">
        <v>118</v>
      </c>
      <c r="D6" s="1" t="s">
        <v>37</v>
      </c>
      <c r="E6" s="1">
        <v>189.83</v>
      </c>
      <c r="F6" s="1">
        <v>7.56</v>
      </c>
      <c r="G6" s="7">
        <v>4.1450800000000003E-2</v>
      </c>
      <c r="H6" s="1">
        <v>84365977221</v>
      </c>
      <c r="I6" s="1">
        <v>4194258428</v>
      </c>
      <c r="J6" s="1" t="s">
        <v>599</v>
      </c>
    </row>
    <row r="7" spans="1:10">
      <c r="A7" s="1">
        <v>8</v>
      </c>
      <c r="B7" s="1" t="s">
        <v>120</v>
      </c>
      <c r="C7" s="1" t="s">
        <v>121</v>
      </c>
      <c r="D7" s="1" t="s">
        <v>122</v>
      </c>
      <c r="E7" s="1">
        <v>0.99998299999999996</v>
      </c>
      <c r="F7" s="1">
        <v>7.6879999999999996E-5</v>
      </c>
      <c r="G7" s="7">
        <v>7.6899999999999999E-5</v>
      </c>
      <c r="H7" s="1">
        <v>32269958296</v>
      </c>
      <c r="I7" s="1">
        <v>7649617555</v>
      </c>
      <c r="J7" s="1" t="s">
        <v>600</v>
      </c>
    </row>
    <row r="8" spans="1:10">
      <c r="A8" s="1">
        <v>9</v>
      </c>
      <c r="B8" s="1" t="s">
        <v>128</v>
      </c>
      <c r="C8" s="1" t="s">
        <v>129</v>
      </c>
      <c r="D8" s="1" t="s">
        <v>40</v>
      </c>
      <c r="E8" s="1">
        <v>0.17783299999999999</v>
      </c>
      <c r="F8" s="1">
        <v>5.4514000000000003E-3</v>
      </c>
      <c r="G8" s="7">
        <v>3.1623899999999996E-2</v>
      </c>
      <c r="H8" s="1">
        <v>25588794388</v>
      </c>
      <c r="I8" s="1">
        <v>2770025088</v>
      </c>
      <c r="J8" s="1" t="s">
        <v>601</v>
      </c>
    </row>
    <row r="9" spans="1:10">
      <c r="A9" s="1">
        <v>10</v>
      </c>
      <c r="B9" s="1" t="s">
        <v>124</v>
      </c>
      <c r="C9" s="1" t="s">
        <v>125</v>
      </c>
      <c r="D9" s="1" t="s">
        <v>31</v>
      </c>
      <c r="E9" s="1">
        <v>0.66330599999999995</v>
      </c>
      <c r="F9" s="1">
        <v>2.1163330000000001E-2</v>
      </c>
      <c r="G9" s="7">
        <v>3.2957399999999998E-2</v>
      </c>
      <c r="H9" s="1">
        <v>23354981378</v>
      </c>
      <c r="I9" s="1">
        <v>578814141</v>
      </c>
      <c r="J9" s="1" t="s">
        <v>602</v>
      </c>
    </row>
    <row r="10" spans="1:10">
      <c r="A10" s="1">
        <v>11</v>
      </c>
      <c r="B10" s="1" t="s">
        <v>126</v>
      </c>
      <c r="C10" s="1" t="s">
        <v>127</v>
      </c>
      <c r="D10" s="1" t="s">
        <v>28</v>
      </c>
      <c r="E10" s="1">
        <v>58.29</v>
      </c>
      <c r="F10" s="1">
        <v>2.44</v>
      </c>
      <c r="G10" s="7">
        <v>4.37004E-2</v>
      </c>
      <c r="H10" s="1">
        <v>22046687376</v>
      </c>
      <c r="I10" s="1">
        <v>1071717951</v>
      </c>
      <c r="J10" s="1" t="s">
        <v>603</v>
      </c>
    </row>
    <row r="11" spans="1:10">
      <c r="A11" s="1">
        <v>14</v>
      </c>
      <c r="B11" s="1" t="s">
        <v>131</v>
      </c>
      <c r="C11" s="1" t="s">
        <v>132</v>
      </c>
      <c r="D11" s="1" t="s">
        <v>133</v>
      </c>
      <c r="E11" s="1">
        <v>9.8800000000000008</v>
      </c>
      <c r="F11" s="1">
        <v>0.51259999999999994</v>
      </c>
      <c r="G11" s="7">
        <v>5.4707600000000002E-2</v>
      </c>
      <c r="H11" s="1">
        <v>13298242949</v>
      </c>
      <c r="I11" s="1">
        <v>316051902</v>
      </c>
      <c r="J11" s="1" t="s">
        <v>604</v>
      </c>
    </row>
    <row r="12" spans="1:10">
      <c r="A12" s="1">
        <v>15</v>
      </c>
      <c r="B12" s="1" t="s">
        <v>134</v>
      </c>
      <c r="C12" s="1" t="s">
        <v>135</v>
      </c>
      <c r="D12" s="1" t="s">
        <v>38</v>
      </c>
      <c r="E12" s="1">
        <v>19.57</v>
      </c>
      <c r="F12" s="1">
        <v>1.022</v>
      </c>
      <c r="G12" s="7">
        <v>5.5068499999999999E-2</v>
      </c>
      <c r="H12" s="1">
        <v>11502972643</v>
      </c>
      <c r="I12" s="1">
        <v>525163522</v>
      </c>
      <c r="J12" s="1" t="s">
        <v>605</v>
      </c>
    </row>
    <row r="13" spans="1:10">
      <c r="A13" s="1">
        <v>18</v>
      </c>
      <c r="B13" s="1" t="s">
        <v>137</v>
      </c>
      <c r="C13" s="1" t="s">
        <v>138</v>
      </c>
      <c r="D13" s="1" t="s">
        <v>39</v>
      </c>
      <c r="E13" s="1">
        <v>1.054</v>
      </c>
      <c r="F13" s="1">
        <v>4.1437000000000002E-2</v>
      </c>
      <c r="G13" s="7">
        <v>4.0918700000000002E-2</v>
      </c>
      <c r="H13" s="1">
        <v>9787646306</v>
      </c>
      <c r="I13" s="1">
        <v>445146810</v>
      </c>
      <c r="J13" s="1" t="s">
        <v>606</v>
      </c>
    </row>
    <row r="14" spans="1:10">
      <c r="A14" s="1">
        <v>21</v>
      </c>
      <c r="B14" s="1" t="s">
        <v>141</v>
      </c>
      <c r="C14" s="1" t="s">
        <v>142</v>
      </c>
      <c r="D14" s="1" t="s">
        <v>143</v>
      </c>
      <c r="E14" s="1">
        <v>18.350000000000001</v>
      </c>
      <c r="F14" s="1">
        <v>1.96</v>
      </c>
      <c r="G14" s="7">
        <v>0.11981070000000001</v>
      </c>
      <c r="H14" s="1">
        <v>8282259655</v>
      </c>
      <c r="I14" s="1">
        <v>670720402</v>
      </c>
      <c r="J14" s="1" t="s">
        <v>607</v>
      </c>
    </row>
    <row r="15" spans="1:10">
      <c r="A15" s="1">
        <v>22</v>
      </c>
      <c r="B15" s="1" t="s">
        <v>154</v>
      </c>
      <c r="C15" s="1" t="s">
        <v>154</v>
      </c>
      <c r="D15" s="1" t="s">
        <v>155</v>
      </c>
      <c r="E15" s="1">
        <v>7.74</v>
      </c>
      <c r="F15" s="1">
        <v>0.56343399999999999</v>
      </c>
      <c r="G15" s="7">
        <v>7.8501799999999997E-2</v>
      </c>
      <c r="H15" s="1">
        <v>7964244570</v>
      </c>
      <c r="I15" s="1">
        <v>728052656</v>
      </c>
      <c r="J15" s="1" t="s">
        <v>608</v>
      </c>
    </row>
    <row r="16" spans="1:10">
      <c r="A16" s="1">
        <v>26</v>
      </c>
      <c r="B16" s="1" t="s">
        <v>174</v>
      </c>
      <c r="C16" s="1" t="s">
        <v>175</v>
      </c>
      <c r="D16" s="1" t="s">
        <v>43</v>
      </c>
      <c r="E16" s="1">
        <v>3.59</v>
      </c>
      <c r="F16" s="1">
        <v>1.5326350000000001E-2</v>
      </c>
      <c r="G16" s="7">
        <v>4.2870999999999994E-3</v>
      </c>
      <c r="H16" s="1">
        <v>5196763398</v>
      </c>
      <c r="I16" s="1">
        <v>175094431</v>
      </c>
      <c r="J16" s="1" t="s">
        <v>609</v>
      </c>
    </row>
    <row r="17" spans="1:10">
      <c r="A17" s="1">
        <v>27</v>
      </c>
      <c r="B17" s="1" t="s">
        <v>161</v>
      </c>
      <c r="C17" s="1" t="s">
        <v>162</v>
      </c>
      <c r="D17" s="1" t="s">
        <v>163</v>
      </c>
      <c r="E17" s="1">
        <v>9.4</v>
      </c>
      <c r="F17" s="1">
        <v>0.34334999999999999</v>
      </c>
      <c r="G17" s="7">
        <v>3.7911500000000001E-2</v>
      </c>
      <c r="H17" s="1">
        <v>4947125209</v>
      </c>
      <c r="I17" s="1">
        <v>374122610</v>
      </c>
      <c r="J17" s="1" t="s">
        <v>610</v>
      </c>
    </row>
    <row r="18" spans="1:10">
      <c r="A18" s="1">
        <v>28</v>
      </c>
      <c r="B18" s="1" t="s">
        <v>148</v>
      </c>
      <c r="C18" s="1" t="s">
        <v>149</v>
      </c>
      <c r="D18" s="1" t="s">
        <v>150</v>
      </c>
      <c r="E18" s="1">
        <v>12.33</v>
      </c>
      <c r="F18" s="1">
        <v>0.692021</v>
      </c>
      <c r="G18" s="7">
        <v>5.9471100000000006E-2</v>
      </c>
      <c r="H18" s="1">
        <v>4820434474</v>
      </c>
      <c r="I18" s="1">
        <v>178511486</v>
      </c>
      <c r="J18" s="1" t="s">
        <v>611</v>
      </c>
    </row>
    <row r="19" spans="1:10">
      <c r="A19" s="1">
        <v>31</v>
      </c>
      <c r="B19" s="1" t="s">
        <v>171</v>
      </c>
      <c r="C19" s="1" t="s">
        <v>172</v>
      </c>
      <c r="D19" s="1" t="s">
        <v>66</v>
      </c>
      <c r="E19" s="1">
        <v>1.73</v>
      </c>
      <c r="F19" s="1">
        <v>7.0119000000000001E-2</v>
      </c>
      <c r="G19" s="7">
        <v>4.2282599999999997E-2</v>
      </c>
      <c r="H19" s="1">
        <v>4588218375</v>
      </c>
      <c r="I19" s="1">
        <v>535226427</v>
      </c>
      <c r="J19" s="1" t="s">
        <v>612</v>
      </c>
    </row>
    <row r="20" spans="1:10">
      <c r="A20" s="1">
        <v>33</v>
      </c>
      <c r="B20" s="1" t="s">
        <v>190</v>
      </c>
      <c r="C20" s="1" t="s">
        <v>191</v>
      </c>
      <c r="D20" s="1" t="s">
        <v>192</v>
      </c>
      <c r="E20" s="1">
        <v>11.18</v>
      </c>
      <c r="F20" s="1">
        <v>0.21340600000000001</v>
      </c>
      <c r="G20" s="7">
        <v>1.9462199999999999E-2</v>
      </c>
      <c r="H20" s="1">
        <v>4270186097</v>
      </c>
      <c r="I20" s="1">
        <v>271062712</v>
      </c>
      <c r="J20" s="1" t="s">
        <v>613</v>
      </c>
    </row>
    <row r="21" spans="1:10">
      <c r="A21" s="1">
        <v>36</v>
      </c>
      <c r="B21" s="1" t="s">
        <v>178</v>
      </c>
      <c r="C21" s="1" t="s">
        <v>179</v>
      </c>
      <c r="D21" s="1" t="s">
        <v>180</v>
      </c>
      <c r="E21" s="1">
        <v>0.14974999999999999</v>
      </c>
      <c r="F21" s="1">
        <v>6.0952899999999997E-3</v>
      </c>
      <c r="G21" s="7">
        <v>4.2430300000000004E-2</v>
      </c>
      <c r="H21" s="1">
        <v>3978658218</v>
      </c>
      <c r="I21" s="1">
        <v>21811850</v>
      </c>
      <c r="J21" s="1" t="s">
        <v>614</v>
      </c>
    </row>
    <row r="22" spans="1:10">
      <c r="A22" s="1">
        <v>39</v>
      </c>
      <c r="B22" s="1" t="s">
        <v>157</v>
      </c>
      <c r="C22" s="1" t="s">
        <v>158</v>
      </c>
      <c r="D22" s="1" t="s">
        <v>29</v>
      </c>
      <c r="E22" s="1">
        <v>3.86</v>
      </c>
      <c r="F22" s="1">
        <v>0.100531</v>
      </c>
      <c r="G22" s="7">
        <v>2.6769100000000001E-2</v>
      </c>
      <c r="H22" s="1">
        <v>3879071641</v>
      </c>
      <c r="I22" s="1">
        <v>351896898</v>
      </c>
      <c r="J22" s="1" t="s">
        <v>615</v>
      </c>
    </row>
    <row r="23" spans="1:10">
      <c r="A23" s="1">
        <v>44</v>
      </c>
      <c r="B23" s="1" t="s">
        <v>182</v>
      </c>
      <c r="C23" s="1" t="s">
        <v>183</v>
      </c>
      <c r="D23" s="1" t="s">
        <v>184</v>
      </c>
      <c r="E23" s="1">
        <v>4.5320600000000003E-2</v>
      </c>
      <c r="F23" s="1">
        <v>2.66176E-3</v>
      </c>
      <c r="G23" s="7">
        <v>6.2396399999999998E-2</v>
      </c>
      <c r="H23" s="1">
        <v>3292045372</v>
      </c>
      <c r="I23" s="1">
        <v>95895843</v>
      </c>
      <c r="J23" s="1" t="s">
        <v>616</v>
      </c>
    </row>
    <row r="24" spans="1:10">
      <c r="A24" s="1">
        <v>45</v>
      </c>
      <c r="B24" s="1" t="s">
        <v>208</v>
      </c>
      <c r="C24" s="1" t="s">
        <v>209</v>
      </c>
      <c r="D24" s="1" t="s">
        <v>71</v>
      </c>
      <c r="E24" s="1">
        <v>1.1299999999999999</v>
      </c>
      <c r="F24" s="1">
        <v>5.6000000000000001E-2</v>
      </c>
      <c r="G24" s="7">
        <v>5.2011099999999998E-2</v>
      </c>
      <c r="H24" s="1">
        <v>3178773048</v>
      </c>
      <c r="I24" s="1">
        <v>674395063</v>
      </c>
      <c r="J24" s="1" t="s">
        <v>617</v>
      </c>
    </row>
    <row r="25" spans="1:10">
      <c r="A25" s="1">
        <v>52</v>
      </c>
      <c r="B25" s="1" t="s">
        <v>176</v>
      </c>
      <c r="C25" s="1" t="s">
        <v>177</v>
      </c>
      <c r="D25" s="1" t="s">
        <v>26</v>
      </c>
      <c r="E25" s="1">
        <v>0.86731100000000005</v>
      </c>
      <c r="F25" s="1">
        <v>4.2248050000000002E-2</v>
      </c>
      <c r="G25" s="7">
        <v>5.1205800000000003E-2</v>
      </c>
      <c r="H25" s="1">
        <v>2803111742</v>
      </c>
      <c r="I25" s="1">
        <v>242839227</v>
      </c>
      <c r="J25" s="1" t="s">
        <v>618</v>
      </c>
    </row>
    <row r="26" spans="1:10">
      <c r="A26" s="1">
        <v>55</v>
      </c>
      <c r="B26" s="1" t="s">
        <v>235</v>
      </c>
      <c r="C26" s="1" t="s">
        <v>235</v>
      </c>
      <c r="D26" s="1" t="s">
        <v>14</v>
      </c>
      <c r="E26" s="1">
        <v>7.0740999999999998E-2</v>
      </c>
      <c r="F26" s="1">
        <v>2.5810999999999998E-3</v>
      </c>
      <c r="G26" s="7">
        <v>3.7868400000000003E-2</v>
      </c>
      <c r="H26" s="1">
        <v>2603731303</v>
      </c>
      <c r="I26" s="1">
        <v>450659588</v>
      </c>
      <c r="J26" s="1" t="s">
        <v>619</v>
      </c>
    </row>
    <row r="27" spans="1:10">
      <c r="A27" s="1">
        <v>57</v>
      </c>
      <c r="B27" s="1" t="s">
        <v>166</v>
      </c>
      <c r="C27" s="1" t="s">
        <v>167</v>
      </c>
      <c r="D27" s="1" t="s">
        <v>168</v>
      </c>
      <c r="E27" s="1">
        <v>14.2</v>
      </c>
      <c r="F27" s="1">
        <v>0.57015700000000002</v>
      </c>
      <c r="G27" s="7">
        <v>4.1816399999999997E-2</v>
      </c>
      <c r="H27" s="1">
        <v>2458084735</v>
      </c>
      <c r="I27" s="1">
        <v>113493235</v>
      </c>
      <c r="J27" s="1" t="s">
        <v>620</v>
      </c>
    </row>
    <row r="28" spans="1:10">
      <c r="A28" s="1">
        <v>76</v>
      </c>
      <c r="B28" s="1" t="s">
        <v>214</v>
      </c>
      <c r="C28" s="1" t="s">
        <v>215</v>
      </c>
      <c r="D28" s="1" t="s">
        <v>216</v>
      </c>
      <c r="E28" s="1">
        <v>0.70988399999999996</v>
      </c>
      <c r="F28" s="1">
        <v>1.9085930000000001E-2</v>
      </c>
      <c r="G28" s="7">
        <v>2.7628799999999998E-2</v>
      </c>
      <c r="H28" s="1">
        <v>1596624238</v>
      </c>
      <c r="I28" s="1">
        <v>168043881</v>
      </c>
      <c r="J28" s="1" t="s">
        <v>621</v>
      </c>
    </row>
    <row r="29" spans="1:10">
      <c r="A29" s="1">
        <v>122</v>
      </c>
      <c r="B29" s="1" t="s">
        <v>526</v>
      </c>
      <c r="C29" s="1" t="s">
        <v>529</v>
      </c>
      <c r="D29" s="1" t="s">
        <v>286</v>
      </c>
      <c r="E29" s="1">
        <v>6.06</v>
      </c>
      <c r="F29" s="1">
        <v>0.38637700000000003</v>
      </c>
      <c r="G29" s="7">
        <v>6.8090799999999993E-2</v>
      </c>
      <c r="H29" s="1">
        <v>944736510</v>
      </c>
      <c r="I29" s="1">
        <v>31459648</v>
      </c>
      <c r="J29" s="1" t="s">
        <v>622</v>
      </c>
    </row>
    <row r="30" spans="1:10">
      <c r="A30" s="1">
        <v>126</v>
      </c>
      <c r="B30" s="1" t="s">
        <v>210</v>
      </c>
      <c r="C30" s="1" t="s">
        <v>211</v>
      </c>
      <c r="D30" s="1" t="s">
        <v>35</v>
      </c>
      <c r="E30" s="1">
        <v>1.37</v>
      </c>
      <c r="F30" s="1">
        <v>5.2483000000000002E-2</v>
      </c>
      <c r="G30" s="7">
        <v>3.9958399999999998E-2</v>
      </c>
      <c r="H30" s="1">
        <v>889463185</v>
      </c>
      <c r="I30" s="1">
        <v>23880634</v>
      </c>
      <c r="J30" s="1" t="s">
        <v>623</v>
      </c>
    </row>
    <row r="31" spans="1:10">
      <c r="A31" s="1">
        <v>138</v>
      </c>
      <c r="B31" s="1" t="s">
        <v>250</v>
      </c>
      <c r="C31" s="1" t="s">
        <v>251</v>
      </c>
      <c r="D31" s="1" t="s">
        <v>252</v>
      </c>
      <c r="E31" s="1">
        <v>3.23</v>
      </c>
      <c r="F31" s="1">
        <v>0.15113699999999999</v>
      </c>
      <c r="G31" s="7">
        <v>4.90301E-2</v>
      </c>
      <c r="H31" s="1">
        <v>803763764</v>
      </c>
      <c r="I31" s="1">
        <v>78788263</v>
      </c>
      <c r="J31" s="1" t="s">
        <v>624</v>
      </c>
    </row>
    <row r="32" spans="1:10">
      <c r="A32" s="1">
        <v>143</v>
      </c>
      <c r="B32" s="1" t="s">
        <v>426</v>
      </c>
      <c r="C32" s="1" t="s">
        <v>427</v>
      </c>
      <c r="D32" s="1" t="s">
        <v>374</v>
      </c>
      <c r="E32" s="1">
        <v>0.614263</v>
      </c>
      <c r="F32" s="1">
        <v>0.106931</v>
      </c>
      <c r="G32" s="7">
        <v>0.21077110000000002</v>
      </c>
      <c r="H32" s="1">
        <v>740717305</v>
      </c>
      <c r="I32" s="1">
        <v>176747849</v>
      </c>
      <c r="J32" s="1" t="s">
        <v>625</v>
      </c>
    </row>
    <row r="33" spans="1:10">
      <c r="A33" s="1">
        <v>156</v>
      </c>
      <c r="B33" s="1" t="s">
        <v>528</v>
      </c>
      <c r="C33" s="1" t="s">
        <v>532</v>
      </c>
      <c r="D33" s="1" t="s">
        <v>533</v>
      </c>
      <c r="E33" s="1">
        <v>0.844669</v>
      </c>
      <c r="F33" s="1">
        <v>5.2588999999999997E-2</v>
      </c>
      <c r="G33" s="7">
        <v>6.6393399999999991E-2</v>
      </c>
      <c r="H33" s="1">
        <v>653144454</v>
      </c>
      <c r="I33" s="1">
        <v>151559019</v>
      </c>
      <c r="J33" s="1" t="s">
        <v>626</v>
      </c>
    </row>
    <row r="34" spans="1:10">
      <c r="A34" s="1">
        <v>168</v>
      </c>
      <c r="B34" s="1" t="s">
        <v>265</v>
      </c>
      <c r="C34" s="1" t="s">
        <v>266</v>
      </c>
      <c r="D34" s="1" t="s">
        <v>267</v>
      </c>
      <c r="E34" s="1">
        <v>1.34</v>
      </c>
      <c r="F34" s="1">
        <v>5.2236999999999999E-2</v>
      </c>
      <c r="G34" s="7">
        <v>4.0689500000000003E-2</v>
      </c>
      <c r="H34" s="1">
        <v>603890863</v>
      </c>
      <c r="I34" s="1">
        <v>22357991</v>
      </c>
      <c r="J34" s="1" t="s">
        <v>627</v>
      </c>
    </row>
    <row r="35" spans="1:10">
      <c r="A35" s="1">
        <v>228</v>
      </c>
      <c r="B35" s="1" t="s">
        <v>277</v>
      </c>
      <c r="C35" s="1" t="s">
        <v>277</v>
      </c>
      <c r="D35" s="1" t="s">
        <v>516</v>
      </c>
      <c r="E35" s="1">
        <v>3.97</v>
      </c>
      <c r="F35" s="1">
        <v>0.38638499999999998</v>
      </c>
      <c r="G35" s="7">
        <v>0.1078736</v>
      </c>
      <c r="H35" s="1">
        <v>386555464</v>
      </c>
      <c r="I35" s="1">
        <v>135961627</v>
      </c>
      <c r="J35" s="1" t="s">
        <v>628</v>
      </c>
    </row>
    <row r="36" spans="1:10">
      <c r="A36" s="1">
        <v>237</v>
      </c>
      <c r="B36" s="1" t="s">
        <v>262</v>
      </c>
      <c r="C36" s="1" t="s">
        <v>263</v>
      </c>
      <c r="D36" s="1" t="s">
        <v>264</v>
      </c>
      <c r="E36" s="1">
        <v>1.31</v>
      </c>
      <c r="F36" s="1">
        <v>0.104071</v>
      </c>
      <c r="G36" s="7">
        <v>8.6386500000000005E-2</v>
      </c>
      <c r="H36" s="1">
        <v>364897590</v>
      </c>
      <c r="I36" s="1">
        <v>18365566</v>
      </c>
      <c r="J36" s="1" t="s">
        <v>629</v>
      </c>
    </row>
    <row r="37" spans="1:10">
      <c r="A37" s="1">
        <v>244</v>
      </c>
      <c r="B37" s="1" t="s">
        <v>259</v>
      </c>
      <c r="C37" s="1" t="s">
        <v>259</v>
      </c>
      <c r="D37" s="1" t="s">
        <v>260</v>
      </c>
      <c r="E37" s="1">
        <v>34</v>
      </c>
      <c r="F37" s="1">
        <v>1.21</v>
      </c>
      <c r="G37" s="7">
        <v>3.6919E-2</v>
      </c>
      <c r="H37" s="1">
        <v>358062794</v>
      </c>
      <c r="I37" s="1">
        <v>10349236</v>
      </c>
      <c r="J37" s="1" t="s">
        <v>630</v>
      </c>
    </row>
    <row r="38" spans="1:10">
      <c r="A38" s="1">
        <v>245</v>
      </c>
      <c r="B38" s="1" t="s">
        <v>268</v>
      </c>
      <c r="C38" s="1" t="s">
        <v>269</v>
      </c>
      <c r="D38" s="1" t="s">
        <v>270</v>
      </c>
      <c r="E38" s="1">
        <v>1.29</v>
      </c>
      <c r="F38" s="1">
        <v>6.0262000000000003E-2</v>
      </c>
      <c r="G38" s="7">
        <v>4.9183000000000004E-2</v>
      </c>
      <c r="H38" s="1">
        <v>355649103</v>
      </c>
      <c r="I38" s="1">
        <v>25403360</v>
      </c>
      <c r="J38" s="1" t="s">
        <v>631</v>
      </c>
    </row>
    <row r="39" spans="1:10">
      <c r="A39" s="1">
        <v>260</v>
      </c>
      <c r="B39" s="1" t="s">
        <v>527</v>
      </c>
      <c r="C39" s="1" t="s">
        <v>530</v>
      </c>
      <c r="D39" s="1" t="s">
        <v>531</v>
      </c>
      <c r="E39" s="1">
        <v>4.7099999999999998E-6</v>
      </c>
      <c r="F39" s="1">
        <v>1.57682E-7</v>
      </c>
      <c r="G39" s="7">
        <v>3.4625400000000001E-2</v>
      </c>
      <c r="H39" s="1">
        <v>327568260</v>
      </c>
      <c r="I39" s="1">
        <v>17398559</v>
      </c>
      <c r="J39" s="1" t="s">
        <v>632</v>
      </c>
    </row>
    <row r="40" spans="1:10">
      <c r="A40" s="1">
        <v>263</v>
      </c>
      <c r="B40" s="1" t="s">
        <v>271</v>
      </c>
      <c r="C40" s="1" t="s">
        <v>271</v>
      </c>
      <c r="D40" s="1" t="s">
        <v>30</v>
      </c>
      <c r="E40" s="1">
        <v>1.21</v>
      </c>
      <c r="F40" s="1">
        <v>6.1633E-2</v>
      </c>
      <c r="G40" s="7">
        <v>5.3492100000000001E-2</v>
      </c>
      <c r="H40" s="1">
        <v>317437174</v>
      </c>
      <c r="I40" s="1">
        <v>62128591</v>
      </c>
      <c r="J40" s="1" t="s">
        <v>633</v>
      </c>
    </row>
    <row r="41" spans="1:10">
      <c r="A41" s="1">
        <v>274</v>
      </c>
      <c r="B41" s="1" t="s">
        <v>354</v>
      </c>
      <c r="C41" s="1" t="s">
        <v>416</v>
      </c>
      <c r="D41" s="1" t="s">
        <v>417</v>
      </c>
      <c r="E41" s="1">
        <v>70159</v>
      </c>
      <c r="F41" s="1">
        <v>3824.78</v>
      </c>
      <c r="G41" s="7">
        <v>5.7659299999999997E-2</v>
      </c>
      <c r="H41" s="1">
        <v>296205353</v>
      </c>
      <c r="I41" s="1">
        <v>14207012</v>
      </c>
      <c r="J41" s="1" t="s">
        <v>634</v>
      </c>
    </row>
    <row r="42" spans="1:10">
      <c r="A42" s="1">
        <v>275</v>
      </c>
      <c r="B42" s="1" t="s">
        <v>279</v>
      </c>
      <c r="C42" s="1" t="s">
        <v>280</v>
      </c>
      <c r="D42" s="1" t="s">
        <v>281</v>
      </c>
      <c r="E42" s="1">
        <v>0.417099</v>
      </c>
      <c r="F42" s="1">
        <v>-7.625531461014079E-3</v>
      </c>
      <c r="G42" s="7">
        <v>-1.7954100000000001E-2</v>
      </c>
      <c r="H42" s="1">
        <v>293632023</v>
      </c>
      <c r="I42" s="1">
        <v>6320781</v>
      </c>
      <c r="J42" s="1" t="s">
        <v>635</v>
      </c>
    </row>
    <row r="43" spans="1:10">
      <c r="A43" s="1">
        <v>297</v>
      </c>
      <c r="B43" s="1" t="s">
        <v>289</v>
      </c>
      <c r="C43" s="1" t="s">
        <v>302</v>
      </c>
      <c r="D43" s="1" t="s">
        <v>283</v>
      </c>
      <c r="E43" s="1">
        <v>0.32267000000000001</v>
      </c>
      <c r="F43" s="1">
        <v>1.0613010000000001E-2</v>
      </c>
      <c r="G43" s="7">
        <v>3.40098E-2</v>
      </c>
      <c r="H43" s="1">
        <v>252390772</v>
      </c>
      <c r="I43" s="1">
        <v>15948545</v>
      </c>
      <c r="J43" s="1" t="s">
        <v>636</v>
      </c>
    </row>
    <row r="44" spans="1:10">
      <c r="A44" s="1">
        <v>314</v>
      </c>
      <c r="B44" s="1" t="s">
        <v>397</v>
      </c>
      <c r="C44" s="1" t="s">
        <v>420</v>
      </c>
      <c r="D44" s="1" t="s">
        <v>421</v>
      </c>
      <c r="E44" s="1">
        <v>1.79</v>
      </c>
      <c r="F44" s="1">
        <v>6.9855E-2</v>
      </c>
      <c r="G44" s="7">
        <v>4.0564200000000002E-2</v>
      </c>
      <c r="H44" s="1">
        <v>233091994</v>
      </c>
      <c r="I44" s="1">
        <v>49691219</v>
      </c>
      <c r="J44" s="1" t="s">
        <v>637</v>
      </c>
    </row>
    <row r="45" spans="1:10">
      <c r="A45" s="1">
        <v>387</v>
      </c>
      <c r="B45" s="1" t="s">
        <v>300</v>
      </c>
      <c r="C45" s="1" t="s">
        <v>303</v>
      </c>
      <c r="D45" s="1" t="s">
        <v>304</v>
      </c>
      <c r="E45" s="1">
        <v>0.348472</v>
      </c>
      <c r="F45" s="1">
        <v>2.0100659999999999E-2</v>
      </c>
      <c r="G45" s="7">
        <v>6.1213099999999999E-2</v>
      </c>
      <c r="H45" s="1">
        <v>164432017</v>
      </c>
      <c r="I45" s="1">
        <v>38300721</v>
      </c>
      <c r="J45" s="1" t="s">
        <v>638</v>
      </c>
    </row>
    <row r="46" spans="1:10">
      <c r="A46" s="1">
        <v>481</v>
      </c>
      <c r="B46" s="1" t="s">
        <v>293</v>
      </c>
      <c r="C46" s="1" t="s">
        <v>293</v>
      </c>
      <c r="D46" s="1" t="s">
        <v>305</v>
      </c>
      <c r="E46" s="1">
        <v>1.56993E-3</v>
      </c>
      <c r="F46" s="1">
        <v>-3.5360804209559E-5</v>
      </c>
      <c r="G46" s="7">
        <v>-2.2027700000000001E-2</v>
      </c>
      <c r="H46" s="1">
        <v>115235768</v>
      </c>
      <c r="I46" s="1">
        <v>1925334</v>
      </c>
      <c r="J46" s="1" t="s">
        <v>639</v>
      </c>
    </row>
    <row r="47" spans="1:10">
      <c r="A47" s="1">
        <v>571</v>
      </c>
      <c r="B47" s="1" t="s">
        <v>291</v>
      </c>
      <c r="C47" s="1" t="s">
        <v>308</v>
      </c>
      <c r="D47" s="1" t="s">
        <v>309</v>
      </c>
      <c r="E47" s="1">
        <v>8.5885900000000001E-3</v>
      </c>
      <c r="F47" s="1">
        <v>-7.1527687549475898E-4</v>
      </c>
      <c r="G47" s="7">
        <v>-7.6879500000000003E-2</v>
      </c>
      <c r="H47" s="1">
        <v>85902381</v>
      </c>
      <c r="I47" s="1">
        <v>1666143</v>
      </c>
      <c r="J47" s="1" t="s">
        <v>640</v>
      </c>
    </row>
    <row r="48" spans="1:10">
      <c r="A48" s="1">
        <v>1318</v>
      </c>
      <c r="B48" s="1" t="s">
        <v>290</v>
      </c>
      <c r="C48" s="1" t="s">
        <v>306</v>
      </c>
      <c r="D48" s="1" t="s">
        <v>68</v>
      </c>
      <c r="E48" s="1">
        <v>0.52973300000000001</v>
      </c>
      <c r="F48" s="1">
        <v>6.6452999999999998E-2</v>
      </c>
      <c r="G48" s="7">
        <v>0.14344099999999999</v>
      </c>
      <c r="H48" s="1">
        <v>14614478</v>
      </c>
      <c r="I48" s="1">
        <v>1080895</v>
      </c>
      <c r="J48" s="1" t="s">
        <v>641</v>
      </c>
    </row>
    <row r="49" spans="2:10">
      <c r="B49" s="1" t="s">
        <v>396</v>
      </c>
      <c r="C49" s="1" t="s">
        <v>422</v>
      </c>
      <c r="D49" s="1" t="s">
        <v>366</v>
      </c>
      <c r="E49" s="1">
        <v>0.45867000000000002</v>
      </c>
      <c r="H49" s="1">
        <v>0</v>
      </c>
      <c r="I49" s="1">
        <v>322.88</v>
      </c>
      <c r="J49" s="1" t="s">
        <v>592</v>
      </c>
    </row>
    <row r="50" spans="2:10">
      <c r="B50" s="1" t="s">
        <v>395</v>
      </c>
      <c r="C50" s="1" t="s">
        <v>395</v>
      </c>
      <c r="D50" s="1" t="s">
        <v>361</v>
      </c>
      <c r="E50" s="1">
        <v>3606.32</v>
      </c>
      <c r="F50" s="1">
        <v>177.62</v>
      </c>
      <c r="G50" s="7">
        <v>5.1804099999999999E-2</v>
      </c>
      <c r="H50" s="1">
        <v>0</v>
      </c>
      <c r="I50" s="1">
        <v>2324606381</v>
      </c>
      <c r="J50" s="1" t="s">
        <v>642</v>
      </c>
    </row>
    <row r="51" spans="2:10">
      <c r="B51" s="1" t="s">
        <v>355</v>
      </c>
      <c r="C51" s="1" t="s">
        <v>425</v>
      </c>
      <c r="D51" s="1" t="s">
        <v>356</v>
      </c>
      <c r="E51" s="1">
        <v>58.27</v>
      </c>
      <c r="F51" s="1">
        <v>2.5</v>
      </c>
      <c r="G51" s="7">
        <v>4.4882499999999999E-2</v>
      </c>
      <c r="H51" s="1">
        <v>0</v>
      </c>
      <c r="I51" s="1">
        <v>9709054</v>
      </c>
      <c r="J51" s="1" t="s">
        <v>643</v>
      </c>
    </row>
    <row r="52" spans="2:10">
      <c r="B52" s="1" t="s">
        <v>394</v>
      </c>
      <c r="C52" s="1" t="s">
        <v>423</v>
      </c>
      <c r="D52" s="1" t="s">
        <v>424</v>
      </c>
      <c r="E52" s="1">
        <v>70224</v>
      </c>
      <c r="F52" s="1">
        <v>3638.67</v>
      </c>
      <c r="G52" s="7">
        <v>5.4647100000000004E-2</v>
      </c>
      <c r="H52" s="1">
        <v>0</v>
      </c>
      <c r="I52" s="1">
        <v>7063.33</v>
      </c>
      <c r="J52" s="1" t="s">
        <v>644</v>
      </c>
    </row>
    <row r="53" spans="2:10">
      <c r="B53" s="1" t="s">
        <v>288</v>
      </c>
      <c r="C53" s="1" t="s">
        <v>307</v>
      </c>
      <c r="D53" s="1" t="s">
        <v>284</v>
      </c>
      <c r="E53" s="1">
        <v>2.08</v>
      </c>
      <c r="F53" s="1">
        <v>8.0429E-2</v>
      </c>
      <c r="G53" s="7">
        <v>4.0259099999999999E-2</v>
      </c>
      <c r="H53" s="1">
        <v>0</v>
      </c>
      <c r="I53" s="1">
        <v>10234943</v>
      </c>
      <c r="J53" s="1" t="s">
        <v>645</v>
      </c>
    </row>
    <row r="54" spans="2:10">
      <c r="B54" s="1" t="s">
        <v>398</v>
      </c>
      <c r="C54" s="1" t="s">
        <v>418</v>
      </c>
      <c r="D54" s="1" t="s">
        <v>419</v>
      </c>
      <c r="E54" s="1">
        <v>0.839862</v>
      </c>
      <c r="F54" s="1">
        <v>3.3174139999999998E-2</v>
      </c>
      <c r="G54" s="7">
        <v>4.1123900000000005E-2</v>
      </c>
      <c r="H54" s="1">
        <v>0</v>
      </c>
      <c r="I54" s="1">
        <v>30666499</v>
      </c>
      <c r="J54" s="1" t="s">
        <v>646</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8DEF8-95F1-487D-B922-2C9515894EAF}">
  <sheetPr codeName="Sheet9"/>
  <dimension ref="A1:I26"/>
  <sheetViews>
    <sheetView workbookViewId="0">
      <selection activeCell="F36" sqref="F36"/>
    </sheetView>
  </sheetViews>
  <sheetFormatPr defaultRowHeight="15"/>
  <cols>
    <col min="1" max="1" width="14.28515625" style="1" bestFit="1" customWidth="1"/>
    <col min="2" max="2" width="19.7109375" style="1" bestFit="1" customWidth="1"/>
    <col min="3" max="3" width="17.7109375" style="1" bestFit="1" customWidth="1"/>
    <col min="4" max="4" width="18.5703125" style="1" bestFit="1" customWidth="1"/>
    <col min="5" max="5" width="9.140625" style="1"/>
    <col min="6" max="6" width="10.5703125" style="1" bestFit="1" customWidth="1"/>
    <col min="7" max="7" width="34.140625" style="1" bestFit="1" customWidth="1"/>
    <col min="8" max="8" width="11.7109375" style="1" bestFit="1" customWidth="1"/>
    <col min="9" max="16384" width="9.140625" style="1"/>
  </cols>
  <sheetData>
    <row r="1" spans="1:9" s="3" customFormat="1">
      <c r="A1" s="3" t="s">
        <v>75</v>
      </c>
      <c r="B1" s="3" t="s">
        <v>76</v>
      </c>
      <c r="C1" s="3" t="s">
        <v>46</v>
      </c>
      <c r="D1" s="3" t="s">
        <v>73</v>
      </c>
      <c r="E1" s="3" t="s">
        <v>33</v>
      </c>
      <c r="F1" s="3" t="s">
        <v>78</v>
      </c>
      <c r="G1" s="3" t="s">
        <v>560</v>
      </c>
      <c r="H1" s="3" t="s">
        <v>548</v>
      </c>
    </row>
    <row r="2" spans="1:9">
      <c r="A2" s="1" t="s">
        <v>68</v>
      </c>
      <c r="B2" s="1" t="s">
        <v>77</v>
      </c>
      <c r="C2" s="1" t="s">
        <v>82</v>
      </c>
      <c r="D2" s="1" t="s">
        <v>70</v>
      </c>
      <c r="E2" s="1">
        <v>15530</v>
      </c>
      <c r="F2" s="1">
        <v>18</v>
      </c>
      <c r="H2" s="1" t="s">
        <v>546</v>
      </c>
    </row>
    <row r="3" spans="1:9">
      <c r="A3" s="1" t="s">
        <v>79</v>
      </c>
      <c r="B3" s="1" t="s">
        <v>80</v>
      </c>
      <c r="C3" s="1" t="s">
        <v>81</v>
      </c>
      <c r="D3" s="1" t="s">
        <v>67</v>
      </c>
      <c r="E3" s="1">
        <v>8634</v>
      </c>
      <c r="F3" s="1">
        <v>3.56</v>
      </c>
      <c r="H3" s="1" t="s">
        <v>546</v>
      </c>
    </row>
    <row r="4" spans="1:9">
      <c r="A4" s="1" t="s">
        <v>83</v>
      </c>
      <c r="B4" s="1" t="s">
        <v>23</v>
      </c>
      <c r="C4" s="1" t="s">
        <v>84</v>
      </c>
      <c r="D4" s="1" t="s">
        <v>67</v>
      </c>
      <c r="E4" s="1">
        <v>254.66</v>
      </c>
      <c r="F4" s="1">
        <v>10.34</v>
      </c>
      <c r="H4" s="1" t="s">
        <v>546</v>
      </c>
    </row>
    <row r="5" spans="1:9">
      <c r="A5" s="133" t="s">
        <v>85</v>
      </c>
      <c r="B5" s="133" t="s">
        <v>23</v>
      </c>
      <c r="C5" s="133" t="s">
        <v>86</v>
      </c>
      <c r="D5" s="133" t="s">
        <v>63</v>
      </c>
      <c r="E5" s="133">
        <v>5006.4799999999996</v>
      </c>
      <c r="F5" s="133">
        <v>9.65</v>
      </c>
      <c r="G5" s="133" t="s">
        <v>314</v>
      </c>
      <c r="H5" s="133" t="s">
        <v>546</v>
      </c>
    </row>
    <row r="6" spans="1:9">
      <c r="A6" s="1" t="s">
        <v>87</v>
      </c>
      <c r="B6" s="1" t="s">
        <v>88</v>
      </c>
      <c r="C6" s="1" t="s">
        <v>89</v>
      </c>
      <c r="D6" s="1" t="s">
        <v>66</v>
      </c>
      <c r="E6" s="1">
        <v>1600</v>
      </c>
      <c r="F6" s="1">
        <v>46.73</v>
      </c>
      <c r="H6" s="1" t="s">
        <v>542</v>
      </c>
      <c r="I6" s="1" t="s">
        <v>647</v>
      </c>
    </row>
    <row r="7" spans="1:9">
      <c r="A7" s="133" t="s">
        <v>90</v>
      </c>
      <c r="B7" s="133" t="s">
        <v>23</v>
      </c>
      <c r="C7" s="133" t="s">
        <v>91</v>
      </c>
      <c r="D7" s="133" t="s">
        <v>66</v>
      </c>
      <c r="E7" s="133">
        <v>3200</v>
      </c>
      <c r="F7" s="133">
        <v>12.02</v>
      </c>
      <c r="G7" s="133" t="s">
        <v>517</v>
      </c>
      <c r="H7" s="133" t="s">
        <v>549</v>
      </c>
    </row>
    <row r="8" spans="1:9">
      <c r="A8" s="1" t="s">
        <v>92</v>
      </c>
      <c r="B8" s="1" t="s">
        <v>93</v>
      </c>
      <c r="C8" s="1" t="s">
        <v>98</v>
      </c>
      <c r="D8" s="1" t="s">
        <v>61</v>
      </c>
      <c r="E8" s="1">
        <v>2504.5</v>
      </c>
      <c r="F8" s="1">
        <v>13.87</v>
      </c>
      <c r="H8" s="1" t="s">
        <v>546</v>
      </c>
    </row>
    <row r="9" spans="1:9">
      <c r="A9" s="133" t="s">
        <v>94</v>
      </c>
      <c r="B9" s="133" t="s">
        <v>27</v>
      </c>
      <c r="C9" s="133" t="s">
        <v>519</v>
      </c>
      <c r="D9" s="133" t="s">
        <v>61</v>
      </c>
      <c r="E9" s="133">
        <v>1410.08</v>
      </c>
      <c r="F9" s="133">
        <v>3.07</v>
      </c>
      <c r="G9" s="133" t="s">
        <v>520</v>
      </c>
      <c r="H9" s="133" t="s">
        <v>546</v>
      </c>
    </row>
    <row r="10" spans="1:9">
      <c r="A10" s="133" t="s">
        <v>68</v>
      </c>
      <c r="B10" s="133" t="s">
        <v>95</v>
      </c>
      <c r="C10" s="133" t="s">
        <v>96</v>
      </c>
      <c r="D10" s="133" t="s">
        <v>62</v>
      </c>
      <c r="E10" s="133">
        <v>356.44</v>
      </c>
      <c r="F10" s="133">
        <v>75.650000000000006</v>
      </c>
      <c r="G10" s="133" t="s">
        <v>578</v>
      </c>
      <c r="H10" s="133" t="s">
        <v>546</v>
      </c>
    </row>
    <row r="11" spans="1:9">
      <c r="A11" s="1" t="s">
        <v>521</v>
      </c>
      <c r="B11" s="1" t="s">
        <v>522</v>
      </c>
      <c r="C11" s="1" t="s">
        <v>523</v>
      </c>
      <c r="D11" s="1" t="s">
        <v>61</v>
      </c>
      <c r="E11" s="1">
        <v>3625</v>
      </c>
      <c r="F11" s="1" t="s">
        <v>524</v>
      </c>
      <c r="H11" s="1" t="s">
        <v>546</v>
      </c>
    </row>
    <row r="12" spans="1:9">
      <c r="A12" s="1" t="s">
        <v>538</v>
      </c>
      <c r="B12" s="1" t="s">
        <v>539</v>
      </c>
      <c r="C12" s="1" t="s">
        <v>540</v>
      </c>
      <c r="D12" s="1" t="s">
        <v>61</v>
      </c>
      <c r="E12" s="1">
        <v>6240</v>
      </c>
      <c r="F12" s="1">
        <v>16.059999999999999</v>
      </c>
      <c r="H12" s="1" t="s">
        <v>541</v>
      </c>
      <c r="I12" s="1" t="s">
        <v>648</v>
      </c>
    </row>
    <row r="13" spans="1:9">
      <c r="A13" s="1" t="s">
        <v>543</v>
      </c>
      <c r="B13" s="1" t="s">
        <v>544</v>
      </c>
      <c r="C13" s="1" t="s">
        <v>545</v>
      </c>
      <c r="D13" s="1" t="s">
        <v>66</v>
      </c>
      <c r="E13" s="1" t="s">
        <v>546</v>
      </c>
      <c r="F13" s="1" t="s">
        <v>546</v>
      </c>
      <c r="H13" s="1" t="s">
        <v>547</v>
      </c>
      <c r="I13" s="1" t="s">
        <v>594</v>
      </c>
    </row>
    <row r="14" spans="1:9">
      <c r="A14" s="1" t="s">
        <v>566</v>
      </c>
      <c r="B14" s="1" t="s">
        <v>575</v>
      </c>
      <c r="D14" s="1" t="s">
        <v>43</v>
      </c>
    </row>
    <row r="15" spans="1:9">
      <c r="A15" s="1" t="s">
        <v>567</v>
      </c>
      <c r="B15" s="1" t="s">
        <v>574</v>
      </c>
      <c r="D15" s="1" t="s">
        <v>43</v>
      </c>
    </row>
    <row r="16" spans="1:9">
      <c r="A16" s="1" t="s">
        <v>572</v>
      </c>
      <c r="B16" s="1" t="s">
        <v>573</v>
      </c>
      <c r="D16" s="1" t="s">
        <v>43</v>
      </c>
    </row>
    <row r="17" spans="1:7">
      <c r="A17" s="1" t="s">
        <v>582</v>
      </c>
      <c r="B17" s="1" t="s">
        <v>583</v>
      </c>
      <c r="D17" s="1" t="s">
        <v>31</v>
      </c>
    </row>
    <row r="18" spans="1:7">
      <c r="A18" s="1" t="s">
        <v>555</v>
      </c>
      <c r="B18" s="1" t="s">
        <v>23</v>
      </c>
      <c r="C18" s="1" t="s">
        <v>556</v>
      </c>
      <c r="D18" s="1" t="s">
        <v>63</v>
      </c>
      <c r="E18" s="1">
        <v>345</v>
      </c>
      <c r="F18" s="1">
        <v>6.7</v>
      </c>
      <c r="G18" s="1" t="s">
        <v>557</v>
      </c>
    </row>
    <row r="19" spans="1:7">
      <c r="A19" s="1" t="s">
        <v>565</v>
      </c>
      <c r="B19" s="1" t="s">
        <v>50</v>
      </c>
      <c r="C19" s="1" t="s">
        <v>568</v>
      </c>
      <c r="D19" s="1" t="s">
        <v>39</v>
      </c>
      <c r="E19" s="1">
        <v>330</v>
      </c>
      <c r="F19" s="1">
        <v>5.15</v>
      </c>
      <c r="G19" s="1" t="s">
        <v>571</v>
      </c>
    </row>
    <row r="20" spans="1:7">
      <c r="A20" s="1" t="s">
        <v>561</v>
      </c>
      <c r="B20" s="1" t="s">
        <v>7</v>
      </c>
      <c r="C20" s="1" t="s">
        <v>569</v>
      </c>
      <c r="D20" s="1" t="s">
        <v>37</v>
      </c>
      <c r="E20" s="1">
        <v>610</v>
      </c>
      <c r="F20" s="1">
        <v>4.7300000000000004</v>
      </c>
      <c r="G20" s="1" t="s">
        <v>571</v>
      </c>
    </row>
    <row r="21" spans="1:7">
      <c r="A21" s="133" t="s">
        <v>561</v>
      </c>
      <c r="B21" s="133" t="s">
        <v>364</v>
      </c>
      <c r="C21" s="133" t="s">
        <v>570</v>
      </c>
      <c r="D21" s="133" t="s">
        <v>37</v>
      </c>
      <c r="E21" s="133">
        <v>1000</v>
      </c>
      <c r="F21" s="133">
        <v>36</v>
      </c>
      <c r="G21" s="133" t="s">
        <v>586</v>
      </c>
    </row>
    <row r="22" spans="1:7">
      <c r="A22" s="1" t="s">
        <v>562</v>
      </c>
      <c r="B22" s="1" t="s">
        <v>364</v>
      </c>
      <c r="C22" s="1" t="s">
        <v>563</v>
      </c>
      <c r="D22" s="1" t="s">
        <v>62</v>
      </c>
      <c r="E22" s="1">
        <v>1183</v>
      </c>
      <c r="F22" s="1">
        <v>16.579999999999998</v>
      </c>
      <c r="G22" s="1" t="s">
        <v>564</v>
      </c>
    </row>
    <row r="23" spans="1:7">
      <c r="A23" s="1" t="s">
        <v>579</v>
      </c>
      <c r="B23" s="1" t="s">
        <v>365</v>
      </c>
      <c r="C23" s="1" t="s">
        <v>580</v>
      </c>
      <c r="D23" s="1" t="s">
        <v>62</v>
      </c>
      <c r="E23" s="1">
        <v>865</v>
      </c>
      <c r="F23" s="1">
        <v>75</v>
      </c>
      <c r="G23" s="1" t="s">
        <v>564</v>
      </c>
    </row>
    <row r="24" spans="1:7">
      <c r="A24" s="1" t="s">
        <v>561</v>
      </c>
      <c r="B24" s="1" t="s">
        <v>122</v>
      </c>
      <c r="C24" s="1" t="s">
        <v>587</v>
      </c>
      <c r="D24" s="1" t="s">
        <v>37</v>
      </c>
      <c r="E24" s="1">
        <v>1005</v>
      </c>
      <c r="F24" s="1">
        <v>28</v>
      </c>
      <c r="G24" s="1" t="s">
        <v>588</v>
      </c>
    </row>
    <row r="26" spans="1:7">
      <c r="A26" s="1" t="s">
        <v>313</v>
      </c>
      <c r="B26" s="101">
        <v>45357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143D-AAC8-4BB9-BE49-BDB4945B94CF}">
  <sheetPr codeName="Sheet7"/>
  <dimension ref="A1:E136"/>
  <sheetViews>
    <sheetView topLeftCell="A13" workbookViewId="0">
      <selection activeCell="G11" sqref="G11"/>
    </sheetView>
  </sheetViews>
  <sheetFormatPr defaultRowHeight="15"/>
  <cols>
    <col min="1" max="1" width="30.28515625" style="1" bestFit="1" customWidth="1"/>
    <col min="2" max="2" width="10.85546875" style="1" customWidth="1"/>
    <col min="3" max="3" width="30.28515625" style="1" customWidth="1"/>
    <col min="4" max="4" width="8.7109375" style="1" customWidth="1"/>
    <col min="5" max="5" width="28.28515625" style="1" bestFit="1" customWidth="1"/>
    <col min="6" max="16384" width="9.140625" style="1"/>
  </cols>
  <sheetData>
    <row r="1" spans="1:5">
      <c r="A1" s="3" t="s">
        <v>428</v>
      </c>
      <c r="B1" s="3" t="s">
        <v>377</v>
      </c>
      <c r="C1" s="3" t="s">
        <v>326</v>
      </c>
      <c r="D1" s="3"/>
      <c r="E1" s="3" t="s">
        <v>429</v>
      </c>
    </row>
    <row r="2" spans="1:5">
      <c r="A2" s="1" t="s">
        <v>4</v>
      </c>
      <c r="B2" s="1" t="s">
        <v>47</v>
      </c>
      <c r="C2" s="1" t="s">
        <v>4</v>
      </c>
      <c r="E2" s="1" t="s">
        <v>108</v>
      </c>
    </row>
    <row r="3" spans="1:5">
      <c r="A3" s="1" t="s">
        <v>24</v>
      </c>
      <c r="B3" s="1" t="s">
        <v>23</v>
      </c>
      <c r="C3" s="1" t="s">
        <v>24</v>
      </c>
      <c r="E3" s="1" t="s">
        <v>110</v>
      </c>
    </row>
    <row r="4" spans="1:5">
      <c r="A4" s="1" t="s">
        <v>114</v>
      </c>
      <c r="B4" s="1" t="s">
        <v>364</v>
      </c>
      <c r="C4" s="1" t="s">
        <v>346</v>
      </c>
      <c r="E4" s="1" t="s">
        <v>112</v>
      </c>
    </row>
    <row r="5" spans="1:5">
      <c r="A5" s="1" t="s">
        <v>10</v>
      </c>
      <c r="B5" s="1" t="s">
        <v>10</v>
      </c>
      <c r="C5" s="1" t="s">
        <v>16</v>
      </c>
      <c r="E5" s="1" t="s">
        <v>115</v>
      </c>
    </row>
    <row r="6" spans="1:5">
      <c r="A6" s="1" t="s">
        <v>37</v>
      </c>
      <c r="B6" s="1" t="s">
        <v>7</v>
      </c>
      <c r="C6" s="1" t="s">
        <v>16</v>
      </c>
      <c r="E6" s="1" t="s">
        <v>117</v>
      </c>
    </row>
    <row r="7" spans="1:5">
      <c r="A7" s="1" t="s">
        <v>122</v>
      </c>
      <c r="B7" s="1" t="s">
        <v>122</v>
      </c>
      <c r="C7" s="1" t="s">
        <v>346</v>
      </c>
      <c r="E7" s="1" t="s">
        <v>119</v>
      </c>
    </row>
    <row r="8" spans="1:5">
      <c r="A8" s="1" t="s">
        <v>31</v>
      </c>
      <c r="B8" s="1" t="s">
        <v>55</v>
      </c>
      <c r="C8" s="1" t="s">
        <v>16</v>
      </c>
      <c r="E8" s="1" t="s">
        <v>120</v>
      </c>
    </row>
    <row r="9" spans="1:5">
      <c r="A9" s="1" t="s">
        <v>28</v>
      </c>
      <c r="B9" s="1" t="s">
        <v>27</v>
      </c>
      <c r="C9" s="1" t="s">
        <v>16</v>
      </c>
      <c r="E9" s="1" t="s">
        <v>123</v>
      </c>
    </row>
    <row r="10" spans="1:5">
      <c r="A10" s="1" t="s">
        <v>40</v>
      </c>
      <c r="B10" s="1" t="s">
        <v>51</v>
      </c>
      <c r="C10" s="1" t="s">
        <v>19</v>
      </c>
      <c r="E10" s="1" t="s">
        <v>124</v>
      </c>
    </row>
    <row r="11" spans="1:5">
      <c r="A11" s="1" t="s">
        <v>38</v>
      </c>
      <c r="B11" s="1" t="s">
        <v>49</v>
      </c>
      <c r="C11" s="1" t="s">
        <v>476</v>
      </c>
      <c r="E11" s="1" t="s">
        <v>126</v>
      </c>
    </row>
    <row r="12" spans="1:5">
      <c r="A12" s="1" t="s">
        <v>133</v>
      </c>
      <c r="B12" s="1" t="s">
        <v>15</v>
      </c>
      <c r="C12" s="1" t="s">
        <v>16</v>
      </c>
      <c r="E12" s="1" t="s">
        <v>128</v>
      </c>
    </row>
    <row r="13" spans="1:5">
      <c r="A13" s="1" t="s">
        <v>39</v>
      </c>
      <c r="B13" s="1" t="s">
        <v>50</v>
      </c>
      <c r="C13" s="1" t="s">
        <v>17</v>
      </c>
      <c r="E13" s="1" t="s">
        <v>130</v>
      </c>
    </row>
    <row r="14" spans="1:5">
      <c r="A14" s="1" t="s">
        <v>143</v>
      </c>
      <c r="B14" s="1" t="s">
        <v>372</v>
      </c>
      <c r="C14" s="1" t="s">
        <v>476</v>
      </c>
      <c r="E14" s="1" t="s">
        <v>131</v>
      </c>
    </row>
    <row r="15" spans="1:5">
      <c r="A15" s="1" t="s">
        <v>150</v>
      </c>
      <c r="B15" s="1" t="s">
        <v>52</v>
      </c>
      <c r="C15" s="1" t="s">
        <v>16</v>
      </c>
      <c r="E15" s="1" t="s">
        <v>134</v>
      </c>
    </row>
    <row r="16" spans="1:5">
      <c r="A16" s="1" t="s">
        <v>155</v>
      </c>
      <c r="B16" s="1" t="s">
        <v>48</v>
      </c>
      <c r="C16" s="1" t="s">
        <v>16</v>
      </c>
      <c r="E16" s="1" t="s">
        <v>136</v>
      </c>
    </row>
    <row r="17" spans="1:5">
      <c r="A17" s="1" t="s">
        <v>29</v>
      </c>
      <c r="B17" s="1" t="s">
        <v>53</v>
      </c>
      <c r="C17" s="1" t="s">
        <v>17</v>
      </c>
      <c r="E17" s="1" t="s">
        <v>137</v>
      </c>
    </row>
    <row r="18" spans="1:5">
      <c r="A18" s="1" t="s">
        <v>168</v>
      </c>
      <c r="B18" s="1" t="s">
        <v>493</v>
      </c>
      <c r="C18" s="1" t="s">
        <v>477</v>
      </c>
      <c r="E18" s="1" t="s">
        <v>139</v>
      </c>
    </row>
    <row r="19" spans="1:5">
      <c r="A19" s="1" t="s">
        <v>163</v>
      </c>
      <c r="B19" s="1" t="s">
        <v>12</v>
      </c>
      <c r="C19" s="1" t="s">
        <v>476</v>
      </c>
      <c r="E19" s="1" t="s">
        <v>141</v>
      </c>
    </row>
    <row r="20" spans="1:5">
      <c r="A20" s="1" t="s">
        <v>66</v>
      </c>
      <c r="B20" s="1" t="s">
        <v>358</v>
      </c>
      <c r="C20" s="1" t="s">
        <v>17</v>
      </c>
      <c r="E20" s="1" t="s">
        <v>140</v>
      </c>
    </row>
    <row r="21" spans="1:5">
      <c r="A21" s="1" t="s">
        <v>180</v>
      </c>
      <c r="B21" s="1" t="s">
        <v>295</v>
      </c>
      <c r="C21" s="1" t="s">
        <v>16</v>
      </c>
      <c r="E21" s="1" t="s">
        <v>144</v>
      </c>
    </row>
    <row r="22" spans="1:5">
      <c r="A22" s="1" t="s">
        <v>43</v>
      </c>
      <c r="B22" s="1" t="s">
        <v>57</v>
      </c>
      <c r="C22" s="1" t="s">
        <v>44</v>
      </c>
      <c r="E22" s="1" t="s">
        <v>145</v>
      </c>
    </row>
    <row r="23" spans="1:5">
      <c r="A23" s="1" t="s">
        <v>184</v>
      </c>
      <c r="B23" s="1" t="s">
        <v>13</v>
      </c>
      <c r="C23" s="1" t="s">
        <v>476</v>
      </c>
      <c r="E23" s="1" t="s">
        <v>147</v>
      </c>
    </row>
    <row r="24" spans="1:5">
      <c r="A24" s="1" t="s">
        <v>26</v>
      </c>
      <c r="B24" s="1" t="s">
        <v>25</v>
      </c>
      <c r="C24" s="1" t="s">
        <v>16</v>
      </c>
      <c r="E24" s="1" t="s">
        <v>146</v>
      </c>
    </row>
    <row r="25" spans="1:5">
      <c r="A25" s="1" t="s">
        <v>192</v>
      </c>
      <c r="B25" s="1" t="s">
        <v>494</v>
      </c>
      <c r="C25" s="1" t="s">
        <v>369</v>
      </c>
      <c r="E25" s="1" t="s">
        <v>151</v>
      </c>
    </row>
    <row r="26" spans="1:5">
      <c r="A26" s="1" t="s">
        <v>35</v>
      </c>
      <c r="B26" s="1" t="s">
        <v>56</v>
      </c>
      <c r="C26" s="1" t="s">
        <v>18</v>
      </c>
      <c r="E26" s="1" t="s">
        <v>148</v>
      </c>
    </row>
    <row r="27" spans="1:5">
      <c r="A27" s="1" t="s">
        <v>71</v>
      </c>
      <c r="B27" s="1" t="s">
        <v>72</v>
      </c>
      <c r="C27" s="1" t="s">
        <v>16</v>
      </c>
      <c r="E27" s="1" t="s">
        <v>152</v>
      </c>
    </row>
    <row r="28" spans="1:5">
      <c r="A28" s="1" t="s">
        <v>216</v>
      </c>
      <c r="B28" s="1" t="s">
        <v>11</v>
      </c>
      <c r="C28" s="1" t="s">
        <v>20</v>
      </c>
      <c r="E28" s="1" t="s">
        <v>153</v>
      </c>
    </row>
    <row r="29" spans="1:5">
      <c r="A29" s="1" t="s">
        <v>252</v>
      </c>
      <c r="B29" s="1" t="s">
        <v>368</v>
      </c>
      <c r="C29" s="1" t="s">
        <v>478</v>
      </c>
      <c r="E29" s="1" t="s">
        <v>159</v>
      </c>
    </row>
    <row r="30" spans="1:5">
      <c r="A30" s="1" t="s">
        <v>14</v>
      </c>
      <c r="B30" s="1" t="s">
        <v>14</v>
      </c>
      <c r="C30" s="1" t="s">
        <v>20</v>
      </c>
      <c r="E30" s="1" t="s">
        <v>156</v>
      </c>
    </row>
    <row r="31" spans="1:5">
      <c r="A31" s="1" t="s">
        <v>260</v>
      </c>
      <c r="B31" s="1" t="s">
        <v>393</v>
      </c>
      <c r="C31" s="1" t="s">
        <v>479</v>
      </c>
      <c r="E31" s="1" t="s">
        <v>160</v>
      </c>
    </row>
    <row r="32" spans="1:5">
      <c r="A32" s="1" t="s">
        <v>374</v>
      </c>
      <c r="B32" s="1" t="s">
        <v>373</v>
      </c>
      <c r="C32" s="1" t="s">
        <v>478</v>
      </c>
      <c r="E32" s="1" t="s">
        <v>154</v>
      </c>
    </row>
    <row r="33" spans="1:5">
      <c r="A33" s="1" t="s">
        <v>30</v>
      </c>
      <c r="B33" s="1" t="s">
        <v>54</v>
      </c>
      <c r="C33" s="1" t="s">
        <v>20</v>
      </c>
      <c r="E33" s="1" t="s">
        <v>164</v>
      </c>
    </row>
    <row r="34" spans="1:5">
      <c r="A34" s="1" t="s">
        <v>264</v>
      </c>
      <c r="B34" s="1" t="s">
        <v>351</v>
      </c>
      <c r="C34" s="1" t="s">
        <v>478</v>
      </c>
      <c r="E34" s="1" t="s">
        <v>157</v>
      </c>
    </row>
    <row r="35" spans="1:5">
      <c r="A35" s="1" t="s">
        <v>267</v>
      </c>
      <c r="B35" s="1" t="s">
        <v>475</v>
      </c>
      <c r="C35" s="1" t="s">
        <v>20</v>
      </c>
      <c r="E35" s="1" t="s">
        <v>166</v>
      </c>
    </row>
    <row r="36" spans="1:5">
      <c r="A36" s="1" t="s">
        <v>270</v>
      </c>
      <c r="B36" s="1" t="s">
        <v>376</v>
      </c>
      <c r="C36" s="1" t="s">
        <v>478</v>
      </c>
      <c r="E36" s="1" t="s">
        <v>165</v>
      </c>
    </row>
    <row r="37" spans="1:5">
      <c r="A37" s="1" t="s">
        <v>283</v>
      </c>
      <c r="B37" s="1" t="s">
        <v>8</v>
      </c>
      <c r="C37" s="1" t="s">
        <v>476</v>
      </c>
      <c r="E37" s="1" t="s">
        <v>169</v>
      </c>
    </row>
    <row r="38" spans="1:5">
      <c r="A38" s="1" t="s">
        <v>281</v>
      </c>
      <c r="B38" s="1" t="s">
        <v>310</v>
      </c>
      <c r="C38" s="1" t="s">
        <v>18</v>
      </c>
      <c r="E38" s="1" t="s">
        <v>161</v>
      </c>
    </row>
    <row r="39" spans="1:5">
      <c r="A39" s="1" t="s">
        <v>417</v>
      </c>
      <c r="B39" s="1" t="s">
        <v>353</v>
      </c>
      <c r="C39" s="1" t="s">
        <v>4</v>
      </c>
      <c r="E39" s="1" t="s">
        <v>181</v>
      </c>
    </row>
    <row r="40" spans="1:5">
      <c r="A40" s="1" t="s">
        <v>304</v>
      </c>
      <c r="B40" s="1" t="s">
        <v>495</v>
      </c>
      <c r="C40" s="1" t="s">
        <v>18</v>
      </c>
      <c r="E40" s="1" t="s">
        <v>170</v>
      </c>
    </row>
    <row r="41" spans="1:5">
      <c r="A41" s="1" t="s">
        <v>305</v>
      </c>
      <c r="B41" s="1" t="s">
        <v>496</v>
      </c>
      <c r="C41" s="1" t="s">
        <v>19</v>
      </c>
      <c r="E41" s="1" t="s">
        <v>173</v>
      </c>
    </row>
    <row r="42" spans="1:5">
      <c r="A42" s="1" t="s">
        <v>309</v>
      </c>
      <c r="B42" s="1" t="s">
        <v>497</v>
      </c>
      <c r="C42" s="1" t="s">
        <v>19</v>
      </c>
      <c r="E42" s="1" t="s">
        <v>171</v>
      </c>
    </row>
    <row r="43" spans="1:5">
      <c r="A43" s="1" t="s">
        <v>68</v>
      </c>
      <c r="B43" s="1" t="s">
        <v>69</v>
      </c>
      <c r="C43" s="1" t="s">
        <v>18</v>
      </c>
      <c r="E43" s="1" t="s">
        <v>195</v>
      </c>
    </row>
    <row r="44" spans="1:5">
      <c r="A44" s="1" t="s">
        <v>424</v>
      </c>
      <c r="B44" s="1" t="s">
        <v>60</v>
      </c>
      <c r="C44" s="1" t="s">
        <v>4</v>
      </c>
      <c r="E44" s="1" t="s">
        <v>178</v>
      </c>
    </row>
    <row r="45" spans="1:5">
      <c r="A45" s="1" t="s">
        <v>366</v>
      </c>
      <c r="B45" s="1" t="s">
        <v>498</v>
      </c>
      <c r="C45" s="1" t="s">
        <v>18</v>
      </c>
      <c r="E45" s="1" t="s">
        <v>174</v>
      </c>
    </row>
    <row r="46" spans="1:5">
      <c r="A46" s="1" t="s">
        <v>362</v>
      </c>
      <c r="B46" s="1" t="s">
        <v>361</v>
      </c>
      <c r="C46" s="1" t="s">
        <v>478</v>
      </c>
      <c r="E46" s="1" t="s">
        <v>182</v>
      </c>
    </row>
    <row r="47" spans="1:5">
      <c r="A47" s="1" t="s">
        <v>356</v>
      </c>
      <c r="B47" s="1" t="s">
        <v>64</v>
      </c>
      <c r="C47" s="1" t="s">
        <v>478</v>
      </c>
      <c r="E47" s="1" t="s">
        <v>176</v>
      </c>
    </row>
    <row r="48" spans="1:5">
      <c r="A48" s="1" t="s">
        <v>284</v>
      </c>
      <c r="B48" s="1" t="s">
        <v>9</v>
      </c>
      <c r="C48" s="1" t="s">
        <v>18</v>
      </c>
      <c r="E48" s="1" t="s">
        <v>187</v>
      </c>
    </row>
    <row r="49" spans="1:5">
      <c r="A49" s="1" t="s">
        <v>419</v>
      </c>
      <c r="B49" s="1" t="s">
        <v>370</v>
      </c>
      <c r="C49" s="1" t="s">
        <v>20</v>
      </c>
      <c r="E49" s="1" t="s">
        <v>186</v>
      </c>
    </row>
    <row r="50" spans="1:5">
      <c r="A50" s="1" t="s">
        <v>421</v>
      </c>
      <c r="B50" s="1" t="s">
        <v>369</v>
      </c>
      <c r="C50" s="1" t="s">
        <v>478</v>
      </c>
      <c r="E50" s="1" t="s">
        <v>200</v>
      </c>
    </row>
    <row r="51" spans="1:5">
      <c r="B51" s="1" t="s">
        <v>510</v>
      </c>
      <c r="E51" s="1" t="s">
        <v>185</v>
      </c>
    </row>
    <row r="52" spans="1:5">
      <c r="B52" s="1" t="s">
        <v>518</v>
      </c>
      <c r="E52" s="1" t="s">
        <v>190</v>
      </c>
    </row>
    <row r="53" spans="1:5">
      <c r="B53" s="1" t="s">
        <v>525</v>
      </c>
      <c r="E53" s="1" t="s">
        <v>188</v>
      </c>
    </row>
    <row r="54" spans="1:5">
      <c r="B54" s="1" t="s">
        <v>499</v>
      </c>
      <c r="E54" s="1" t="s">
        <v>194</v>
      </c>
    </row>
    <row r="55" spans="1:5">
      <c r="B55" s="1" t="s">
        <v>499</v>
      </c>
      <c r="E55" s="1" t="s">
        <v>199</v>
      </c>
    </row>
    <row r="56" spans="1:5">
      <c r="B56" s="1" t="s">
        <v>499</v>
      </c>
      <c r="E56" s="1" t="s">
        <v>193</v>
      </c>
    </row>
    <row r="57" spans="1:5">
      <c r="B57" s="1" t="s">
        <v>499</v>
      </c>
      <c r="E57" s="1" t="s">
        <v>189</v>
      </c>
    </row>
    <row r="58" spans="1:5">
      <c r="B58" s="1" t="s">
        <v>499</v>
      </c>
      <c r="E58" s="1" t="s">
        <v>198</v>
      </c>
    </row>
    <row r="59" spans="1:5">
      <c r="B59" s="1" t="s">
        <v>499</v>
      </c>
      <c r="E59" s="1" t="s">
        <v>196</v>
      </c>
    </row>
    <row r="60" spans="1:5">
      <c r="B60" s="1" t="s">
        <v>499</v>
      </c>
      <c r="E60" s="1" t="s">
        <v>202</v>
      </c>
    </row>
    <row r="61" spans="1:5">
      <c r="B61" s="1" t="s">
        <v>499</v>
      </c>
      <c r="E61" s="1" t="s">
        <v>197</v>
      </c>
    </row>
    <row r="62" spans="1:5">
      <c r="B62" s="1" t="s">
        <v>499</v>
      </c>
      <c r="E62" s="1" t="s">
        <v>201</v>
      </c>
    </row>
    <row r="63" spans="1:5">
      <c r="B63" s="1" t="s">
        <v>499</v>
      </c>
      <c r="E63" s="1" t="s">
        <v>218</v>
      </c>
    </row>
    <row r="64" spans="1:5">
      <c r="B64" s="1" t="s">
        <v>499</v>
      </c>
      <c r="E64" s="1" t="s">
        <v>204</v>
      </c>
    </row>
    <row r="65" spans="2:5">
      <c r="B65" s="1" t="s">
        <v>499</v>
      </c>
      <c r="E65" s="1" t="s">
        <v>213</v>
      </c>
    </row>
    <row r="66" spans="2:5">
      <c r="B66" s="1" t="s">
        <v>499</v>
      </c>
      <c r="E66" s="1" t="s">
        <v>208</v>
      </c>
    </row>
    <row r="67" spans="2:5">
      <c r="B67" s="1" t="s">
        <v>499</v>
      </c>
      <c r="E67" s="1" t="s">
        <v>207</v>
      </c>
    </row>
    <row r="68" spans="2:5">
      <c r="B68" s="1" t="s">
        <v>499</v>
      </c>
      <c r="E68" s="1" t="s">
        <v>205</v>
      </c>
    </row>
    <row r="69" spans="2:5">
      <c r="B69" s="1" t="s">
        <v>499</v>
      </c>
      <c r="E69" s="1" t="s">
        <v>203</v>
      </c>
    </row>
    <row r="70" spans="2:5">
      <c r="B70" s="1" t="s">
        <v>499</v>
      </c>
      <c r="E70" s="1" t="s">
        <v>210</v>
      </c>
    </row>
    <row r="71" spans="2:5">
      <c r="B71" s="1" t="s">
        <v>499</v>
      </c>
      <c r="E71" s="1" t="s">
        <v>214</v>
      </c>
    </row>
    <row r="72" spans="2:5">
      <c r="B72" s="1" t="s">
        <v>499</v>
      </c>
      <c r="E72" s="1" t="s">
        <v>217</v>
      </c>
    </row>
    <row r="73" spans="2:5">
      <c r="B73" s="1" t="s">
        <v>499</v>
      </c>
      <c r="E73" s="1" t="s">
        <v>212</v>
      </c>
    </row>
    <row r="74" spans="2:5">
      <c r="B74" s="1" t="s">
        <v>499</v>
      </c>
      <c r="E74" s="1" t="s">
        <v>223</v>
      </c>
    </row>
    <row r="75" spans="2:5">
      <c r="B75" s="1" t="s">
        <v>499</v>
      </c>
      <c r="E75" s="1" t="s">
        <v>221</v>
      </c>
    </row>
    <row r="76" spans="2:5">
      <c r="B76" s="1" t="s">
        <v>499</v>
      </c>
      <c r="E76" s="1" t="s">
        <v>227</v>
      </c>
    </row>
    <row r="77" spans="2:5">
      <c r="B77" s="1" t="s">
        <v>499</v>
      </c>
      <c r="E77" s="1" t="s">
        <v>219</v>
      </c>
    </row>
    <row r="78" spans="2:5">
      <c r="B78" s="1" t="s">
        <v>499</v>
      </c>
      <c r="E78" s="1" t="s">
        <v>250</v>
      </c>
    </row>
    <row r="79" spans="2:5">
      <c r="B79" s="1" t="s">
        <v>499</v>
      </c>
      <c r="E79" s="1" t="s">
        <v>225</v>
      </c>
    </row>
    <row r="80" spans="2:5">
      <c r="B80" s="1" t="s">
        <v>499</v>
      </c>
      <c r="E80" s="1" t="s">
        <v>233</v>
      </c>
    </row>
    <row r="81" spans="2:5">
      <c r="B81" s="1" t="s">
        <v>499</v>
      </c>
      <c r="E81" s="1" t="s">
        <v>222</v>
      </c>
    </row>
    <row r="82" spans="2:5">
      <c r="B82" s="1" t="s">
        <v>499</v>
      </c>
      <c r="E82" s="1" t="s">
        <v>206</v>
      </c>
    </row>
    <row r="83" spans="2:5">
      <c r="B83" s="1" t="s">
        <v>499</v>
      </c>
      <c r="E83" s="1" t="s">
        <v>224</v>
      </c>
    </row>
    <row r="84" spans="2:5">
      <c r="B84" s="1" t="s">
        <v>499</v>
      </c>
      <c r="E84" s="1" t="s">
        <v>228</v>
      </c>
    </row>
    <row r="85" spans="2:5">
      <c r="B85" s="1" t="s">
        <v>499</v>
      </c>
      <c r="E85" s="1" t="s">
        <v>229</v>
      </c>
    </row>
    <row r="86" spans="2:5">
      <c r="B86" s="1" t="s">
        <v>499</v>
      </c>
      <c r="E86" s="1" t="s">
        <v>232</v>
      </c>
    </row>
    <row r="87" spans="2:5">
      <c r="B87" s="1" t="s">
        <v>499</v>
      </c>
      <c r="E87" s="1" t="s">
        <v>220</v>
      </c>
    </row>
    <row r="88" spans="2:5">
      <c r="B88" s="1" t="s">
        <v>499</v>
      </c>
      <c r="E88" s="1" t="s">
        <v>241</v>
      </c>
    </row>
    <row r="89" spans="2:5">
      <c r="B89" s="1" t="s">
        <v>499</v>
      </c>
      <c r="E89" s="1" t="s">
        <v>231</v>
      </c>
    </row>
    <row r="90" spans="2:5">
      <c r="B90" s="1" t="s">
        <v>499</v>
      </c>
      <c r="E90" s="1" t="s">
        <v>226</v>
      </c>
    </row>
    <row r="91" spans="2:5">
      <c r="B91" s="1" t="s">
        <v>499</v>
      </c>
      <c r="E91" s="1" t="s">
        <v>234</v>
      </c>
    </row>
    <row r="92" spans="2:5">
      <c r="B92" s="1" t="s">
        <v>499</v>
      </c>
      <c r="E92" s="1" t="s">
        <v>230</v>
      </c>
    </row>
    <row r="93" spans="2:5">
      <c r="B93" s="1" t="s">
        <v>499</v>
      </c>
      <c r="E93" s="1" t="s">
        <v>235</v>
      </c>
    </row>
    <row r="94" spans="2:5">
      <c r="B94" s="1" t="s">
        <v>499</v>
      </c>
      <c r="E94" s="1" t="s">
        <v>246</v>
      </c>
    </row>
    <row r="95" spans="2:5">
      <c r="B95" s="1" t="s">
        <v>499</v>
      </c>
      <c r="E95" s="1" t="s">
        <v>243</v>
      </c>
    </row>
    <row r="96" spans="2:5">
      <c r="B96" s="1" t="s">
        <v>499</v>
      </c>
      <c r="E96" s="1" t="s">
        <v>242</v>
      </c>
    </row>
    <row r="97" spans="2:5">
      <c r="B97" s="1" t="s">
        <v>499</v>
      </c>
      <c r="E97" s="1" t="s">
        <v>239</v>
      </c>
    </row>
    <row r="98" spans="2:5">
      <c r="B98" s="1" t="s">
        <v>499</v>
      </c>
      <c r="E98" s="1" t="s">
        <v>240</v>
      </c>
    </row>
    <row r="99" spans="2:5">
      <c r="B99" s="1" t="s">
        <v>499</v>
      </c>
      <c r="E99" s="1" t="s">
        <v>237</v>
      </c>
    </row>
    <row r="100" spans="2:5">
      <c r="B100" s="1" t="s">
        <v>499</v>
      </c>
      <c r="E100" s="1" t="s">
        <v>236</v>
      </c>
    </row>
    <row r="101" spans="2:5">
      <c r="B101" s="1" t="s">
        <v>499</v>
      </c>
      <c r="E101" s="1" t="s">
        <v>238</v>
      </c>
    </row>
    <row r="102" spans="2:5">
      <c r="B102" s="1" t="s">
        <v>499</v>
      </c>
      <c r="E102" s="1" t="s">
        <v>245</v>
      </c>
    </row>
    <row r="103" spans="2:5">
      <c r="B103" s="1" t="s">
        <v>499</v>
      </c>
      <c r="E103" s="1" t="s">
        <v>248</v>
      </c>
    </row>
    <row r="104" spans="2:5">
      <c r="B104" s="1" t="s">
        <v>499</v>
      </c>
      <c r="E104" s="1" t="s">
        <v>253</v>
      </c>
    </row>
    <row r="105" spans="2:5">
      <c r="B105" s="1" t="s">
        <v>499</v>
      </c>
      <c r="E105" s="1" t="s">
        <v>249</v>
      </c>
    </row>
    <row r="106" spans="2:5">
      <c r="B106" s="1" t="s">
        <v>499</v>
      </c>
      <c r="E106" s="1" t="s">
        <v>244</v>
      </c>
    </row>
    <row r="107" spans="2:5">
      <c r="B107" s="1" t="s">
        <v>499</v>
      </c>
      <c r="E107" s="1" t="s">
        <v>247</v>
      </c>
    </row>
    <row r="108" spans="2:5">
      <c r="B108" s="1" t="s">
        <v>499</v>
      </c>
      <c r="E108" s="1" t="s">
        <v>256</v>
      </c>
    </row>
    <row r="109" spans="2:5">
      <c r="B109" s="1" t="s">
        <v>499</v>
      </c>
      <c r="E109" s="1" t="s">
        <v>255</v>
      </c>
    </row>
    <row r="110" spans="2:5">
      <c r="B110" s="1" t="s">
        <v>499</v>
      </c>
      <c r="E110" s="1" t="s">
        <v>257</v>
      </c>
    </row>
    <row r="111" spans="2:5">
      <c r="B111" s="1" t="s">
        <v>499</v>
      </c>
      <c r="E111" s="1" t="s">
        <v>254</v>
      </c>
    </row>
    <row r="112" spans="2:5">
      <c r="B112" s="1" t="s">
        <v>499</v>
      </c>
      <c r="E112" s="1" t="s">
        <v>259</v>
      </c>
    </row>
    <row r="113" spans="2:5">
      <c r="B113" s="1" t="s">
        <v>499</v>
      </c>
      <c r="E113" s="1" t="s">
        <v>261</v>
      </c>
    </row>
    <row r="114" spans="2:5">
      <c r="B114" s="1" t="s">
        <v>499</v>
      </c>
      <c r="E114" s="1" t="s">
        <v>258</v>
      </c>
    </row>
    <row r="115" spans="2:5">
      <c r="B115" s="1" t="s">
        <v>499</v>
      </c>
      <c r="E115" s="1" t="s">
        <v>262</v>
      </c>
    </row>
    <row r="116" spans="2:5">
      <c r="B116" s="1" t="s">
        <v>499</v>
      </c>
      <c r="E116" s="1" t="s">
        <v>265</v>
      </c>
    </row>
    <row r="117" spans="2:5">
      <c r="B117" s="1" t="s">
        <v>499</v>
      </c>
      <c r="E117" s="1" t="s">
        <v>271</v>
      </c>
    </row>
    <row r="118" spans="2:5">
      <c r="B118" s="1" t="s">
        <v>499</v>
      </c>
      <c r="E118" s="1" t="s">
        <v>274</v>
      </c>
    </row>
    <row r="119" spans="2:5">
      <c r="B119" s="1" t="s">
        <v>499</v>
      </c>
      <c r="E119" s="1" t="s">
        <v>273</v>
      </c>
    </row>
    <row r="120" spans="2:5">
      <c r="B120" s="1" t="s">
        <v>499</v>
      </c>
      <c r="E120" s="1" t="s">
        <v>268</v>
      </c>
    </row>
    <row r="121" spans="2:5">
      <c r="B121" s="1" t="s">
        <v>499</v>
      </c>
      <c r="E121" s="1" t="s">
        <v>272</v>
      </c>
    </row>
    <row r="122" spans="2:5">
      <c r="B122" s="1" t="s">
        <v>499</v>
      </c>
      <c r="E122" s="1" t="s">
        <v>276</v>
      </c>
    </row>
    <row r="123" spans="2:5">
      <c r="B123" s="1" t="s">
        <v>499</v>
      </c>
      <c r="E123" s="1" t="s">
        <v>277</v>
      </c>
    </row>
    <row r="124" spans="2:5">
      <c r="B124" s="1" t="s">
        <v>499</v>
      </c>
      <c r="E124" s="1" t="s">
        <v>275</v>
      </c>
    </row>
    <row r="125" spans="2:5">
      <c r="B125" s="1" t="s">
        <v>499</v>
      </c>
      <c r="E125" s="1" t="s">
        <v>289</v>
      </c>
    </row>
    <row r="126" spans="2:5">
      <c r="B126" s="1" t="s">
        <v>499</v>
      </c>
      <c r="E126" s="1" t="s">
        <v>278</v>
      </c>
    </row>
    <row r="127" spans="2:5">
      <c r="B127" s="1" t="s">
        <v>499</v>
      </c>
      <c r="E127" s="1" t="s">
        <v>279</v>
      </c>
    </row>
    <row r="128" spans="2:5">
      <c r="B128" s="1" t="s">
        <v>499</v>
      </c>
      <c r="E128" s="1" t="s">
        <v>298</v>
      </c>
    </row>
    <row r="129" spans="2:5">
      <c r="B129" s="1" t="s">
        <v>499</v>
      </c>
      <c r="E129" s="1" t="s">
        <v>299</v>
      </c>
    </row>
    <row r="130" spans="2:5">
      <c r="B130" s="1" t="s">
        <v>499</v>
      </c>
      <c r="E130" s="1" t="s">
        <v>300</v>
      </c>
    </row>
    <row r="131" spans="2:5">
      <c r="B131" s="1" t="s">
        <v>499</v>
      </c>
      <c r="E131" s="1" t="s">
        <v>293</v>
      </c>
    </row>
    <row r="132" spans="2:5">
      <c r="B132" s="1" t="s">
        <v>499</v>
      </c>
      <c r="E132" s="1" t="s">
        <v>292</v>
      </c>
    </row>
    <row r="133" spans="2:5">
      <c r="B133" s="1" t="s">
        <v>499</v>
      </c>
      <c r="E133" s="1" t="s">
        <v>291</v>
      </c>
    </row>
    <row r="134" spans="2:5">
      <c r="B134" s="1" t="s">
        <v>499</v>
      </c>
      <c r="E134" s="1" t="s">
        <v>290</v>
      </c>
    </row>
    <row r="135" spans="2:5">
      <c r="B135" s="1" t="s">
        <v>499</v>
      </c>
      <c r="E135" s="1" t="s">
        <v>288</v>
      </c>
    </row>
    <row r="136" spans="2:5">
      <c r="B136" s="1" t="s">
        <v>499</v>
      </c>
      <c r="E136" s="1" t="s">
        <v>311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4EBA8-F0DA-4C6A-B7A1-D975EC38FD52}">
  <sheetPr codeName="Sheet8"/>
  <dimension ref="A3:M70"/>
  <sheetViews>
    <sheetView workbookViewId="0">
      <selection activeCell="K34" sqref="K34"/>
    </sheetView>
  </sheetViews>
  <sheetFormatPr defaultRowHeight="15"/>
  <cols>
    <col min="1" max="1" width="17.85546875" style="1" bestFit="1" customWidth="1"/>
    <col min="2" max="2" width="16.28515625" style="1" bestFit="1" customWidth="1"/>
    <col min="3" max="3" width="6.140625" style="1" bestFit="1" customWidth="1"/>
    <col min="4" max="4" width="9.140625" style="1" bestFit="1" customWidth="1"/>
    <col min="5" max="5" width="11.140625" style="1" bestFit="1" customWidth="1"/>
    <col min="6" max="6" width="13.5703125" style="1" bestFit="1" customWidth="1"/>
    <col min="7" max="7" width="11.42578125" style="1" bestFit="1" customWidth="1"/>
    <col min="8" max="9" width="13.7109375" style="1" customWidth="1"/>
    <col min="10" max="10" width="7.140625" style="1" bestFit="1" customWidth="1"/>
    <col min="11" max="11" width="10.42578125" style="1" bestFit="1" customWidth="1"/>
    <col min="12" max="12" width="13.5703125" style="1" bestFit="1" customWidth="1"/>
    <col min="13" max="13" width="11.28515625" style="1" bestFit="1" customWidth="1"/>
    <col min="14" max="16384" width="9.140625" style="1"/>
  </cols>
  <sheetData>
    <row r="3" spans="1:13">
      <c r="A3" s="134" t="s">
        <v>315</v>
      </c>
      <c r="B3" s="134" t="s">
        <v>312</v>
      </c>
    </row>
    <row r="4" spans="1:13">
      <c r="A4" s="134" t="s">
        <v>316</v>
      </c>
      <c r="B4" s="1" t="s">
        <v>6</v>
      </c>
      <c r="C4" s="1" t="s">
        <v>22</v>
      </c>
      <c r="D4" s="1" t="s">
        <v>32</v>
      </c>
      <c r="E4" s="1" t="s">
        <v>296</v>
      </c>
      <c r="F4" s="1" t="s">
        <v>97</v>
      </c>
      <c r="G4" s="1" t="s">
        <v>34</v>
      </c>
      <c r="H4" s="1" t="s">
        <v>41</v>
      </c>
      <c r="I4" s="1" t="s">
        <v>42</v>
      </c>
      <c r="J4" s="1" t="s">
        <v>5</v>
      </c>
      <c r="K4" s="1" t="s">
        <v>59</v>
      </c>
      <c r="L4" s="1" t="s">
        <v>45</v>
      </c>
      <c r="M4" s="1" t="s">
        <v>294</v>
      </c>
    </row>
    <row r="5" spans="1:13">
      <c r="A5" s="6" t="s">
        <v>281</v>
      </c>
      <c r="B5" s="135"/>
      <c r="C5" s="135"/>
      <c r="D5" s="135"/>
      <c r="E5" s="135"/>
      <c r="F5" s="135"/>
      <c r="G5" s="135"/>
      <c r="H5" s="135"/>
      <c r="I5" s="135"/>
      <c r="J5" s="135"/>
      <c r="K5" s="135"/>
      <c r="L5" s="135">
        <v>1.2552677944948907E-3</v>
      </c>
      <c r="M5" s="135">
        <v>1.2552677944948907E-3</v>
      </c>
    </row>
    <row r="6" spans="1:13">
      <c r="A6" s="6" t="s">
        <v>28</v>
      </c>
      <c r="B6" s="135"/>
      <c r="C6" s="135">
        <v>6.6292017716666953E-3</v>
      </c>
      <c r="D6" s="135"/>
      <c r="E6" s="135"/>
      <c r="F6" s="135">
        <v>2.597845460135656E-2</v>
      </c>
      <c r="G6" s="135"/>
      <c r="H6" s="135"/>
      <c r="I6" s="135"/>
      <c r="J6" s="135"/>
      <c r="K6" s="135">
        <v>4.6172567170766846E-3</v>
      </c>
      <c r="L6" s="135"/>
      <c r="M6" s="135">
        <v>3.722491309009994E-2</v>
      </c>
    </row>
    <row r="7" spans="1:13">
      <c r="A7" s="6" t="s">
        <v>4</v>
      </c>
      <c r="B7" s="135">
        <v>0.11482628239377231</v>
      </c>
      <c r="C7" s="135">
        <v>2.2450834733630361E-2</v>
      </c>
      <c r="D7" s="135">
        <v>1.3779153887252676E-2</v>
      </c>
      <c r="E7" s="135"/>
      <c r="F7" s="135">
        <v>8.3134228453091152E-2</v>
      </c>
      <c r="G7" s="135"/>
      <c r="H7" s="135"/>
      <c r="I7" s="135"/>
      <c r="J7" s="135">
        <v>0.17857783437879468</v>
      </c>
      <c r="K7" s="135">
        <v>0.13689589386985537</v>
      </c>
      <c r="L7" s="135"/>
      <c r="M7" s="135">
        <v>0.54966422771639656</v>
      </c>
    </row>
    <row r="8" spans="1:13">
      <c r="A8" s="6" t="s">
        <v>10</v>
      </c>
      <c r="B8" s="135">
        <v>4.0038845761455798E-2</v>
      </c>
      <c r="C8" s="135"/>
      <c r="D8" s="135"/>
      <c r="E8" s="135"/>
      <c r="F8" s="135"/>
      <c r="G8" s="135"/>
      <c r="H8" s="135"/>
      <c r="I8" s="135"/>
      <c r="J8" s="135"/>
      <c r="K8" s="135">
        <v>2.79155299133656E-4</v>
      </c>
      <c r="L8" s="135"/>
      <c r="M8" s="135">
        <v>4.0318001060589456E-2</v>
      </c>
    </row>
    <row r="9" spans="1:13">
      <c r="A9" s="6" t="s">
        <v>31</v>
      </c>
      <c r="B9" s="135"/>
      <c r="C9" s="135"/>
      <c r="D9" s="135">
        <v>4.117798125226676E-3</v>
      </c>
      <c r="E9" s="135"/>
      <c r="F9" s="135"/>
      <c r="G9" s="135">
        <v>1.1735968786352625E-2</v>
      </c>
      <c r="H9" s="135"/>
      <c r="I9" s="135"/>
      <c r="J9" s="135"/>
      <c r="K9" s="135"/>
      <c r="L9" s="135"/>
      <c r="M9" s="135">
        <v>1.58537669115793E-2</v>
      </c>
    </row>
    <row r="10" spans="1:13">
      <c r="A10" s="6" t="s">
        <v>283</v>
      </c>
      <c r="B10" s="135">
        <v>1.1696994457098681E-3</v>
      </c>
      <c r="C10" s="135"/>
      <c r="D10" s="135"/>
      <c r="E10" s="135"/>
      <c r="F10" s="135"/>
      <c r="G10" s="135"/>
      <c r="H10" s="135"/>
      <c r="I10" s="135"/>
      <c r="J10" s="135"/>
      <c r="K10" s="135"/>
      <c r="L10" s="135"/>
      <c r="M10" s="135">
        <v>1.1696994457098681E-3</v>
      </c>
    </row>
    <row r="11" spans="1:13">
      <c r="A11" s="6" t="s">
        <v>38</v>
      </c>
      <c r="B11" s="135">
        <v>3.9191873983420123E-3</v>
      </c>
      <c r="C11" s="135"/>
      <c r="D11" s="135"/>
      <c r="E11" s="135"/>
      <c r="F11" s="135"/>
      <c r="G11" s="135"/>
      <c r="H11" s="135"/>
      <c r="I11" s="135"/>
      <c r="J11" s="135"/>
      <c r="K11" s="135"/>
      <c r="L11" s="135"/>
      <c r="M11" s="135">
        <v>3.9191873983420123E-3</v>
      </c>
    </row>
    <row r="12" spans="1:13">
      <c r="A12" s="6" t="s">
        <v>150</v>
      </c>
      <c r="B12" s="135">
        <v>9.6837674205329074E-4</v>
      </c>
      <c r="C12" s="135"/>
      <c r="D12" s="135"/>
      <c r="E12" s="135"/>
      <c r="F12" s="135"/>
      <c r="G12" s="135"/>
      <c r="H12" s="135">
        <v>4.3245538981511733E-3</v>
      </c>
      <c r="I12" s="135">
        <v>3.0635624811201768E-3</v>
      </c>
      <c r="J12" s="135"/>
      <c r="K12" s="135"/>
      <c r="L12" s="135"/>
      <c r="M12" s="135">
        <v>8.3564931213246409E-3</v>
      </c>
    </row>
    <row r="13" spans="1:13">
      <c r="A13" s="6" t="s">
        <v>180</v>
      </c>
      <c r="B13" s="135"/>
      <c r="C13" s="135"/>
      <c r="D13" s="135"/>
      <c r="E13" s="135">
        <v>1.1369975576350401E-2</v>
      </c>
      <c r="F13" s="135"/>
      <c r="G13" s="135"/>
      <c r="H13" s="135"/>
      <c r="I13" s="135"/>
      <c r="J13" s="135"/>
      <c r="K13" s="135"/>
      <c r="L13" s="135"/>
      <c r="M13" s="135">
        <v>1.1369975576350401E-2</v>
      </c>
    </row>
    <row r="14" spans="1:13">
      <c r="A14" s="6" t="s">
        <v>40</v>
      </c>
      <c r="B14" s="135">
        <v>2.3591966780519224E-3</v>
      </c>
      <c r="C14" s="135"/>
      <c r="D14" s="135"/>
      <c r="E14" s="135"/>
      <c r="F14" s="135"/>
      <c r="G14" s="135"/>
      <c r="H14" s="135"/>
      <c r="I14" s="135"/>
      <c r="J14" s="135"/>
      <c r="K14" s="135"/>
      <c r="L14" s="135"/>
      <c r="M14" s="135">
        <v>2.3591966780519224E-3</v>
      </c>
    </row>
    <row r="15" spans="1:13">
      <c r="A15" s="6" t="s">
        <v>24</v>
      </c>
      <c r="B15" s="135"/>
      <c r="C15" s="135">
        <v>1.7932639378074818E-2</v>
      </c>
      <c r="D15" s="135">
        <v>6.2792672240880388E-3</v>
      </c>
      <c r="E15" s="135">
        <v>4.7390696030853117E-4</v>
      </c>
      <c r="F15" s="135">
        <v>0.23102964315040894</v>
      </c>
      <c r="G15" s="135"/>
      <c r="H15" s="135"/>
      <c r="I15" s="135"/>
      <c r="J15" s="135"/>
      <c r="K15" s="135">
        <v>8.9094508538003873E-3</v>
      </c>
      <c r="L15" s="135"/>
      <c r="M15" s="135">
        <v>0.26462490756668072</v>
      </c>
    </row>
    <row r="16" spans="1:13">
      <c r="A16" s="6" t="s">
        <v>71</v>
      </c>
      <c r="B16" s="135"/>
      <c r="C16" s="135"/>
      <c r="D16" s="135"/>
      <c r="E16" s="135"/>
      <c r="F16" s="135"/>
      <c r="G16" s="135"/>
      <c r="H16" s="135"/>
      <c r="I16" s="135"/>
      <c r="J16" s="135"/>
      <c r="K16" s="135">
        <v>6.9915861394081362E-4</v>
      </c>
      <c r="L16" s="135"/>
      <c r="M16" s="135">
        <v>6.9915861394081362E-4</v>
      </c>
    </row>
    <row r="17" spans="1:13">
      <c r="A17" s="6" t="s">
        <v>163</v>
      </c>
      <c r="B17" s="135">
        <v>8.0921610377235667E-4</v>
      </c>
      <c r="C17" s="135"/>
      <c r="D17" s="135"/>
      <c r="E17" s="135"/>
      <c r="F17" s="135"/>
      <c r="G17" s="135"/>
      <c r="H17" s="135"/>
      <c r="I17" s="135"/>
      <c r="J17" s="135"/>
      <c r="K17" s="135"/>
      <c r="L17" s="135"/>
      <c r="M17" s="135">
        <v>8.0921610377235667E-4</v>
      </c>
    </row>
    <row r="18" spans="1:13">
      <c r="A18" s="6" t="s">
        <v>14</v>
      </c>
      <c r="B18" s="135">
        <v>8.5741642587883258E-4</v>
      </c>
      <c r="C18" s="135"/>
      <c r="D18" s="135"/>
      <c r="E18" s="135"/>
      <c r="F18" s="135"/>
      <c r="G18" s="135"/>
      <c r="H18" s="135"/>
      <c r="I18" s="135"/>
      <c r="J18" s="135"/>
      <c r="K18" s="135"/>
      <c r="L18" s="135"/>
      <c r="M18" s="135">
        <v>8.5741642587883258E-4</v>
      </c>
    </row>
    <row r="19" spans="1:13">
      <c r="A19" s="6" t="s">
        <v>284</v>
      </c>
      <c r="B19" s="135">
        <v>6.8273978796701751E-4</v>
      </c>
      <c r="C19" s="135"/>
      <c r="D19" s="135"/>
      <c r="E19" s="135"/>
      <c r="F19" s="135"/>
      <c r="G19" s="135"/>
      <c r="H19" s="135"/>
      <c r="I19" s="135"/>
      <c r="J19" s="135"/>
      <c r="K19" s="135"/>
      <c r="L19" s="135"/>
      <c r="M19" s="135">
        <v>6.8273978796701751E-4</v>
      </c>
    </row>
    <row r="20" spans="1:13">
      <c r="A20" s="6" t="s">
        <v>30</v>
      </c>
      <c r="B20" s="135"/>
      <c r="C20" s="135">
        <v>9.9781955376615971E-4</v>
      </c>
      <c r="D20" s="135"/>
      <c r="E20" s="135"/>
      <c r="F20" s="135"/>
      <c r="G20" s="135"/>
      <c r="H20" s="135"/>
      <c r="I20" s="135"/>
      <c r="J20" s="135"/>
      <c r="K20" s="135"/>
      <c r="L20" s="135"/>
      <c r="M20" s="135">
        <v>9.9781955376615971E-4</v>
      </c>
    </row>
    <row r="21" spans="1:13">
      <c r="A21" s="6" t="s">
        <v>26</v>
      </c>
      <c r="B21" s="135"/>
      <c r="C21" s="135">
        <v>5.1043501964643245E-3</v>
      </c>
      <c r="D21" s="135"/>
      <c r="E21" s="135"/>
      <c r="F21" s="135"/>
      <c r="G21" s="135"/>
      <c r="H21" s="135"/>
      <c r="I21" s="135"/>
      <c r="J21" s="135"/>
      <c r="K21" s="135"/>
      <c r="L21" s="135"/>
      <c r="M21" s="135">
        <v>5.1043501964643245E-3</v>
      </c>
    </row>
    <row r="22" spans="1:13">
      <c r="A22" s="6" t="s">
        <v>155</v>
      </c>
      <c r="B22" s="135">
        <v>1.1452824994079343E-2</v>
      </c>
      <c r="C22" s="135">
        <v>8.3445755812807786E-3</v>
      </c>
      <c r="D22" s="135"/>
      <c r="E22" s="135"/>
      <c r="F22" s="135"/>
      <c r="G22" s="135"/>
      <c r="H22" s="135"/>
      <c r="I22" s="135"/>
      <c r="J22" s="135"/>
      <c r="K22" s="135"/>
      <c r="L22" s="135"/>
      <c r="M22" s="135">
        <v>1.979740057536012E-2</v>
      </c>
    </row>
    <row r="23" spans="1:13">
      <c r="A23" s="6" t="s">
        <v>29</v>
      </c>
      <c r="B23" s="135"/>
      <c r="C23" s="135">
        <v>1.4560375746516419E-3</v>
      </c>
      <c r="D23" s="135"/>
      <c r="E23" s="135"/>
      <c r="F23" s="135"/>
      <c r="G23" s="135"/>
      <c r="H23" s="135"/>
      <c r="I23" s="135"/>
      <c r="J23" s="135"/>
      <c r="K23" s="135"/>
      <c r="L23" s="135"/>
      <c r="M23" s="135">
        <v>1.4560375746516419E-3</v>
      </c>
    </row>
    <row r="24" spans="1:13">
      <c r="A24" s="6" t="s">
        <v>35</v>
      </c>
      <c r="B24" s="135"/>
      <c r="C24" s="135"/>
      <c r="D24" s="135"/>
      <c r="E24" s="135"/>
      <c r="F24" s="135"/>
      <c r="G24" s="135"/>
      <c r="H24" s="135">
        <v>9.1604110222187976E-4</v>
      </c>
      <c r="I24" s="135">
        <v>4.2412339524499137E-3</v>
      </c>
      <c r="J24" s="135"/>
      <c r="K24" s="135"/>
      <c r="L24" s="135"/>
      <c r="M24" s="135">
        <v>5.1572750546717934E-3</v>
      </c>
    </row>
    <row r="25" spans="1:13">
      <c r="A25" s="6" t="s">
        <v>133</v>
      </c>
      <c r="B25" s="135">
        <v>3.2558597774848264E-4</v>
      </c>
      <c r="C25" s="135"/>
      <c r="D25" s="135"/>
      <c r="E25" s="135"/>
      <c r="F25" s="135"/>
      <c r="G25" s="135"/>
      <c r="H25" s="135"/>
      <c r="I25" s="135"/>
      <c r="J25" s="135"/>
      <c r="K25" s="135"/>
      <c r="L25" s="135"/>
      <c r="M25" s="135">
        <v>3.2558597774848264E-4</v>
      </c>
    </row>
    <row r="26" spans="1:13">
      <c r="A26" s="6" t="s">
        <v>39</v>
      </c>
      <c r="B26" s="135">
        <v>1.4075700192274379E-3</v>
      </c>
      <c r="C26" s="135"/>
      <c r="D26" s="135"/>
      <c r="E26" s="135"/>
      <c r="F26" s="135"/>
      <c r="G26" s="135"/>
      <c r="H26" s="135"/>
      <c r="I26" s="135"/>
      <c r="J26" s="135"/>
      <c r="K26" s="135"/>
      <c r="L26" s="135"/>
      <c r="M26" s="135">
        <v>1.4075700192274379E-3</v>
      </c>
    </row>
    <row r="27" spans="1:13">
      <c r="A27" s="6" t="s">
        <v>37</v>
      </c>
      <c r="B27" s="135">
        <v>6.647410398081444E-3</v>
      </c>
      <c r="C27" s="135"/>
      <c r="D27" s="135"/>
      <c r="E27" s="135"/>
      <c r="F27" s="135"/>
      <c r="G27" s="135"/>
      <c r="H27" s="135"/>
      <c r="I27" s="135"/>
      <c r="J27" s="135"/>
      <c r="K27" s="135"/>
      <c r="L27" s="135"/>
      <c r="M27" s="135">
        <v>6.647410398081444E-3</v>
      </c>
    </row>
    <row r="28" spans="1:13">
      <c r="A28" s="6" t="s">
        <v>43</v>
      </c>
      <c r="B28" s="135"/>
      <c r="C28" s="135"/>
      <c r="D28" s="135"/>
      <c r="E28" s="135"/>
      <c r="F28" s="135"/>
      <c r="G28" s="135"/>
      <c r="H28" s="135"/>
      <c r="I28" s="135"/>
      <c r="J28" s="135"/>
      <c r="K28" s="135"/>
      <c r="L28" s="135">
        <v>1.7447889482270596E-2</v>
      </c>
      <c r="M28" s="135">
        <v>1.7447889482270596E-2</v>
      </c>
    </row>
    <row r="29" spans="1:13">
      <c r="A29" s="6" t="s">
        <v>216</v>
      </c>
      <c r="B29" s="135">
        <v>7.2442091536512043E-4</v>
      </c>
      <c r="C29" s="135"/>
      <c r="D29" s="135"/>
      <c r="E29" s="135"/>
      <c r="F29" s="135"/>
      <c r="G29" s="135"/>
      <c r="H29" s="135"/>
      <c r="I29" s="135"/>
      <c r="J29" s="135"/>
      <c r="K29" s="135"/>
      <c r="L29" s="135"/>
      <c r="M29" s="135">
        <v>7.2442091536512043E-4</v>
      </c>
    </row>
    <row r="30" spans="1:13">
      <c r="A30" s="6" t="s">
        <v>68</v>
      </c>
      <c r="B30" s="135"/>
      <c r="C30" s="135"/>
      <c r="D30" s="135"/>
      <c r="E30" s="135"/>
      <c r="F30" s="135"/>
      <c r="G30" s="135"/>
      <c r="H30" s="135"/>
      <c r="I30" s="135"/>
      <c r="J30" s="135"/>
      <c r="K30" s="135">
        <v>1.2687782947169398E-3</v>
      </c>
      <c r="L30" s="135"/>
      <c r="M30" s="135">
        <v>1.2687782947169398E-3</v>
      </c>
    </row>
    <row r="31" spans="1:13">
      <c r="A31" s="6" t="s">
        <v>184</v>
      </c>
      <c r="B31" s="135">
        <v>5.0129466649698759E-4</v>
      </c>
      <c r="C31" s="135"/>
      <c r="D31" s="135"/>
      <c r="E31" s="135"/>
      <c r="F31" s="135"/>
      <c r="G31" s="135"/>
      <c r="H31" s="135"/>
      <c r="I31" s="135"/>
      <c r="J31" s="135"/>
      <c r="K31" s="135"/>
      <c r="L31" s="135"/>
      <c r="M31" s="135">
        <v>5.0129466649698759E-4</v>
      </c>
    </row>
    <row r="32" spans="1:13">
      <c r="A32" s="6" t="s">
        <v>294</v>
      </c>
      <c r="B32" s="135">
        <v>0.18669006770800223</v>
      </c>
      <c r="C32" s="135">
        <v>6.2915458789534792E-2</v>
      </c>
      <c r="D32" s="135">
        <v>2.4176219236567389E-2</v>
      </c>
      <c r="E32" s="135">
        <v>1.1843882536658933E-2</v>
      </c>
      <c r="F32" s="135">
        <v>0.34014232620485663</v>
      </c>
      <c r="G32" s="135">
        <v>1.1735968786352625E-2</v>
      </c>
      <c r="H32" s="135">
        <v>5.240595000373053E-3</v>
      </c>
      <c r="I32" s="135">
        <v>7.3047964335700901E-3</v>
      </c>
      <c r="J32" s="135">
        <v>0.17857783437879468</v>
      </c>
      <c r="K32" s="135">
        <v>0.15266969364852387</v>
      </c>
      <c r="L32" s="135">
        <v>1.8703157276765487E-2</v>
      </c>
      <c r="M32" s="135">
        <v>0.99999999999999989</v>
      </c>
    </row>
    <row r="35" spans="1:3">
      <c r="A35" s="3" t="s">
        <v>316</v>
      </c>
      <c r="B35" s="3" t="s">
        <v>318</v>
      </c>
      <c r="C35" s="3" t="s">
        <v>319</v>
      </c>
    </row>
    <row r="36" spans="1:3">
      <c r="A36" s="6" t="s">
        <v>281</v>
      </c>
      <c r="B36" s="7">
        <v>1.2363899569964624E-3</v>
      </c>
      <c r="C36" s="7">
        <v>2E-3</v>
      </c>
    </row>
    <row r="37" spans="1:3">
      <c r="A37" s="6" t="s">
        <v>28</v>
      </c>
      <c r="B37" s="7">
        <v>3.295750515311989E-2</v>
      </c>
      <c r="C37" s="7">
        <v>0.03</v>
      </c>
    </row>
    <row r="38" spans="1:3">
      <c r="A38" s="6" t="s">
        <v>4</v>
      </c>
      <c r="B38" s="7">
        <v>0.5322059647568711</v>
      </c>
      <c r="C38" s="7">
        <v>0.35</v>
      </c>
    </row>
    <row r="39" spans="1:3">
      <c r="A39" s="6" t="s">
        <v>10</v>
      </c>
      <c r="B39" s="7">
        <v>3.3833174368041931E-2</v>
      </c>
      <c r="C39" s="7">
        <v>0.03</v>
      </c>
    </row>
    <row r="40" spans="1:3">
      <c r="A40" s="6" t="s">
        <v>31</v>
      </c>
      <c r="B40" s="7">
        <v>1.9049465176689075E-2</v>
      </c>
      <c r="C40" s="7">
        <v>0.04</v>
      </c>
    </row>
    <row r="41" spans="1:3">
      <c r="A41" s="6" t="s">
        <v>283</v>
      </c>
      <c r="B41" s="7">
        <v>1.040199066905571E-3</v>
      </c>
      <c r="C41" s="7">
        <v>0</v>
      </c>
    </row>
    <row r="42" spans="1:3">
      <c r="A42" s="6" t="s">
        <v>38</v>
      </c>
      <c r="B42" s="7">
        <v>5.0195340741415791E-3</v>
      </c>
      <c r="C42" s="7">
        <v>0.04</v>
      </c>
    </row>
    <row r="43" spans="1:3">
      <c r="A43" s="6" t="s">
        <v>150</v>
      </c>
      <c r="B43" s="7">
        <v>1.064293529277713E-2</v>
      </c>
      <c r="C43" s="7">
        <v>0.01</v>
      </c>
    </row>
    <row r="44" spans="1:3">
      <c r="A44" s="6" t="s">
        <v>180</v>
      </c>
      <c r="B44" s="7">
        <v>1.0167925791057618E-2</v>
      </c>
      <c r="C44" s="7">
        <v>0.01</v>
      </c>
    </row>
    <row r="45" spans="1:3">
      <c r="A45" s="6" t="s">
        <v>40</v>
      </c>
      <c r="B45" s="7">
        <v>1.6764741259214979E-3</v>
      </c>
      <c r="C45" s="7">
        <v>5.0000000000000001E-3</v>
      </c>
    </row>
    <row r="46" spans="1:3">
      <c r="A46" s="6" t="s">
        <v>24</v>
      </c>
      <c r="B46" s="7">
        <v>0.29698181774265781</v>
      </c>
      <c r="C46" s="7">
        <v>0.35</v>
      </c>
    </row>
    <row r="47" spans="1:3">
      <c r="A47" s="6" t="s">
        <v>71</v>
      </c>
      <c r="B47" s="7">
        <v>3.6458275389485471E-4</v>
      </c>
      <c r="C47" s="7">
        <v>5.0000000000000001E-3</v>
      </c>
    </row>
    <row r="48" spans="1:3">
      <c r="A48" s="6" t="s">
        <v>163</v>
      </c>
      <c r="B48" s="7">
        <v>7.5403665938380106E-4</v>
      </c>
      <c r="C48" s="7">
        <v>5.0000000000000001E-3</v>
      </c>
    </row>
    <row r="49" spans="1:3">
      <c r="A49" s="6" t="s">
        <v>14</v>
      </c>
      <c r="B49" s="7">
        <v>4.5384339486432152E-4</v>
      </c>
      <c r="C49" s="7">
        <v>0</v>
      </c>
    </row>
    <row r="50" spans="1:3">
      <c r="A50" s="6" t="s">
        <v>284</v>
      </c>
      <c r="B50" s="7">
        <v>8.3405914766379423E-4</v>
      </c>
      <c r="C50" s="7">
        <v>0</v>
      </c>
    </row>
    <row r="51" spans="1:3">
      <c r="A51" s="6" t="s">
        <v>30</v>
      </c>
      <c r="B51" s="7">
        <v>1.4630894564875367E-3</v>
      </c>
      <c r="C51" s="7">
        <v>3.0000000000000001E-3</v>
      </c>
    </row>
    <row r="52" spans="1:3">
      <c r="A52" s="6" t="s">
        <v>26</v>
      </c>
      <c r="B52" s="7">
        <v>6.4712885382216109E-3</v>
      </c>
      <c r="C52" s="7">
        <v>5.0000000000000001E-3</v>
      </c>
    </row>
    <row r="53" spans="1:3">
      <c r="A53" s="6" t="s">
        <v>155</v>
      </c>
      <c r="B53" s="7">
        <v>1.227781112323041E-2</v>
      </c>
      <c r="C53" s="7">
        <v>1.4999999999999999E-2</v>
      </c>
    </row>
    <row r="54" spans="1:3">
      <c r="A54" s="6" t="s">
        <v>29</v>
      </c>
      <c r="B54" s="7">
        <v>1.8973781867597944E-3</v>
      </c>
      <c r="C54" s="7">
        <v>0.01</v>
      </c>
    </row>
    <row r="55" spans="1:3">
      <c r="A55" s="6" t="s">
        <v>35</v>
      </c>
      <c r="B55" s="7">
        <v>9.8385410559820828E-3</v>
      </c>
      <c r="C55" s="7">
        <v>0.01</v>
      </c>
    </row>
    <row r="56" spans="1:3">
      <c r="A56" s="6" t="s">
        <v>133</v>
      </c>
      <c r="B56" s="7">
        <v>3.6546057221057066E-4</v>
      </c>
      <c r="C56" s="7">
        <v>5.0000000000000001E-3</v>
      </c>
    </row>
    <row r="57" spans="1:3">
      <c r="A57" s="6" t="s">
        <v>39</v>
      </c>
      <c r="B57" s="7">
        <v>1.6104322435429952E-3</v>
      </c>
      <c r="C57" s="7">
        <v>5.0000000000000001E-3</v>
      </c>
    </row>
    <row r="58" spans="1:3">
      <c r="A58" s="6" t="s">
        <v>37</v>
      </c>
      <c r="B58" s="7">
        <v>5.095538315403895E-3</v>
      </c>
      <c r="C58" s="7">
        <v>0.01</v>
      </c>
    </row>
    <row r="59" spans="1:3">
      <c r="A59" s="6" t="s">
        <v>43</v>
      </c>
      <c r="B59" s="7">
        <v>1.1600296449837578E-2</v>
      </c>
      <c r="C59" s="7">
        <v>1.4999999999999999E-2</v>
      </c>
    </row>
    <row r="60" spans="1:3">
      <c r="A60" s="6" t="s">
        <v>216</v>
      </c>
      <c r="B60" s="7">
        <v>8.1004071500278749E-4</v>
      </c>
      <c r="C60" s="7">
        <v>2E-3</v>
      </c>
    </row>
    <row r="61" spans="1:3">
      <c r="A61" s="6" t="s">
        <v>68</v>
      </c>
      <c r="B61" s="7">
        <v>8.3828523826232179E-4</v>
      </c>
      <c r="C61" s="7">
        <v>2E-3</v>
      </c>
    </row>
    <row r="62" spans="1:3">
      <c r="A62" s="6" t="s">
        <v>184</v>
      </c>
      <c r="B62" s="7">
        <v>5.1393064407180816E-4</v>
      </c>
      <c r="C62" s="7">
        <v>1E-3</v>
      </c>
    </row>
    <row r="63" spans="1:3">
      <c r="A63" s="1" t="s">
        <v>317</v>
      </c>
      <c r="B63" s="7">
        <v>0</v>
      </c>
      <c r="C63" s="7">
        <v>0.01</v>
      </c>
    </row>
    <row r="64" spans="1:3">
      <c r="A64" s="1" t="s">
        <v>143</v>
      </c>
      <c r="B64" s="7">
        <v>0</v>
      </c>
      <c r="C64" s="7">
        <v>0.01</v>
      </c>
    </row>
    <row r="65" spans="1:3">
      <c r="A65" s="1" t="s">
        <v>264</v>
      </c>
      <c r="B65" s="7">
        <v>0</v>
      </c>
      <c r="C65" s="7">
        <v>0.01</v>
      </c>
    </row>
    <row r="66" spans="1:3">
      <c r="A66" s="1" t="s">
        <v>267</v>
      </c>
      <c r="B66" s="7">
        <v>0</v>
      </c>
      <c r="C66" s="7">
        <v>0.01</v>
      </c>
    </row>
    <row r="67" spans="1:3">
      <c r="B67" s="7"/>
      <c r="C67" s="7"/>
    </row>
    <row r="68" spans="1:3">
      <c r="B68" s="7"/>
      <c r="C68" s="7"/>
    </row>
    <row r="69" spans="1:3">
      <c r="B69" s="7"/>
      <c r="C69" s="7"/>
    </row>
    <row r="70" spans="1:3">
      <c r="B70" s="7"/>
      <c r="C7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2D16-9D52-4142-AB91-94023C1AAB22}">
  <sheetPr codeName="Sheet10"/>
  <dimension ref="A1:C20"/>
  <sheetViews>
    <sheetView workbookViewId="0">
      <selection activeCell="A21" sqref="A21"/>
    </sheetView>
  </sheetViews>
  <sheetFormatPr defaultRowHeight="15"/>
  <cols>
    <col min="1" max="1" width="9.140625" style="1"/>
    <col min="2" max="2" width="12.28515625" style="1" bestFit="1" customWidth="1"/>
    <col min="3" max="16384" width="9.140625" style="1"/>
  </cols>
  <sheetData>
    <row r="1" spans="1:3">
      <c r="B1" s="1" t="s">
        <v>100</v>
      </c>
    </row>
    <row r="2" spans="1:3">
      <c r="A2" s="1">
        <v>1</v>
      </c>
      <c r="B2" s="1" t="s">
        <v>67</v>
      </c>
      <c r="C2" s="1" t="s">
        <v>431</v>
      </c>
    </row>
    <row r="3" spans="1:3">
      <c r="A3" s="1">
        <v>2</v>
      </c>
      <c r="B3" s="1" t="s">
        <v>101</v>
      </c>
      <c r="C3" s="1" t="s">
        <v>431</v>
      </c>
    </row>
    <row r="4" spans="1:3">
      <c r="A4" s="1">
        <v>3</v>
      </c>
      <c r="B4" s="1" t="s">
        <v>99</v>
      </c>
    </row>
    <row r="5" spans="1:3">
      <c r="A5" s="1">
        <v>4</v>
      </c>
      <c r="B5" s="1" t="s">
        <v>286</v>
      </c>
      <c r="C5" s="1" t="s">
        <v>431</v>
      </c>
    </row>
    <row r="6" spans="1:3">
      <c r="A6" s="1">
        <v>5</v>
      </c>
      <c r="B6" s="1" t="s">
        <v>287</v>
      </c>
      <c r="C6" s="1" t="s">
        <v>431</v>
      </c>
    </row>
    <row r="7" spans="1:3">
      <c r="A7" s="1">
        <v>6</v>
      </c>
      <c r="B7" s="1" t="s">
        <v>430</v>
      </c>
      <c r="C7" s="1" t="s">
        <v>431</v>
      </c>
    </row>
    <row r="8" spans="1:3">
      <c r="A8" s="1">
        <v>7</v>
      </c>
      <c r="B8" s="1" t="s">
        <v>550</v>
      </c>
      <c r="C8" s="1" t="s">
        <v>431</v>
      </c>
    </row>
    <row r="9" spans="1:3">
      <c r="A9" s="1">
        <v>8</v>
      </c>
      <c r="B9" s="1" t="s">
        <v>551</v>
      </c>
      <c r="C9" s="1" t="s">
        <v>431</v>
      </c>
    </row>
    <row r="10" spans="1:3">
      <c r="A10" s="1">
        <v>9</v>
      </c>
      <c r="B10" s="1" t="s">
        <v>552</v>
      </c>
      <c r="C10" s="1" t="s">
        <v>431</v>
      </c>
    </row>
    <row r="11" spans="1:3">
      <c r="A11" s="1">
        <v>10</v>
      </c>
      <c r="B11" s="1" t="s">
        <v>553</v>
      </c>
    </row>
    <row r="12" spans="1:3">
      <c r="A12" s="1">
        <v>11</v>
      </c>
      <c r="B12" s="1" t="s">
        <v>554</v>
      </c>
    </row>
    <row r="13" spans="1:3">
      <c r="A13" s="1">
        <v>12</v>
      </c>
      <c r="B13" s="1" t="s">
        <v>558</v>
      </c>
    </row>
    <row r="14" spans="1:3">
      <c r="A14" s="1">
        <v>13</v>
      </c>
      <c r="B14" s="1" t="s">
        <v>576</v>
      </c>
      <c r="C14" s="1" t="s">
        <v>431</v>
      </c>
    </row>
    <row r="15" spans="1:3">
      <c r="A15" s="1">
        <v>14</v>
      </c>
      <c r="B15" s="1" t="s">
        <v>577</v>
      </c>
      <c r="C15" s="1" t="s">
        <v>431</v>
      </c>
    </row>
    <row r="16" spans="1:3">
      <c r="A16" s="1">
        <v>15</v>
      </c>
      <c r="B16" s="1" t="s">
        <v>581</v>
      </c>
      <c r="C16" s="1" t="s">
        <v>431</v>
      </c>
    </row>
    <row r="17" spans="1:3">
      <c r="A17" s="1">
        <v>16</v>
      </c>
      <c r="B17" s="1" t="s">
        <v>584</v>
      </c>
      <c r="C17" s="1" t="s">
        <v>431</v>
      </c>
    </row>
    <row r="18" spans="1:3">
      <c r="A18" s="1">
        <v>17</v>
      </c>
      <c r="B18" s="1" t="s">
        <v>561</v>
      </c>
      <c r="C18" s="1" t="s">
        <v>431</v>
      </c>
    </row>
    <row r="19" spans="1:3">
      <c r="A19" s="1">
        <v>18</v>
      </c>
      <c r="B19" s="1" t="s">
        <v>590</v>
      </c>
      <c r="C19" s="1" t="s">
        <v>431</v>
      </c>
    </row>
    <row r="20" spans="1:3">
      <c r="A20" s="1">
        <v>19</v>
      </c>
      <c r="B20" s="1" t="s">
        <v>591</v>
      </c>
      <c r="C20" s="1" t="s">
        <v>431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A29D99-C0F7-4CA0-9720-14868163E8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Portfolio_v1</vt:lpstr>
      <vt:lpstr>Portfolio_v1 MoM</vt:lpstr>
      <vt:lpstr>Transactions</vt:lpstr>
      <vt:lpstr>Portfolio_v2</vt:lpstr>
      <vt:lpstr>Historical Price</vt:lpstr>
      <vt:lpstr>Dashboard</vt:lpstr>
      <vt:lpstr>CoinGeko API</vt:lpstr>
      <vt:lpstr>Defi position</vt:lpstr>
      <vt:lpstr>Watch List</vt:lpstr>
      <vt:lpstr>Pivot Table</vt:lpstr>
      <vt:lpstr>AirdropList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Ishika</dc:creator>
  <cp:lastModifiedBy>Angus Man</cp:lastModifiedBy>
  <dcterms:created xsi:type="dcterms:W3CDTF">2024-01-17T11:01:09Z</dcterms:created>
  <dcterms:modified xsi:type="dcterms:W3CDTF">2024-06-06T10:46:08Z</dcterms:modified>
</cp:coreProperties>
</file>