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4053649\Dropbox\Current\Costing\NEW Updating numbers\"/>
    </mc:Choice>
  </mc:AlternateContent>
  <xr:revisionPtr revIDLastSave="0" documentId="8_{AC22561D-29AD-45BD-88E1-978238D70ECD}" xr6:coauthVersionLast="47" xr6:coauthVersionMax="47" xr10:uidLastSave="{00000000-0000-0000-0000-000000000000}"/>
  <bookViews>
    <workbookView xWindow="3180" yWindow="2025" windowWidth="25215" windowHeight="11340" activeTab="6" xr2:uid="{00000000-000D-0000-FFFF-FFFF00000000}"/>
  </bookViews>
  <sheets>
    <sheet name="Samonella human capital costs" sheetId="2" r:id="rId1"/>
    <sheet name="Samonella friction costs" sheetId="3" r:id="rId2"/>
    <sheet name="Friction cost " sheetId="8" state="hidden" r:id="rId3"/>
    <sheet name="Co-payments" sheetId="7" state="hidden" r:id="rId4"/>
    <sheet name="Fatal costs" sheetId="6" r:id="rId5"/>
    <sheet name="Days off " sheetId="5" state="hidden" r:id="rId6"/>
    <sheet name="WTP costs raw inpu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2" l="1"/>
  <c r="D23" i="2"/>
  <c r="B34" i="3"/>
  <c r="D39" i="3"/>
  <c r="C39" i="3"/>
  <c r="B39" i="3"/>
  <c r="B22" i="2"/>
  <c r="B7" i="6"/>
  <c r="B43" i="3" l="1"/>
  <c r="B44" i="3"/>
  <c r="B31" i="2"/>
  <c r="B30" i="2"/>
  <c r="B38" i="3"/>
  <c r="B21" i="8"/>
  <c r="C16" i="8"/>
  <c r="C17" i="8"/>
  <c r="C18" i="8"/>
  <c r="C19" i="8"/>
  <c r="C11" i="3"/>
  <c r="C10" i="3"/>
  <c r="C20" i="8"/>
  <c r="C15" i="8"/>
  <c r="B33" i="8" s="1"/>
  <c r="C8" i="8"/>
  <c r="B8" i="8"/>
  <c r="B37" i="8" s="1"/>
  <c r="C7" i="8"/>
  <c r="B7" i="8"/>
  <c r="C17" i="2"/>
  <c r="E26" i="2" s="1"/>
  <c r="C18" i="2"/>
  <c r="E27" i="2" s="1"/>
  <c r="C38" i="3" l="1"/>
  <c r="D34" i="3"/>
  <c r="C34" i="3"/>
  <c r="D38" i="3"/>
  <c r="D26" i="3"/>
  <c r="D35" i="3"/>
  <c r="B35" i="3"/>
  <c r="C35" i="3"/>
  <c r="D25" i="3"/>
  <c r="B29" i="3"/>
  <c r="D22" i="2"/>
  <c r="D26" i="2"/>
  <c r="E22" i="2"/>
  <c r="B23" i="2"/>
  <c r="B27" i="2"/>
  <c r="D27" i="2"/>
  <c r="B27" i="8"/>
  <c r="B28" i="8"/>
  <c r="B29" i="8"/>
  <c r="B26" i="8"/>
  <c r="B34" i="8"/>
  <c r="B35" i="8"/>
  <c r="B36" i="8"/>
  <c r="B30" i="3"/>
  <c r="D30" i="3"/>
  <c r="D29" i="3"/>
  <c r="C29" i="3"/>
  <c r="C30" i="3"/>
  <c r="B25" i="8"/>
  <c r="B30" i="8"/>
  <c r="C25" i="3"/>
  <c r="C26" i="3"/>
  <c r="B25" i="3"/>
  <c r="B26" i="3"/>
  <c r="E8" i="8"/>
  <c r="D7" i="8"/>
  <c r="D8" i="8"/>
  <c r="E7" i="8"/>
  <c r="B38" i="8"/>
  <c r="E23" i="2"/>
  <c r="D28" i="8" l="1"/>
  <c r="D27" i="8"/>
  <c r="D26" i="8"/>
  <c r="D29" i="8"/>
  <c r="C27" i="8"/>
  <c r="C26" i="8"/>
  <c r="C29" i="8"/>
  <c r="C28" i="8"/>
  <c r="D35" i="8"/>
  <c r="D34" i="8"/>
  <c r="D37" i="8"/>
  <c r="D36" i="8"/>
  <c r="C34" i="8"/>
  <c r="C37" i="8"/>
  <c r="C36" i="8"/>
  <c r="C35" i="8"/>
  <c r="D33" i="8"/>
  <c r="D30" i="8"/>
  <c r="D25" i="8"/>
  <c r="D38" i="8"/>
  <c r="C38" i="8"/>
  <c r="C33" i="8"/>
  <c r="C30" i="8"/>
  <c r="C25" i="8"/>
</calcChain>
</file>

<file path=xl/sharedStrings.xml><?xml version="1.0" encoding="utf-8"?>
<sst xmlns="http://schemas.openxmlformats.org/spreadsheetml/2006/main" count="276" uniqueCount="143">
  <si>
    <t>Productivity loss, nonfatal cases</t>
  </si>
  <si>
    <t>Premature death</t>
  </si>
  <si>
    <t>Proportion of cases employed (seasonally adjusted)</t>
  </si>
  <si>
    <t>Ref: Australia, NGSII</t>
  </si>
  <si>
    <t xml:space="preserve">Missed work </t>
  </si>
  <si>
    <t xml:space="preserve">Proportion of cases missed work due to illness </t>
  </si>
  <si>
    <t xml:space="preserve">Proportion of cases missed work due to caring for others </t>
  </si>
  <si>
    <t>Proportion</t>
  </si>
  <si>
    <t xml:space="preserve">Value of Statistical Life </t>
  </si>
  <si>
    <t xml:space="preserve">Friction time </t>
  </si>
  <si>
    <t xml:space="preserve">days </t>
  </si>
  <si>
    <t xml:space="preserve">Guillain-Barre´ syndrome average days off work (non ventlated) </t>
  </si>
  <si>
    <t xml:space="preserve">Guillain-Barre´ syndrome average days off work (ventlated) </t>
  </si>
  <si>
    <t>Reference: Buzby, Jean C., Ban Mishu Allos, and Tanya Roberts. "The economic burden of Campylobacter-associated Guillain-Barre syndrome." Journal of Infectious Diseases 176.Supplement_2 (1997): S192-S197.</t>
  </si>
  <si>
    <t>US</t>
  </si>
  <si>
    <t>Low, most likely, high values (LOS, LOS*1.71, LOS*3)</t>
  </si>
  <si>
    <t xml:space="preserve">Listeria monocytogenes </t>
  </si>
  <si>
    <r>
      <t>Reference: Thomas, M. Kate, et al. "Economic cost of a Listeria monocytogenes outbreak in Canada, 2008." </t>
    </r>
    <r>
      <rPr>
        <i/>
        <sz val="10"/>
        <color rgb="FF222222"/>
        <rFont val="Arial"/>
        <family val="2"/>
      </rPr>
      <t>Foodborne pathogens and disease</t>
    </r>
    <r>
      <rPr>
        <sz val="10"/>
        <color rgb="FF222222"/>
        <rFont val="Arial"/>
        <family val="2"/>
      </rPr>
      <t> 12.12 (2015): 966-971.</t>
    </r>
  </si>
  <si>
    <t>% Total costs</t>
  </si>
  <si>
    <t>Resource</t>
  </si>
  <si>
    <t>Unit</t>
  </si>
  <si>
    <t>Per case</t>
  </si>
  <si>
    <t>Mean</t>
  </si>
  <si>
    <t>95% CI</t>
  </si>
  <si>
    <t>Median</t>
  </si>
  <si>
    <t>Range</t>
  </si>
  <si>
    <t>Total</t>
  </si>
  <si>
    <t>DRG</t>
  </si>
  <si>
    <t>DRG/day</t>
  </si>
  <si>
    <t>Indirect costs</t>
  </si>
  <si>
    <t> Income</t>
  </si>
  <si>
    <t>  Cases</t>
  </si>
  <si>
    <t>230 days</t>
  </si>
  <si>
    <t>5 days</t>
  </si>
  <si>
    <t>89–291</t>
  </si>
  <si>
    <t>0–1438</t>
  </si>
  <si>
    <t>  Carers</t>
  </si>
  <si>
    <t>108 days</t>
  </si>
  <si>
    <t>2 days</t>
  </si>
  <si>
    <t>93–317</t>
  </si>
  <si>
    <t>0–2055</t>
  </si>
  <si>
    <t>Ref: McPherson, Michelle, et al. "Economic costs of Shiga toxin–producing Escherichia coli infection in Australia." Foodborne pathogens and disease 8.1 (2011): 55-62.</t>
  </si>
  <si>
    <t xml:space="preserve">REF:Ford, Laura, et al. "Cost of Salmonella infections in Australia, 2015." Journal of food protection 82.9 (2019): 1607-1614. </t>
  </si>
  <si>
    <t>Samonella</t>
  </si>
  <si>
    <t xml:space="preserve">Credible interval </t>
  </si>
  <si>
    <t xml:space="preserve">Unit </t>
  </si>
  <si>
    <t xml:space="preserve">Average </t>
  </si>
  <si>
    <t xml:space="preserve">Samonella </t>
  </si>
  <si>
    <t xml:space="preserve">Mean </t>
  </si>
  <si>
    <t>Shiga toxin–producing Escherichia coli (STEC) </t>
  </si>
  <si>
    <t>3.407328    .5681428        2.287923    4.526732</t>
  </si>
  <si>
    <t>Ref: Labour force status by Sex, Australia - Trend, Seasonally adjusted and Original 2020</t>
  </si>
  <si>
    <t xml:space="preserve">Reference/ Assumption </t>
  </si>
  <si>
    <t>Ref: 2019 OBPR</t>
  </si>
  <si>
    <t>Proportion of cases employed Female (seasonally adjusted)</t>
  </si>
  <si>
    <t>Proportion of cases employed Male (seasonally adjusted)</t>
  </si>
  <si>
    <t xml:space="preserve">Costs </t>
  </si>
  <si>
    <t xml:space="preserve">High </t>
  </si>
  <si>
    <t>Low</t>
  </si>
  <si>
    <t xml:space="preserve">Defination </t>
  </si>
  <si>
    <t xml:space="preserve">Standard deviation </t>
  </si>
  <si>
    <t>days</t>
  </si>
  <si>
    <t xml:space="preserve">Friction cost per case </t>
  </si>
  <si>
    <t>Assumption</t>
  </si>
  <si>
    <r>
      <t>Manipis, Kathleen, et al. "Employer survey to estimate the productivity friction period." </t>
    </r>
    <r>
      <rPr>
        <i/>
        <sz val="10"/>
        <color rgb="FF222222"/>
        <rFont val="Arial"/>
        <family val="2"/>
      </rPr>
      <t>The European Journal of Health Economics</t>
    </r>
    <r>
      <rPr>
        <sz val="10"/>
        <color rgb="FF222222"/>
        <rFont val="Arial"/>
        <family val="2"/>
      </rPr>
      <t> 22.2 (2021): 255-266.</t>
    </r>
  </si>
  <si>
    <t xml:space="preserve">Maximum price for friction calculation </t>
  </si>
  <si>
    <t>Salmonella</t>
  </si>
  <si>
    <t xml:space="preserve">Productivity </t>
  </si>
  <si>
    <t>Temporary time offwork (TTO) Assumption 1</t>
  </si>
  <si>
    <t>Temporary time offwork (TTO) Assumption 2</t>
  </si>
  <si>
    <t>IBS</t>
  </si>
  <si>
    <t>ReA</t>
  </si>
  <si>
    <t>HUS</t>
  </si>
  <si>
    <t>Consequence of food born illness DCE Marginal WTP</t>
  </si>
  <si>
    <t xml:space="preserve">Duration (per year) </t>
  </si>
  <si>
    <t xml:space="preserve">Severe </t>
  </si>
  <si>
    <t xml:space="preserve">Mild </t>
  </si>
  <si>
    <t xml:space="preserve">GI illness </t>
  </si>
  <si>
    <t>Flu like illness</t>
  </si>
  <si>
    <t xml:space="preserve">Duration (per day) </t>
  </si>
  <si>
    <t xml:space="preserve">Illness </t>
  </si>
  <si>
    <t xml:space="preserve">Non concession </t>
  </si>
  <si>
    <t xml:space="preserve">Concession </t>
  </si>
  <si>
    <t xml:space="preserve">Safety net general </t>
  </si>
  <si>
    <t xml:space="preserve">Safety net concession </t>
  </si>
  <si>
    <r>
      <t>Assumption -</t>
    </r>
    <r>
      <rPr>
        <sz val="11"/>
        <color theme="1"/>
        <rFont val="Calibri"/>
        <family val="2"/>
        <scheme val="minor"/>
      </rPr>
      <t xml:space="preserve"> Applied if the cost of medicines per individual are greater than: </t>
    </r>
  </si>
  <si>
    <t xml:space="preserve">Concession defination </t>
  </si>
  <si>
    <t>Pension Concession Card
Commonwealth Seniors Health Card
Health Care Card
DVA Card</t>
  </si>
  <si>
    <t>per year</t>
  </si>
  <si>
    <t>20 years and under</t>
  </si>
  <si>
    <t>21 to 34 years</t>
  </si>
  <si>
    <t>35 to 44 years</t>
  </si>
  <si>
    <t>45 to 54 years</t>
  </si>
  <si>
    <t>55 years and over</t>
  </si>
  <si>
    <t>All ages</t>
  </si>
  <si>
    <t>Source: Australian Bureau of Statistics, Employee Earnings and Hours, Australia May 2018</t>
  </si>
  <si>
    <t xml:space="preserve">Cost </t>
  </si>
  <si>
    <t>Weekly cost</t>
  </si>
  <si>
    <t>Daily cost</t>
  </si>
  <si>
    <t xml:space="preserve">Missed work days </t>
  </si>
  <si>
    <t>Obs</t>
  </si>
  <si>
    <t>Carer productivity cost loss per case</t>
  </si>
  <si>
    <t>Std. Err.</t>
  </si>
  <si>
    <t>[95% Conf.</t>
  </si>
  <si>
    <t>Interval]</t>
  </si>
  <si>
    <t>High</t>
  </si>
  <si>
    <t>Carer missed work days</t>
  </si>
  <si>
    <t xml:space="preserve">Productivity cost loss per case </t>
  </si>
  <si>
    <t xml:space="preserve">Managers - high estimate </t>
  </si>
  <si>
    <t>Non Managers - low estimate</t>
  </si>
  <si>
    <t xml:space="preserve">Samonella Productavity costs </t>
  </si>
  <si>
    <t xml:space="preserve">Confidence interval -low </t>
  </si>
  <si>
    <t>Samonella - estimate lost production 20%</t>
  </si>
  <si>
    <t>Samonella - estimate lost production 80%</t>
  </si>
  <si>
    <t>Productavity loss</t>
  </si>
  <si>
    <t>Confidence interval - high</t>
  </si>
  <si>
    <t>CI</t>
  </si>
  <si>
    <t xml:space="preserve">Productavity </t>
  </si>
  <si>
    <t xml:space="preserve">Low </t>
  </si>
  <si>
    <t xml:space="preserve">Low friction period low productavity </t>
  </si>
  <si>
    <t xml:space="preserve">Base case </t>
  </si>
  <si>
    <t xml:space="preserve">Carer base case </t>
  </si>
  <si>
    <t>estimate lost production 30%</t>
  </si>
  <si>
    <t xml:space="preserve">Productavity costs </t>
  </si>
  <si>
    <t>Samonella - estimate lost production 30%</t>
  </si>
  <si>
    <t xml:space="preserve">Confidence interval </t>
  </si>
  <si>
    <t>GBS</t>
  </si>
  <si>
    <t>Age 5-64</t>
  </si>
  <si>
    <t>Age 65+</t>
  </si>
  <si>
    <t>Source: Australian Bureau of Statistics, Full-time adult average weekly total earnings, Australia May 2020</t>
  </si>
  <si>
    <t xml:space="preserve">Ref: AIHW, Employment and economic participation, Older Australia at a glance 2018 </t>
  </si>
  <si>
    <t xml:space="preserve">Proportion of people over 65 in workplace  </t>
  </si>
  <si>
    <t>Source: Australian Bureau of Statistics, Employee Earnings and Hours, Australia May 2020</t>
  </si>
  <si>
    <t>Pain grief and suffering cost per case</t>
  </si>
  <si>
    <t xml:space="preserve">Income </t>
  </si>
  <si>
    <t>Income</t>
  </si>
  <si>
    <t xml:space="preserve">Number of death samonella </t>
  </si>
  <si>
    <t>Ref:Ford, Laura, et al. "Cost of Salmonella infections in Australia, 2015." Journal of food protection 82.9 (2019): 1607-1614.</t>
  </si>
  <si>
    <t xml:space="preserve">Model input </t>
  </si>
  <si>
    <t>Number</t>
  </si>
  <si>
    <t xml:space="preserve">Premature death samonella </t>
  </si>
  <si>
    <t>Age 5-64 (average days off)</t>
  </si>
  <si>
    <t>Model output will be this = VSL*Number dead due to samonella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</si>
</sst>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;[Red]\-&quot;$&quot;#,##0"/>
    <numFmt numFmtId="8" formatCode="&quot;$&quot;#,##0.00;[Red]\-&quot;$&quot;#,##0.00"/>
    <numFmt numFmtId="164" formatCode="&quot;$&quot;#,##0"/>
    <numFmt numFmtId="165" formatCode="_-&quot;$&quot;* #,##0_-;\-&quot;$&quot;* #,##0_-;_-&quot;$&quot;* &quot;-&quot;??_-;_-@_-"/>
    <numFmt numFmtId="166" formatCode="0.0"/>
    <numFmt numFmtId="167" formatCode="&quot;$&quot;#,##0.00"/>
    <numFmt numFmtId="168" formatCode="0.000"/>
  </numFmts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1"/>
      <name val="Calibri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/>
    <xf numFmtId="0" fontId="1" fillId="2" borderId="0" xfId="1" applyBorder="1"/>
    <xf numFmtId="0" fontId="1" fillId="2" borderId="0" xfId="1"/>
    <xf numFmtId="6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166" fontId="0" fillId="0" borderId="0" xfId="0" applyNumberFormat="1"/>
    <xf numFmtId="1" fontId="0" fillId="0" borderId="0" xfId="0" applyNumberFormat="1"/>
    <xf numFmtId="0" fontId="1" fillId="2" borderId="0" xfId="1" applyBorder="1" applyAlignment="1"/>
    <xf numFmtId="0" fontId="2" fillId="0" borderId="0" xfId="0" applyFont="1" applyAlignment="1">
      <alignment wrapText="1"/>
    </xf>
    <xf numFmtId="8" fontId="0" fillId="0" borderId="0" xfId="0" applyNumberFormat="1"/>
    <xf numFmtId="0" fontId="5" fillId="0" borderId="0" xfId="0" applyFont="1"/>
    <xf numFmtId="164" fontId="0" fillId="0" borderId="0" xfId="0" applyNumberFormat="1" applyAlignment="1">
      <alignment horizontal="right"/>
    </xf>
    <xf numFmtId="167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center" wrapText="1"/>
    </xf>
    <xf numFmtId="0" fontId="9" fillId="0" borderId="0" xfId="4"/>
    <xf numFmtId="0" fontId="7" fillId="3" borderId="0" xfId="2" applyAlignment="1">
      <alignment horizontal="left" vertical="top"/>
    </xf>
    <xf numFmtId="0" fontId="7" fillId="3" borderId="0" xfId="2"/>
    <xf numFmtId="164" fontId="7" fillId="3" borderId="0" xfId="2" applyNumberFormat="1"/>
    <xf numFmtId="1" fontId="7" fillId="3" borderId="0" xfId="2" applyNumberFormat="1"/>
    <xf numFmtId="0" fontId="7" fillId="3" borderId="0" xfId="2" applyBorder="1"/>
    <xf numFmtId="165" fontId="7" fillId="3" borderId="0" xfId="2" applyNumberFormat="1" applyBorder="1"/>
    <xf numFmtId="165" fontId="7" fillId="3" borderId="0" xfId="2" applyNumberFormat="1"/>
    <xf numFmtId="0" fontId="8" fillId="4" borderId="0" xfId="3"/>
    <xf numFmtId="0" fontId="7" fillId="3" borderId="0" xfId="2" applyAlignment="1">
      <alignment wrapText="1"/>
    </xf>
    <xf numFmtId="6" fontId="7" fillId="3" borderId="0" xfId="2" applyNumberFormat="1"/>
    <xf numFmtId="0" fontId="10" fillId="0" borderId="0" xfId="0" applyFont="1"/>
    <xf numFmtId="167" fontId="7" fillId="3" borderId="0" xfId="2" applyNumberFormat="1"/>
    <xf numFmtId="168" fontId="0" fillId="0" borderId="0" xfId="0" applyNumberFormat="1"/>
    <xf numFmtId="0" fontId="7" fillId="3" borderId="0" xfId="2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5">
    <cellStyle name="Bad" xfId="1" builtinId="27"/>
    <cellStyle name="Good" xfId="2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819150</xdr:colOff>
      <xdr:row>19</xdr:row>
      <xdr:rowOff>180974</xdr:rowOff>
    </xdr:from>
    <xdr:to>
      <xdr:col>8</xdr:col>
      <xdr:colOff>577850</xdr:colOff>
      <xdr:row>30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25FCFF-494F-4178-8704-0EC182B2FDBA}"/>
            </a:ext>
          </a:extLst>
        </xdr:cNvPr>
        <xdr:cNvSpPr txBox="1"/>
      </xdr:nvSpPr>
      <xdr:spPr>
        <a:xfrm>
          <a:off x="9953625" y="4514849"/>
          <a:ext cx="4206875" cy="1962151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Yellow</a:t>
          </a:r>
          <a:r>
            <a:rPr lang="en-AU" sz="1100" baseline="0"/>
            <a:t> is inputs needed for the model </a:t>
          </a:r>
        </a:p>
        <a:p>
          <a:endParaRPr lang="en-AU" sz="1100" baseline="0"/>
        </a:p>
        <a:p>
          <a:r>
            <a:rPr lang="en-AU" sz="1100" baseline="0"/>
            <a:t>Green is cost estimate per case this has been seasonally adjusted for workforce participation, age (missed days and income). </a:t>
          </a:r>
        </a:p>
        <a:p>
          <a:endParaRPr lang="en-AU" sz="1100" baseline="0"/>
        </a:p>
        <a:p>
          <a:r>
            <a:rPr lang="en-AU" sz="1100"/>
            <a:t>Costs are broken</a:t>
          </a:r>
          <a:r>
            <a:rPr lang="en-AU" sz="1100" baseline="0"/>
            <a:t> down for </a:t>
          </a:r>
        </a:p>
        <a:p>
          <a:r>
            <a:rPr lang="en-AU" sz="1100" baseline="0"/>
            <a:t>1. Productavity cost (time off work) due to FBD</a:t>
          </a:r>
        </a:p>
        <a:p>
          <a:r>
            <a:rPr lang="en-AU" sz="1100" baseline="0"/>
            <a:t>2. Carer costs (time off work) related to caring for others  due to FBD</a:t>
          </a:r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295274</xdr:colOff>
      <xdr:row>20</xdr:row>
      <xdr:rowOff>9525</xdr:rowOff>
    </xdr:from>
    <xdr:to>
      <xdr:col>8</xdr:col>
      <xdr:colOff>209549</xdr:colOff>
      <xdr:row>33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B13201-32D7-45AB-AF42-EB3BE91A32C1}"/>
            </a:ext>
          </a:extLst>
        </xdr:cNvPr>
        <xdr:cNvSpPr txBox="1"/>
      </xdr:nvSpPr>
      <xdr:spPr>
        <a:xfrm>
          <a:off x="12153899" y="4286250"/>
          <a:ext cx="4505325" cy="24193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Yellow</a:t>
          </a:r>
          <a:r>
            <a:rPr lang="en-AU" sz="1100" baseline="0"/>
            <a:t> is inputs needed for the model </a:t>
          </a:r>
        </a:p>
        <a:p>
          <a:endParaRPr lang="en-AU" sz="1100" baseline="0"/>
        </a:p>
        <a:p>
          <a:r>
            <a:rPr lang="en-AU" sz="1100" baseline="0"/>
            <a:t>Green is cost estimate per case this has been seasonally adjusted for workforce participation, age (missed days and income). </a:t>
          </a:r>
        </a:p>
        <a:p>
          <a:endParaRPr lang="en-AU" sz="1100" baseline="0"/>
        </a:p>
        <a:p>
          <a:r>
            <a:rPr lang="en-AU" sz="1100"/>
            <a:t>Costs are broken</a:t>
          </a:r>
          <a:r>
            <a:rPr lang="en-AU" sz="1100" baseline="0"/>
            <a:t> down for </a:t>
          </a:r>
        </a:p>
        <a:p>
          <a:r>
            <a:rPr lang="en-AU" sz="1100" baseline="0"/>
            <a:t>1. Productavity cost (time off work) due to FBD</a:t>
          </a:r>
        </a:p>
        <a:p>
          <a:r>
            <a:rPr lang="en-AU" sz="1100" baseline="0"/>
            <a:t>	Low productavity loss -30% (BASECASE)</a:t>
          </a:r>
        </a:p>
        <a:p>
          <a:r>
            <a:rPr lang="en-AU" sz="1100" baseline="0"/>
            <a:t>	High productavity loss - 80% (SENSITIVITY ANALYSIS)</a:t>
          </a:r>
        </a:p>
        <a:p>
          <a:r>
            <a:rPr lang="en-AU" sz="1100" baseline="0"/>
            <a:t>2. Carer costs (time off work) related to caring for others  due to FBD</a:t>
          </a: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Low productavity loss -30% (BASECASE)</a:t>
          </a:r>
          <a:endParaRPr lang="en-AU">
            <a:effectLst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High productavity loss - 80% (SENSITIVITY ANALYSIS)</a:t>
          </a:r>
          <a:endParaRPr lang="en-AU">
            <a:effectLst/>
          </a:endParaRPr>
        </a:p>
        <a:p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ihw.gov.au/reports/older-people/older-australia-at-a-glance/contents/social-and-economic-engagement/employment-and-economic-participat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ihw.gov.au/reports/older-people/older-australia-at-a-glance/contents/social-and-economic-engagement/employment-and-economic-participa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activeCell="E14" sqref="E14"/>
    </sheetView>
  </sheetViews>
  <sheetFormatPr defaultRowHeight="15" x14ac:dyDescent="0.25"/>
  <cols>
    <col min="1" max="1" width="55" customWidth="1"/>
    <col min="2" max="2" width="15.28515625" customWidth="1"/>
    <col min="4" max="4" width="28.85546875" customWidth="1"/>
    <col min="5" max="5" width="23" customWidth="1"/>
    <col min="6" max="6" width="46.28515625" customWidth="1"/>
  </cols>
  <sheetData>
    <row r="1" spans="1:7" x14ac:dyDescent="0.25">
      <c r="A1" s="7" t="s">
        <v>43</v>
      </c>
      <c r="B1" s="14"/>
      <c r="C1" s="8"/>
      <c r="D1" s="8"/>
      <c r="E1" s="7"/>
      <c r="F1" s="7"/>
    </row>
    <row r="2" spans="1:7" ht="33" customHeight="1" x14ac:dyDescent="0.25">
      <c r="A2" s="3"/>
      <c r="B2" s="4" t="s">
        <v>7</v>
      </c>
      <c r="F2" s="2" t="s">
        <v>52</v>
      </c>
    </row>
    <row r="3" spans="1:7" x14ac:dyDescent="0.25">
      <c r="A3" s="2" t="s">
        <v>0</v>
      </c>
      <c r="F3" t="s">
        <v>3</v>
      </c>
    </row>
    <row r="4" spans="1:7" x14ac:dyDescent="0.25">
      <c r="A4" s="5" t="s">
        <v>2</v>
      </c>
      <c r="B4" s="6">
        <v>0.66</v>
      </c>
      <c r="F4" t="s">
        <v>51</v>
      </c>
    </row>
    <row r="5" spans="1:7" x14ac:dyDescent="0.25">
      <c r="A5" s="2" t="s">
        <v>4</v>
      </c>
      <c r="F5" t="s">
        <v>3</v>
      </c>
    </row>
    <row r="6" spans="1:7" x14ac:dyDescent="0.25">
      <c r="A6" s="30" t="s">
        <v>5</v>
      </c>
      <c r="B6" s="30">
        <v>0.79</v>
      </c>
      <c r="F6" t="s">
        <v>3</v>
      </c>
    </row>
    <row r="7" spans="1:7" ht="31.5" customHeight="1" x14ac:dyDescent="0.25">
      <c r="A7" s="30" t="s">
        <v>6</v>
      </c>
      <c r="B7" s="30">
        <v>0.28999999999999998</v>
      </c>
      <c r="F7" t="s">
        <v>3</v>
      </c>
    </row>
    <row r="8" spans="1:7" ht="31.5" customHeight="1" x14ac:dyDescent="0.25">
      <c r="A8" s="30" t="s">
        <v>131</v>
      </c>
      <c r="B8" s="30">
        <v>0.17</v>
      </c>
      <c r="F8" s="22" t="s">
        <v>130</v>
      </c>
    </row>
    <row r="9" spans="1:7" s="2" customFormat="1" ht="31.5" customHeight="1" x14ac:dyDescent="0.25">
      <c r="A9" s="2" t="s">
        <v>99</v>
      </c>
      <c r="B9" s="2" t="s">
        <v>100</v>
      </c>
      <c r="C9" s="2" t="s">
        <v>22</v>
      </c>
      <c r="D9" s="2" t="s">
        <v>102</v>
      </c>
      <c r="E9" s="2" t="s">
        <v>103</v>
      </c>
      <c r="F9" s="2" t="s">
        <v>104</v>
      </c>
    </row>
    <row r="10" spans="1:7" x14ac:dyDescent="0.25">
      <c r="A10" t="s">
        <v>141</v>
      </c>
      <c r="B10">
        <v>348</v>
      </c>
      <c r="C10" s="12">
        <v>3.4741379999999999</v>
      </c>
      <c r="D10" s="12">
        <v>0.76833680000000004</v>
      </c>
      <c r="E10" s="12">
        <v>1.962955</v>
      </c>
      <c r="F10" s="12">
        <v>4.9853209999999999</v>
      </c>
      <c r="G10" t="s">
        <v>3</v>
      </c>
    </row>
    <row r="11" spans="1:7" x14ac:dyDescent="0.25">
      <c r="A11" t="s">
        <v>128</v>
      </c>
      <c r="B11">
        <v>46</v>
      </c>
      <c r="C11" s="12">
        <v>5.6304350000000003</v>
      </c>
      <c r="D11" s="12">
        <v>3.1246809999999998</v>
      </c>
      <c r="E11" s="12">
        <v>-0.66299589999999997</v>
      </c>
      <c r="F11" s="12">
        <v>11.923870000000001</v>
      </c>
      <c r="G11" t="s">
        <v>3</v>
      </c>
    </row>
    <row r="12" spans="1:7" x14ac:dyDescent="0.25">
      <c r="A12" s="2" t="s">
        <v>106</v>
      </c>
      <c r="B12" s="2" t="s">
        <v>100</v>
      </c>
      <c r="C12" s="2" t="s">
        <v>22</v>
      </c>
      <c r="D12" s="2" t="s">
        <v>102</v>
      </c>
      <c r="E12" s="2" t="s">
        <v>103</v>
      </c>
      <c r="F12" s="2" t="s">
        <v>104</v>
      </c>
    </row>
    <row r="13" spans="1:7" x14ac:dyDescent="0.25">
      <c r="A13" t="s">
        <v>141</v>
      </c>
      <c r="B13">
        <v>69</v>
      </c>
      <c r="C13" s="12">
        <v>7</v>
      </c>
      <c r="D13" s="12">
        <v>2.5495100000000002</v>
      </c>
      <c r="E13" s="12">
        <v>1.9125319999999999</v>
      </c>
      <c r="F13" s="12">
        <v>12.08747</v>
      </c>
      <c r="G13" t="s">
        <v>3</v>
      </c>
    </row>
    <row r="14" spans="1:7" x14ac:dyDescent="0.25">
      <c r="A14" t="s">
        <v>128</v>
      </c>
      <c r="B14">
        <v>10</v>
      </c>
      <c r="C14" s="12">
        <v>25.7</v>
      </c>
      <c r="D14" s="12">
        <v>11.36862</v>
      </c>
      <c r="E14" s="35">
        <v>-1.7608599999999999E-2</v>
      </c>
      <c r="F14" s="12">
        <v>51.417610000000003</v>
      </c>
      <c r="G14" t="s">
        <v>3</v>
      </c>
    </row>
    <row r="15" spans="1:7" x14ac:dyDescent="0.25">
      <c r="B15" s="12"/>
      <c r="D15" s="12"/>
      <c r="E15" s="12"/>
    </row>
    <row r="16" spans="1:7" x14ac:dyDescent="0.25">
      <c r="A16" s="10" t="s">
        <v>134</v>
      </c>
      <c r="B16" s="2" t="s">
        <v>135</v>
      </c>
      <c r="C16" s="2" t="s">
        <v>98</v>
      </c>
    </row>
    <row r="17" spans="1:6" x14ac:dyDescent="0.25">
      <c r="A17" t="s">
        <v>127</v>
      </c>
      <c r="B17" s="18">
        <v>1768.9</v>
      </c>
      <c r="C17" s="1">
        <f t="shared" ref="C17:C18" si="0">B17/5</f>
        <v>353.78000000000003</v>
      </c>
      <c r="D17" t="s">
        <v>129</v>
      </c>
    </row>
    <row r="18" spans="1:6" x14ac:dyDescent="0.25">
      <c r="A18" t="s">
        <v>128</v>
      </c>
      <c r="B18" s="18">
        <v>1373.4</v>
      </c>
      <c r="C18" s="1">
        <f t="shared" si="0"/>
        <v>274.68</v>
      </c>
      <c r="D18" t="s">
        <v>132</v>
      </c>
    </row>
    <row r="21" spans="1:6" x14ac:dyDescent="0.25">
      <c r="A21" s="27" t="s">
        <v>107</v>
      </c>
      <c r="B21" s="28" t="s">
        <v>48</v>
      </c>
      <c r="C21" s="24"/>
      <c r="D21" s="27" t="s">
        <v>58</v>
      </c>
      <c r="E21" s="27" t="s">
        <v>105</v>
      </c>
      <c r="F21" s="1"/>
    </row>
    <row r="22" spans="1:6" x14ac:dyDescent="0.25">
      <c r="A22" s="24" t="s">
        <v>127</v>
      </c>
      <c r="B22" s="28">
        <f>B$4*C10*C17</f>
        <v>811.19315748240012</v>
      </c>
      <c r="C22" s="28"/>
      <c r="D22" s="28">
        <f>B$4*E10*C17</f>
        <v>458.33978513400007</v>
      </c>
      <c r="E22" s="28">
        <f>B$4*F10*C17</f>
        <v>1164.0465298308002</v>
      </c>
    </row>
    <row r="23" spans="1:6" x14ac:dyDescent="0.25">
      <c r="A23" s="24" t="s">
        <v>128</v>
      </c>
      <c r="B23" s="28">
        <f>B$4*C11*C18</f>
        <v>1020.7348046280001</v>
      </c>
      <c r="C23" s="29"/>
      <c r="D23" s="28">
        <f>B$4*E11*C18</f>
        <v>-120.19373111592</v>
      </c>
      <c r="E23" s="28">
        <f>B$4*F11*C18</f>
        <v>2161.6640836560005</v>
      </c>
    </row>
    <row r="25" spans="1:6" x14ac:dyDescent="0.25">
      <c r="A25" s="23" t="s">
        <v>101</v>
      </c>
      <c r="B25" s="24" t="s">
        <v>22</v>
      </c>
      <c r="C25" s="24"/>
      <c r="D25" s="24"/>
      <c r="E25" s="24"/>
    </row>
    <row r="26" spans="1:6" x14ac:dyDescent="0.25">
      <c r="A26" s="24" t="s">
        <v>127</v>
      </c>
      <c r="B26" s="29">
        <f>B$4*C17*C13</f>
        <v>1634.4636000000003</v>
      </c>
      <c r="C26" s="29"/>
      <c r="D26" s="29">
        <f>B$4*C17*E13</f>
        <v>446.5662768336</v>
      </c>
      <c r="E26" s="29">
        <f>B$4*C17*F13</f>
        <v>2822.3613901560002</v>
      </c>
    </row>
    <row r="27" spans="1:6" x14ac:dyDescent="0.25">
      <c r="A27" s="24" t="s">
        <v>128</v>
      </c>
      <c r="B27" s="29">
        <f>B$4*C18*C14</f>
        <v>4659.1221599999999</v>
      </c>
      <c r="C27" s="24"/>
      <c r="D27" s="29">
        <f>B$4*C18*E14</f>
        <v>-3.1922419636799999</v>
      </c>
      <c r="E27" s="29">
        <f>B$4*C18*F14</f>
        <v>9321.4368157680019</v>
      </c>
    </row>
    <row r="29" spans="1:6" x14ac:dyDescent="0.25">
      <c r="A29" s="24" t="s">
        <v>133</v>
      </c>
      <c r="B29" s="24" t="s">
        <v>22</v>
      </c>
    </row>
    <row r="30" spans="1:6" x14ac:dyDescent="0.25">
      <c r="A30" s="24" t="s">
        <v>127</v>
      </c>
      <c r="B30" s="26">
        <f>'WTP costs raw input'!B4*C10</f>
        <v>38.215518000000003</v>
      </c>
    </row>
    <row r="31" spans="1:6" x14ac:dyDescent="0.25">
      <c r="A31" s="24" t="s">
        <v>128</v>
      </c>
      <c r="B31" s="26">
        <f>'WTP costs raw input'!B4*C11</f>
        <v>61.934785000000005</v>
      </c>
    </row>
    <row r="33" spans="2:3" x14ac:dyDescent="0.25">
      <c r="B33" s="17"/>
      <c r="C33" s="17"/>
    </row>
  </sheetData>
  <phoneticPr fontId="6" type="noConversion"/>
  <hyperlinks>
    <hyperlink ref="F8" r:id="rId1" xr:uid="{97724CE1-5B1D-428C-B462-D7BF93A04737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topLeftCell="A4" workbookViewId="0">
      <selection activeCell="B35" sqref="B35"/>
    </sheetView>
  </sheetViews>
  <sheetFormatPr defaultRowHeight="15" x14ac:dyDescent="0.25"/>
  <cols>
    <col min="1" max="1" width="49.5703125" customWidth="1"/>
    <col min="2" max="2" width="47.42578125" customWidth="1"/>
    <col min="3" max="3" width="31.140625" customWidth="1"/>
    <col min="4" max="4" width="41.5703125" customWidth="1"/>
    <col min="5" max="5" width="36.7109375" customWidth="1"/>
    <col min="8" max="8" width="11.5703125" customWidth="1"/>
  </cols>
  <sheetData>
    <row r="1" spans="1:8" x14ac:dyDescent="0.25">
      <c r="A1" s="8" t="s">
        <v>66</v>
      </c>
      <c r="B1" s="8"/>
      <c r="C1" s="8"/>
      <c r="D1" s="8"/>
      <c r="E1" s="8"/>
      <c r="F1" s="8"/>
      <c r="G1" s="8"/>
      <c r="H1" s="8"/>
    </row>
    <row r="2" spans="1:8" x14ac:dyDescent="0.25">
      <c r="A2" s="2" t="s">
        <v>0</v>
      </c>
    </row>
    <row r="3" spans="1:8" x14ac:dyDescent="0.25">
      <c r="A3" t="s">
        <v>2</v>
      </c>
      <c r="B3" s="6">
        <v>0.66</v>
      </c>
      <c r="C3" t="s">
        <v>51</v>
      </c>
    </row>
    <row r="4" spans="1:8" ht="23.45" customHeight="1" x14ac:dyDescent="0.25">
      <c r="A4" s="2" t="s">
        <v>4</v>
      </c>
      <c r="F4" t="s">
        <v>3</v>
      </c>
    </row>
    <row r="5" spans="1:8" ht="23.45" customHeight="1" x14ac:dyDescent="0.25">
      <c r="A5" s="30" t="s">
        <v>5</v>
      </c>
      <c r="B5" s="30">
        <v>0.79</v>
      </c>
      <c r="F5" t="s">
        <v>3</v>
      </c>
    </row>
    <row r="6" spans="1:8" ht="23.45" customHeight="1" x14ac:dyDescent="0.25">
      <c r="A6" s="30" t="s">
        <v>6</v>
      </c>
      <c r="B6" s="30">
        <v>0.28999999999999998</v>
      </c>
      <c r="F6" t="s">
        <v>3</v>
      </c>
    </row>
    <row r="7" spans="1:8" ht="23.45" customHeight="1" x14ac:dyDescent="0.25">
      <c r="A7" s="30" t="s">
        <v>131</v>
      </c>
      <c r="B7" s="30">
        <v>0.17</v>
      </c>
      <c r="F7" s="22" t="s">
        <v>130</v>
      </c>
    </row>
    <row r="9" spans="1:8" x14ac:dyDescent="0.25">
      <c r="A9" s="10" t="s">
        <v>96</v>
      </c>
      <c r="B9" s="2" t="s">
        <v>97</v>
      </c>
      <c r="C9" s="2" t="s">
        <v>98</v>
      </c>
    </row>
    <row r="10" spans="1:8" x14ac:dyDescent="0.25">
      <c r="A10" t="s">
        <v>127</v>
      </c>
      <c r="B10" s="18">
        <v>1768.9</v>
      </c>
      <c r="C10" s="1">
        <f t="shared" ref="C10:C11" si="0">B10/5</f>
        <v>353.78000000000003</v>
      </c>
      <c r="D10" t="s">
        <v>95</v>
      </c>
    </row>
    <row r="11" spans="1:8" x14ac:dyDescent="0.25">
      <c r="A11" t="s">
        <v>128</v>
      </c>
      <c r="B11" s="18">
        <v>1373.4</v>
      </c>
      <c r="C11" s="1">
        <f t="shared" si="0"/>
        <v>274.68</v>
      </c>
      <c r="D11" t="s">
        <v>95</v>
      </c>
    </row>
    <row r="13" spans="1:8" x14ac:dyDescent="0.25">
      <c r="A13" s="2" t="s">
        <v>99</v>
      </c>
      <c r="B13" s="2" t="s">
        <v>100</v>
      </c>
      <c r="C13" s="2" t="s">
        <v>22</v>
      </c>
      <c r="D13" s="2" t="s">
        <v>102</v>
      </c>
      <c r="E13" s="2" t="s">
        <v>103</v>
      </c>
      <c r="F13" s="2" t="s">
        <v>104</v>
      </c>
      <c r="G13" s="2"/>
      <c r="H13" s="2"/>
    </row>
    <row r="14" spans="1:8" x14ac:dyDescent="0.25">
      <c r="A14" t="s">
        <v>141</v>
      </c>
      <c r="B14">
        <v>348</v>
      </c>
      <c r="C14" s="12">
        <v>3.4741379999999999</v>
      </c>
      <c r="D14" s="12">
        <v>0.76833680000000004</v>
      </c>
      <c r="E14" s="12">
        <v>1.962955</v>
      </c>
      <c r="F14" s="12">
        <v>4.9853209999999999</v>
      </c>
      <c r="G14" t="s">
        <v>3</v>
      </c>
    </row>
    <row r="15" spans="1:8" ht="15" customHeight="1" x14ac:dyDescent="0.25">
      <c r="A15" t="s">
        <v>128</v>
      </c>
      <c r="B15">
        <v>46</v>
      </c>
      <c r="C15" s="12">
        <v>5.6304350000000003</v>
      </c>
      <c r="D15" s="12">
        <v>3.1246809999999998</v>
      </c>
      <c r="E15" s="12">
        <v>-0.66299589999999997</v>
      </c>
      <c r="F15" s="12">
        <v>11.923870000000001</v>
      </c>
      <c r="G15" t="s">
        <v>3</v>
      </c>
    </row>
    <row r="16" spans="1:8" ht="15" customHeight="1" x14ac:dyDescent="0.25">
      <c r="A16" s="2" t="s">
        <v>106</v>
      </c>
      <c r="B16" s="2" t="s">
        <v>100</v>
      </c>
      <c r="C16" s="2" t="s">
        <v>22</v>
      </c>
      <c r="D16" s="2" t="s">
        <v>102</v>
      </c>
      <c r="E16" s="2" t="s">
        <v>103</v>
      </c>
      <c r="F16" s="2" t="s">
        <v>104</v>
      </c>
    </row>
    <row r="17" spans="1:7" x14ac:dyDescent="0.25">
      <c r="A17" t="s">
        <v>141</v>
      </c>
      <c r="B17">
        <v>69</v>
      </c>
      <c r="C17" s="12">
        <v>7</v>
      </c>
      <c r="D17" s="12">
        <v>2.5495100000000002</v>
      </c>
      <c r="E17" s="12">
        <v>1.9125319999999999</v>
      </c>
      <c r="F17" s="12">
        <v>12.08747</v>
      </c>
    </row>
    <row r="18" spans="1:7" x14ac:dyDescent="0.25">
      <c r="A18" t="s">
        <v>128</v>
      </c>
      <c r="B18">
        <v>10</v>
      </c>
      <c r="C18" s="12">
        <v>25.7</v>
      </c>
      <c r="D18" s="12">
        <v>11.36862</v>
      </c>
      <c r="E18" s="12">
        <v>-1.7608599999999999E-2</v>
      </c>
      <c r="F18" s="12">
        <v>51.417610000000003</v>
      </c>
      <c r="G18" t="s">
        <v>3</v>
      </c>
    </row>
    <row r="19" spans="1:7" x14ac:dyDescent="0.25">
      <c r="B19" s="12"/>
      <c r="D19" s="12"/>
      <c r="E19" s="12"/>
    </row>
    <row r="20" spans="1:7" x14ac:dyDescent="0.25">
      <c r="A20" s="2" t="s">
        <v>114</v>
      </c>
      <c r="B20" s="2" t="s">
        <v>67</v>
      </c>
      <c r="C20" s="2" t="s">
        <v>59</v>
      </c>
    </row>
    <row r="21" spans="1:7" x14ac:dyDescent="0.25">
      <c r="A21" t="s">
        <v>68</v>
      </c>
      <c r="B21" s="5">
        <v>0.3</v>
      </c>
      <c r="C21" t="s">
        <v>63</v>
      </c>
    </row>
    <row r="22" spans="1:7" x14ac:dyDescent="0.25">
      <c r="A22" t="s">
        <v>69</v>
      </c>
      <c r="B22" s="5">
        <v>0.8</v>
      </c>
      <c r="C22" t="s">
        <v>63</v>
      </c>
    </row>
    <row r="23" spans="1:7" x14ac:dyDescent="0.25">
      <c r="A23" s="36" t="s">
        <v>120</v>
      </c>
      <c r="B23" s="36"/>
      <c r="C23" s="36"/>
      <c r="D23" s="36"/>
    </row>
    <row r="24" spans="1:7" x14ac:dyDescent="0.25">
      <c r="A24" s="24" t="s">
        <v>110</v>
      </c>
      <c r="B24" s="24" t="s">
        <v>124</v>
      </c>
      <c r="C24" s="24" t="s">
        <v>111</v>
      </c>
      <c r="D24" s="24" t="s">
        <v>115</v>
      </c>
    </row>
    <row r="25" spans="1:7" x14ac:dyDescent="0.25">
      <c r="A25" s="24" t="s">
        <v>127</v>
      </c>
      <c r="B25" s="26">
        <f>B$3*C14*(B$21*C10)</f>
        <v>243.35794724472004</v>
      </c>
      <c r="C25" s="26">
        <f>B$3*E14*(B$21*C10)</f>
        <v>137.50193554020001</v>
      </c>
      <c r="D25" s="26">
        <f>B$3*F14*(B$21*C10)</f>
        <v>349.21395894924001</v>
      </c>
    </row>
    <row r="26" spans="1:7" x14ac:dyDescent="0.25">
      <c r="A26" s="24" t="s">
        <v>128</v>
      </c>
      <c r="B26" s="26">
        <f>B$3*C15*(B$21*C11)</f>
        <v>306.22044138839999</v>
      </c>
      <c r="C26" s="26">
        <f>B$3*E15*(B$21*C11)</f>
        <v>-36.058119334776002</v>
      </c>
      <c r="D26" s="26">
        <f>B$3*F15*(B$21*C11)</f>
        <v>648.49922509680005</v>
      </c>
    </row>
    <row r="28" spans="1:7" x14ac:dyDescent="0.25">
      <c r="A28" s="11" t="s">
        <v>110</v>
      </c>
      <c r="B28" s="2" t="s">
        <v>113</v>
      </c>
      <c r="C28" s="2" t="s">
        <v>111</v>
      </c>
      <c r="D28" s="2" t="s">
        <v>115</v>
      </c>
    </row>
    <row r="29" spans="1:7" x14ac:dyDescent="0.25">
      <c r="A29" t="s">
        <v>127</v>
      </c>
      <c r="B29" s="13">
        <f>B$3*C14*(B$22*C10)</f>
        <v>648.95452598592021</v>
      </c>
      <c r="C29" s="13">
        <f>B$3*E14*(B$22*C10)</f>
        <v>366.6718281072001</v>
      </c>
      <c r="D29" s="1">
        <f>B$3*F14*(B$22*C10)</f>
        <v>931.23722386464021</v>
      </c>
    </row>
    <row r="30" spans="1:7" x14ac:dyDescent="0.25">
      <c r="A30" t="s">
        <v>128</v>
      </c>
      <c r="B30" s="13">
        <f>B$3*C15*(B$22*C11)</f>
        <v>816.58784370240016</v>
      </c>
      <c r="C30" s="13">
        <f>B$3*E15*(B$22*C11)</f>
        <v>-96.15498489273601</v>
      </c>
      <c r="D30" s="1">
        <f>B$3*F15*(B$22*C11)</f>
        <v>1729.3312669248005</v>
      </c>
    </row>
    <row r="32" spans="1:7" x14ac:dyDescent="0.25">
      <c r="A32" s="36" t="s">
        <v>121</v>
      </c>
      <c r="B32" s="36"/>
      <c r="C32" s="36"/>
      <c r="D32" s="36"/>
    </row>
    <row r="33" spans="1:4" x14ac:dyDescent="0.25">
      <c r="A33" s="23" t="s">
        <v>101</v>
      </c>
      <c r="B33" s="24" t="s">
        <v>124</v>
      </c>
      <c r="C33" s="24" t="s">
        <v>111</v>
      </c>
      <c r="D33" s="24" t="s">
        <v>115</v>
      </c>
    </row>
    <row r="34" spans="1:4" x14ac:dyDescent="0.25">
      <c r="A34" s="24" t="s">
        <v>127</v>
      </c>
      <c r="B34" s="25">
        <f>B$3*C17*(B$21*C10)</f>
        <v>490.33908000000002</v>
      </c>
      <c r="C34" s="25">
        <f>B$3*E17*(B$21*C10)</f>
        <v>133.96988305008</v>
      </c>
      <c r="D34" s="25">
        <f>B$3*F17*(B$21*C10)</f>
        <v>846.70841704680004</v>
      </c>
    </row>
    <row r="35" spans="1:4" x14ac:dyDescent="0.25">
      <c r="A35" s="24" t="s">
        <v>128</v>
      </c>
      <c r="B35" s="25">
        <f>B$3*C18*(B$21*C11)</f>
        <v>1397.7366479999998</v>
      </c>
      <c r="C35" s="34">
        <f>B$3*E18*(B$21*C11)</f>
        <v>-0.95767258910399988</v>
      </c>
      <c r="D35" s="25">
        <f>B$3*F18*(B$21*C11)</f>
        <v>2796.4310447304001</v>
      </c>
    </row>
    <row r="37" spans="1:4" x14ac:dyDescent="0.25">
      <c r="A37" s="2" t="s">
        <v>101</v>
      </c>
      <c r="B37" s="2" t="s">
        <v>124</v>
      </c>
      <c r="C37" s="2" t="s">
        <v>111</v>
      </c>
      <c r="D37" s="2" t="s">
        <v>115</v>
      </c>
    </row>
    <row r="38" spans="1:4" x14ac:dyDescent="0.25">
      <c r="A38" t="s">
        <v>127</v>
      </c>
      <c r="B38" s="1">
        <f>B$3*C18*(B$22*C10)</f>
        <v>4800.6530880000009</v>
      </c>
      <c r="C38" s="19">
        <f>B$3*C10*(B$22*D18)</f>
        <v>2123.6109225408004</v>
      </c>
      <c r="D38" s="19">
        <f>B$3*C10*(B$22*F18)</f>
        <v>9604.5956507424016</v>
      </c>
    </row>
    <row r="39" spans="1:4" x14ac:dyDescent="0.25">
      <c r="A39" t="s">
        <v>128</v>
      </c>
      <c r="B39" s="1">
        <f>B$3*C17*(B$22*C11)</f>
        <v>1015.2172800000002</v>
      </c>
      <c r="C39" s="19">
        <f>B$3*C11*(B$22*E18)</f>
        <v>-2.5537935709439998</v>
      </c>
      <c r="D39" s="19">
        <f>B$3*C11*(B$22*F18)</f>
        <v>7457.1494526144015</v>
      </c>
    </row>
    <row r="42" spans="1:4" x14ac:dyDescent="0.25">
      <c r="A42" s="24" t="s">
        <v>133</v>
      </c>
      <c r="B42" s="24" t="s">
        <v>22</v>
      </c>
    </row>
    <row r="43" spans="1:4" x14ac:dyDescent="0.25">
      <c r="A43" s="24" t="s">
        <v>127</v>
      </c>
      <c r="B43" s="26">
        <f>'WTP costs raw input'!B4*C14</f>
        <v>38.215518000000003</v>
      </c>
    </row>
    <row r="44" spans="1:4" x14ac:dyDescent="0.25">
      <c r="A44" s="24" t="s">
        <v>128</v>
      </c>
      <c r="B44" s="26">
        <f>'WTP costs raw input'!B4*C15</f>
        <v>61.934785000000005</v>
      </c>
    </row>
  </sheetData>
  <mergeCells count="2">
    <mergeCell ref="A23:D23"/>
    <mergeCell ref="A32:D32"/>
  </mergeCells>
  <hyperlinks>
    <hyperlink ref="F7" r:id="rId1" xr:uid="{5022326A-2E02-45F9-80DA-9167076759A5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2C0A-8A09-4CE8-BE34-76647BF02367}">
  <dimension ref="A1:G38"/>
  <sheetViews>
    <sheetView topLeftCell="A11" workbookViewId="0">
      <selection activeCell="B22" sqref="B22"/>
    </sheetView>
  </sheetViews>
  <sheetFormatPr defaultRowHeight="15" x14ac:dyDescent="0.25"/>
  <cols>
    <col min="1" max="1" width="48.5703125" customWidth="1"/>
    <col min="2" max="2" width="40.7109375" customWidth="1"/>
    <col min="3" max="3" width="22.42578125" customWidth="1"/>
    <col min="4" max="4" width="22.5703125" customWidth="1"/>
  </cols>
  <sheetData>
    <row r="1" spans="1:7" x14ac:dyDescent="0.25">
      <c r="A1" s="2" t="s">
        <v>0</v>
      </c>
    </row>
    <row r="2" spans="1:7" x14ac:dyDescent="0.25">
      <c r="A2" t="s">
        <v>2</v>
      </c>
      <c r="B2" s="6">
        <v>0.66</v>
      </c>
      <c r="C2" t="s">
        <v>51</v>
      </c>
    </row>
    <row r="3" spans="1:7" x14ac:dyDescent="0.25">
      <c r="A3" t="s">
        <v>54</v>
      </c>
      <c r="B3" s="6">
        <v>0.62</v>
      </c>
      <c r="C3" t="s">
        <v>51</v>
      </c>
    </row>
    <row r="4" spans="1:7" x14ac:dyDescent="0.25">
      <c r="A4" t="s">
        <v>55</v>
      </c>
      <c r="B4">
        <v>0.71</v>
      </c>
      <c r="C4" t="s">
        <v>51</v>
      </c>
    </row>
    <row r="6" spans="1:7" x14ac:dyDescent="0.25">
      <c r="A6" s="2" t="s">
        <v>9</v>
      </c>
      <c r="B6" s="2" t="s">
        <v>46</v>
      </c>
      <c r="C6" s="2" t="s">
        <v>60</v>
      </c>
      <c r="D6" s="2" t="s">
        <v>116</v>
      </c>
    </row>
    <row r="7" spans="1:7" x14ac:dyDescent="0.25">
      <c r="A7" t="s">
        <v>108</v>
      </c>
      <c r="B7">
        <f>12.3*5</f>
        <v>61.5</v>
      </c>
      <c r="C7">
        <f>15.1*5</f>
        <v>75.5</v>
      </c>
      <c r="D7">
        <f>B7-(1.96*C7)</f>
        <v>-86.47999999999999</v>
      </c>
      <c r="E7">
        <f>B7+(1.96*C7)</f>
        <v>209.48</v>
      </c>
      <c r="F7" t="s">
        <v>61</v>
      </c>
      <c r="G7" t="s">
        <v>64</v>
      </c>
    </row>
    <row r="8" spans="1:7" x14ac:dyDescent="0.25">
      <c r="A8" t="s">
        <v>109</v>
      </c>
      <c r="B8">
        <f>10.1*5</f>
        <v>50.5</v>
      </c>
      <c r="C8">
        <f>13.1*5</f>
        <v>65.5</v>
      </c>
      <c r="D8">
        <f>B8-(1.96*C8)</f>
        <v>-77.88</v>
      </c>
      <c r="E8">
        <f>B8+(1.96*C8)</f>
        <v>178.88</v>
      </c>
      <c r="F8" t="s">
        <v>61</v>
      </c>
      <c r="G8" t="s">
        <v>64</v>
      </c>
    </row>
    <row r="10" spans="1:7" x14ac:dyDescent="0.25">
      <c r="A10" t="s">
        <v>117</v>
      </c>
    </row>
    <row r="11" spans="1:7" x14ac:dyDescent="0.25">
      <c r="A11" t="s">
        <v>118</v>
      </c>
      <c r="B11">
        <v>0.3</v>
      </c>
    </row>
    <row r="12" spans="1:7" x14ac:dyDescent="0.25">
      <c r="A12" t="s">
        <v>57</v>
      </c>
      <c r="B12">
        <v>0.8</v>
      </c>
    </row>
    <row r="14" spans="1:7" x14ac:dyDescent="0.25">
      <c r="A14" s="10" t="s">
        <v>96</v>
      </c>
      <c r="B14" s="2" t="s">
        <v>97</v>
      </c>
      <c r="C14" s="2" t="s">
        <v>98</v>
      </c>
    </row>
    <row r="15" spans="1:7" x14ac:dyDescent="0.25">
      <c r="A15" t="s">
        <v>94</v>
      </c>
      <c r="B15" s="18">
        <v>1288.7</v>
      </c>
      <c r="C15" s="1">
        <f t="shared" ref="C15:C20" si="0">B15/5</f>
        <v>257.74</v>
      </c>
      <c r="D15" t="s">
        <v>95</v>
      </c>
    </row>
    <row r="16" spans="1:7" x14ac:dyDescent="0.25">
      <c r="A16" t="s">
        <v>89</v>
      </c>
      <c r="B16" s="1">
        <v>383.7</v>
      </c>
      <c r="C16" s="1">
        <f t="shared" si="0"/>
        <v>76.739999999999995</v>
      </c>
      <c r="D16" t="s">
        <v>95</v>
      </c>
    </row>
    <row r="17" spans="1:5" x14ac:dyDescent="0.25">
      <c r="A17" t="s">
        <v>90</v>
      </c>
      <c r="B17" s="18">
        <v>1127.5999999999999</v>
      </c>
      <c r="C17" s="1">
        <f t="shared" si="0"/>
        <v>225.51999999999998</v>
      </c>
      <c r="D17" t="s">
        <v>95</v>
      </c>
    </row>
    <row r="18" spans="1:5" x14ac:dyDescent="0.25">
      <c r="A18" t="s">
        <v>91</v>
      </c>
      <c r="B18" s="18">
        <v>1503.7</v>
      </c>
      <c r="C18" s="1">
        <f t="shared" si="0"/>
        <v>300.74</v>
      </c>
      <c r="D18" t="s">
        <v>95</v>
      </c>
    </row>
    <row r="19" spans="1:5" x14ac:dyDescent="0.25">
      <c r="A19" t="s">
        <v>92</v>
      </c>
      <c r="B19" s="18">
        <v>1544.2</v>
      </c>
      <c r="C19" s="1">
        <f t="shared" si="0"/>
        <v>308.84000000000003</v>
      </c>
      <c r="D19" t="s">
        <v>95</v>
      </c>
    </row>
    <row r="20" spans="1:5" x14ac:dyDescent="0.25">
      <c r="A20" t="s">
        <v>93</v>
      </c>
      <c r="B20" s="18">
        <v>1373.4</v>
      </c>
      <c r="C20" s="1">
        <f t="shared" si="0"/>
        <v>274.68</v>
      </c>
      <c r="D20" t="s">
        <v>95</v>
      </c>
    </row>
    <row r="21" spans="1:5" x14ac:dyDescent="0.25">
      <c r="B21" s="1">
        <f>(B17+B18+B19)/3</f>
        <v>1391.8333333333333</v>
      </c>
    </row>
    <row r="23" spans="1:5" x14ac:dyDescent="0.25">
      <c r="A23" s="2" t="s">
        <v>62</v>
      </c>
      <c r="B23" s="37" t="s">
        <v>119</v>
      </c>
      <c r="C23" s="37"/>
      <c r="D23" s="37"/>
      <c r="E23" s="2"/>
    </row>
    <row r="24" spans="1:5" x14ac:dyDescent="0.25">
      <c r="A24" s="2" t="s">
        <v>123</v>
      </c>
      <c r="B24" s="2" t="s">
        <v>122</v>
      </c>
      <c r="C24" s="2" t="s">
        <v>111</v>
      </c>
      <c r="D24" s="2" t="s">
        <v>115</v>
      </c>
    </row>
    <row r="25" spans="1:5" x14ac:dyDescent="0.25">
      <c r="A25" t="s">
        <v>94</v>
      </c>
      <c r="B25" s="13">
        <f>B$2*B$8*(B$11*C15)</f>
        <v>2577.1422600000001</v>
      </c>
      <c r="C25" s="13">
        <f>B$2*D$8*(B$11*C15)</f>
        <v>-3974.4126575999999</v>
      </c>
      <c r="D25" s="19">
        <f>B$2*E$7*(B$11*C15)</f>
        <v>10690.2922896</v>
      </c>
      <c r="E25" t="s">
        <v>65</v>
      </c>
    </row>
    <row r="26" spans="1:5" x14ac:dyDescent="0.25">
      <c r="A26" t="s">
        <v>89</v>
      </c>
      <c r="B26" s="13">
        <f t="shared" ref="B26:B29" si="1">B$2*B$8*(B$11*C16)</f>
        <v>767.32325999999989</v>
      </c>
      <c r="C26" s="13">
        <f t="shared" ref="C26:C29" si="2">B$2*D$8*(B$11*C16)</f>
        <v>-1183.3492175999997</v>
      </c>
      <c r="D26" s="19">
        <f t="shared" ref="D26:D29" si="3">B$2*E$7*(B$11*C16)</f>
        <v>3182.9480495999996</v>
      </c>
      <c r="E26" t="s">
        <v>65</v>
      </c>
    </row>
    <row r="27" spans="1:5" x14ac:dyDescent="0.25">
      <c r="A27" t="s">
        <v>90</v>
      </c>
      <c r="B27" s="13">
        <f t="shared" si="1"/>
        <v>2254.9744799999994</v>
      </c>
      <c r="C27" s="13">
        <f t="shared" si="2"/>
        <v>-3477.5725247999994</v>
      </c>
      <c r="D27" s="19">
        <f t="shared" si="3"/>
        <v>9353.9020607999992</v>
      </c>
      <c r="E27" t="s">
        <v>65</v>
      </c>
    </row>
    <row r="28" spans="1:5" x14ac:dyDescent="0.25">
      <c r="A28" t="s">
        <v>91</v>
      </c>
      <c r="B28" s="13">
        <f t="shared" si="1"/>
        <v>3007.0992599999995</v>
      </c>
      <c r="C28" s="13">
        <f t="shared" si="2"/>
        <v>-4637.4829775999997</v>
      </c>
      <c r="D28" s="19">
        <f t="shared" si="3"/>
        <v>12473.805009599999</v>
      </c>
      <c r="E28" t="s">
        <v>65</v>
      </c>
    </row>
    <row r="29" spans="1:5" x14ac:dyDescent="0.25">
      <c r="A29" t="s">
        <v>92</v>
      </c>
      <c r="B29" s="13">
        <f t="shared" si="1"/>
        <v>3088.0911599999999</v>
      </c>
      <c r="C29" s="13">
        <f t="shared" si="2"/>
        <v>-4762.3869215999994</v>
      </c>
      <c r="D29" s="19">
        <f t="shared" si="3"/>
        <v>12809.7690336</v>
      </c>
      <c r="E29" t="s">
        <v>65</v>
      </c>
    </row>
    <row r="30" spans="1:5" x14ac:dyDescent="0.25">
      <c r="A30" t="s">
        <v>93</v>
      </c>
      <c r="B30" s="13">
        <f>B$2*B$8*(B$11*C20)</f>
        <v>2746.5253199999997</v>
      </c>
      <c r="C30" s="13">
        <f>B$2*D$8*(B$11*C20)</f>
        <v>-4235.6315231999997</v>
      </c>
      <c r="D30" s="19">
        <f>B$2*E$7*(B$11*C20)</f>
        <v>11392.913347199999</v>
      </c>
      <c r="E30" t="s">
        <v>65</v>
      </c>
    </row>
    <row r="31" spans="1:5" x14ac:dyDescent="0.25">
      <c r="B31" s="13"/>
      <c r="C31" s="13"/>
      <c r="D31" s="19"/>
    </row>
    <row r="32" spans="1:5" x14ac:dyDescent="0.25">
      <c r="A32" s="2" t="s">
        <v>123</v>
      </c>
      <c r="B32" s="2" t="s">
        <v>112</v>
      </c>
      <c r="C32" s="2" t="s">
        <v>111</v>
      </c>
      <c r="D32" s="2" t="s">
        <v>115</v>
      </c>
    </row>
    <row r="33" spans="1:4" x14ac:dyDescent="0.25">
      <c r="A33" t="s">
        <v>94</v>
      </c>
      <c r="B33" s="13">
        <f>'Friction cost '!B$2*'Friction cost '!B$8*('Samonella friction costs'!B$22*'Friction cost '!C15)</f>
        <v>6872.3793599999999</v>
      </c>
      <c r="C33" s="13">
        <f>B$2*D$8*(B$12*C15)</f>
        <v>-10598.4337536</v>
      </c>
      <c r="D33" s="19">
        <f>B$2*E$7*(B$11*C15)</f>
        <v>10690.2922896</v>
      </c>
    </row>
    <row r="34" spans="1:4" x14ac:dyDescent="0.25">
      <c r="A34" t="s">
        <v>89</v>
      </c>
      <c r="B34" s="13">
        <f>'Friction cost '!B$2*'Friction cost '!B$8*('Samonella friction costs'!B$22*'Friction cost '!C16)</f>
        <v>2046.1953599999997</v>
      </c>
      <c r="C34" s="13">
        <f t="shared" ref="C34:C37" si="4">B$2*D$8*(B$12*C16)</f>
        <v>-3155.5979135999996</v>
      </c>
      <c r="D34" s="19">
        <f t="shared" ref="D34:D37" si="5">B$2*E$7*(B$11*C16)</f>
        <v>3182.9480495999996</v>
      </c>
    </row>
    <row r="35" spans="1:4" x14ac:dyDescent="0.25">
      <c r="A35" t="s">
        <v>90</v>
      </c>
      <c r="B35" s="13">
        <f>'Friction cost '!B$2*'Friction cost '!B$8*('Samonella friction costs'!B$22*'Friction cost '!C17)</f>
        <v>6013.2652799999996</v>
      </c>
      <c r="C35" s="13">
        <f t="shared" si="4"/>
        <v>-9273.5267327999991</v>
      </c>
      <c r="D35" s="19">
        <f t="shared" si="5"/>
        <v>9353.9020607999992</v>
      </c>
    </row>
    <row r="36" spans="1:4" x14ac:dyDescent="0.25">
      <c r="A36" t="s">
        <v>91</v>
      </c>
      <c r="B36" s="13">
        <f>'Friction cost '!B$2*'Friction cost '!B$8*('Samonella friction costs'!B$22*'Friction cost '!C18)</f>
        <v>8018.9313599999996</v>
      </c>
      <c r="C36" s="13">
        <f t="shared" si="4"/>
        <v>-12366.6212736</v>
      </c>
      <c r="D36" s="19">
        <f t="shared" si="5"/>
        <v>12473.805009599999</v>
      </c>
    </row>
    <row r="37" spans="1:4" x14ac:dyDescent="0.25">
      <c r="A37" t="s">
        <v>92</v>
      </c>
      <c r="B37" s="13">
        <f>'Friction cost '!B$2*'Friction cost '!B$8*('Samonella friction costs'!B$22*'Friction cost '!C19)</f>
        <v>8234.9097600000005</v>
      </c>
      <c r="C37" s="13">
        <f t="shared" si="4"/>
        <v>-12699.698457600001</v>
      </c>
      <c r="D37" s="19">
        <f t="shared" si="5"/>
        <v>12809.7690336</v>
      </c>
    </row>
    <row r="38" spans="1:4" x14ac:dyDescent="0.25">
      <c r="A38" t="s">
        <v>93</v>
      </c>
      <c r="B38" s="13">
        <f>'Friction cost '!B$2*'Friction cost '!B$8*('Samonella friction costs'!B$22*'Friction cost '!C20)</f>
        <v>7324.0675200000005</v>
      </c>
      <c r="C38" s="13">
        <f>B$2*D$8*(B$12*C20)</f>
        <v>-11295.0173952</v>
      </c>
      <c r="D38" s="19">
        <f>B$2*E$7*(B$11*C20)</f>
        <v>11392.913347199999</v>
      </c>
    </row>
  </sheetData>
  <mergeCells count="1">
    <mergeCell ref="B23:D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362D-5366-400B-AF34-747774E44B6A}">
  <dimension ref="A1:C6"/>
  <sheetViews>
    <sheetView workbookViewId="0">
      <selection activeCell="A5" sqref="A5:XFD5"/>
    </sheetView>
  </sheetViews>
  <sheetFormatPr defaultRowHeight="15" x14ac:dyDescent="0.25"/>
  <cols>
    <col min="1" max="1" width="23.140625" customWidth="1"/>
    <col min="2" max="2" width="18.7109375" customWidth="1"/>
  </cols>
  <sheetData>
    <row r="1" spans="1:3" x14ac:dyDescent="0.25">
      <c r="A1" s="2" t="s">
        <v>85</v>
      </c>
    </row>
    <row r="2" spans="1:3" x14ac:dyDescent="0.25">
      <c r="A2" s="2" t="s">
        <v>83</v>
      </c>
      <c r="B2">
        <v>1497.2</v>
      </c>
      <c r="C2" t="s">
        <v>88</v>
      </c>
    </row>
    <row r="3" spans="1:3" x14ac:dyDescent="0.25">
      <c r="A3" s="2" t="s">
        <v>84</v>
      </c>
      <c r="B3">
        <v>316.8</v>
      </c>
      <c r="C3" t="s">
        <v>88</v>
      </c>
    </row>
    <row r="4" spans="1:3" ht="90" x14ac:dyDescent="0.25">
      <c r="A4" s="2" t="s">
        <v>86</v>
      </c>
      <c r="B4" s="5" t="s">
        <v>87</v>
      </c>
    </row>
    <row r="5" spans="1:3" x14ac:dyDescent="0.25">
      <c r="A5" s="2" t="s">
        <v>81</v>
      </c>
      <c r="B5" s="2" t="s">
        <v>82</v>
      </c>
    </row>
    <row r="6" spans="1:3" x14ac:dyDescent="0.25">
      <c r="A6" s="16">
        <v>41.3</v>
      </c>
      <c r="B6" s="16">
        <v>6.6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C8" sqref="C8"/>
    </sheetView>
  </sheetViews>
  <sheetFormatPr defaultRowHeight="15" x14ac:dyDescent="0.25"/>
  <cols>
    <col min="1" max="1" width="27.5703125" customWidth="1"/>
    <col min="2" max="2" width="26.28515625" customWidth="1"/>
    <col min="3" max="3" width="23.5703125" customWidth="1"/>
  </cols>
  <sheetData>
    <row r="1" spans="1:3" x14ac:dyDescent="0.25">
      <c r="A1" s="2" t="s">
        <v>1</v>
      </c>
      <c r="B1" s="2" t="s">
        <v>56</v>
      </c>
    </row>
    <row r="2" spans="1:3" x14ac:dyDescent="0.25">
      <c r="A2" s="31" t="s">
        <v>8</v>
      </c>
      <c r="B2" s="32">
        <v>4900000</v>
      </c>
      <c r="C2" t="s">
        <v>53</v>
      </c>
    </row>
    <row r="3" spans="1:3" x14ac:dyDescent="0.25">
      <c r="A3" t="s">
        <v>138</v>
      </c>
      <c r="B3" t="s">
        <v>139</v>
      </c>
    </row>
    <row r="4" spans="1:3" x14ac:dyDescent="0.25">
      <c r="A4" s="30" t="s">
        <v>136</v>
      </c>
      <c r="B4" s="30">
        <v>19</v>
      </c>
      <c r="C4" t="s">
        <v>137</v>
      </c>
    </row>
    <row r="7" spans="1:3" x14ac:dyDescent="0.25">
      <c r="A7" s="2" t="s">
        <v>140</v>
      </c>
      <c r="B7" s="9">
        <f>B2*B4</f>
        <v>93100000</v>
      </c>
      <c r="C7" s="33" t="s">
        <v>142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J36"/>
  <sheetViews>
    <sheetView topLeftCell="A5" workbookViewId="0">
      <selection activeCell="F6" sqref="F6"/>
    </sheetView>
  </sheetViews>
  <sheetFormatPr defaultRowHeight="15" x14ac:dyDescent="0.25"/>
  <cols>
    <col min="1" max="1" width="17.85546875" customWidth="1"/>
    <col min="3" max="3" width="13.85546875" customWidth="1"/>
    <col min="4" max="4" width="18.28515625" customWidth="1"/>
    <col min="9" max="9" width="30.85546875" customWidth="1"/>
    <col min="10" max="10" width="18" customWidth="1"/>
    <col min="11" max="11" width="20.85546875" customWidth="1"/>
  </cols>
  <sheetData>
    <row r="5" spans="1:10" x14ac:dyDescent="0.25">
      <c r="B5" t="s">
        <v>46</v>
      </c>
      <c r="C5" t="s">
        <v>44</v>
      </c>
      <c r="E5" t="s">
        <v>45</v>
      </c>
    </row>
    <row r="6" spans="1:10" x14ac:dyDescent="0.25">
      <c r="A6" t="s">
        <v>47</v>
      </c>
      <c r="B6">
        <v>3.37</v>
      </c>
      <c r="C6">
        <v>2.59</v>
      </c>
      <c r="D6">
        <v>4.3</v>
      </c>
      <c r="E6" t="s">
        <v>10</v>
      </c>
      <c r="F6" t="s">
        <v>42</v>
      </c>
    </row>
    <row r="8" spans="1:10" x14ac:dyDescent="0.25">
      <c r="A8" t="s">
        <v>49</v>
      </c>
      <c r="B8" t="s">
        <v>41</v>
      </c>
      <c r="H8" t="s">
        <v>18</v>
      </c>
    </row>
    <row r="9" spans="1:10" x14ac:dyDescent="0.25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</row>
    <row r="10" spans="1:10" x14ac:dyDescent="0.25">
      <c r="A10" t="s">
        <v>29</v>
      </c>
    </row>
    <row r="11" spans="1:10" ht="15" customHeight="1" x14ac:dyDescent="0.25">
      <c r="A11" t="s">
        <v>30</v>
      </c>
    </row>
    <row r="12" spans="1:10" ht="15" customHeight="1" x14ac:dyDescent="0.25">
      <c r="A12" t="s">
        <v>31</v>
      </c>
      <c r="B12" t="s">
        <v>32</v>
      </c>
      <c r="C12" t="s">
        <v>33</v>
      </c>
      <c r="D12">
        <v>164</v>
      </c>
      <c r="E12" t="s">
        <v>34</v>
      </c>
      <c r="F12">
        <v>0</v>
      </c>
      <c r="G12" t="s">
        <v>35</v>
      </c>
      <c r="H12">
        <v>7531</v>
      </c>
      <c r="I12">
        <v>6.5</v>
      </c>
      <c r="J12">
        <v>5.2</v>
      </c>
    </row>
    <row r="13" spans="1:10" x14ac:dyDescent="0.25">
      <c r="A13" t="s">
        <v>36</v>
      </c>
      <c r="B13" t="s">
        <v>37</v>
      </c>
      <c r="C13" t="s">
        <v>38</v>
      </c>
      <c r="D13">
        <v>185</v>
      </c>
      <c r="E13" t="s">
        <v>39</v>
      </c>
      <c r="F13">
        <v>0</v>
      </c>
      <c r="G13" t="s">
        <v>40</v>
      </c>
      <c r="H13">
        <v>8505</v>
      </c>
      <c r="I13">
        <v>7.3</v>
      </c>
      <c r="J13">
        <v>5.9</v>
      </c>
    </row>
    <row r="16" spans="1:10" x14ac:dyDescent="0.25">
      <c r="A16" t="s">
        <v>11</v>
      </c>
      <c r="B16">
        <v>41</v>
      </c>
      <c r="C16" t="s">
        <v>10</v>
      </c>
      <c r="D16" t="s">
        <v>14</v>
      </c>
      <c r="E16" t="s">
        <v>13</v>
      </c>
    </row>
    <row r="17" spans="1:5" x14ac:dyDescent="0.25">
      <c r="A17" t="s">
        <v>12</v>
      </c>
      <c r="B17">
        <v>211</v>
      </c>
      <c r="C17" t="s">
        <v>10</v>
      </c>
      <c r="D17" t="s">
        <v>14</v>
      </c>
      <c r="E17" t="s">
        <v>13</v>
      </c>
    </row>
    <row r="18" spans="1:5" ht="15" customHeight="1" x14ac:dyDescent="0.25"/>
    <row r="19" spans="1:5" x14ac:dyDescent="0.25">
      <c r="A19" t="s">
        <v>16</v>
      </c>
      <c r="B19" t="s">
        <v>15</v>
      </c>
      <c r="E19" t="s">
        <v>17</v>
      </c>
    </row>
    <row r="22" spans="1:5" ht="15" customHeight="1" x14ac:dyDescent="0.25">
      <c r="A22" t="s">
        <v>50</v>
      </c>
    </row>
    <row r="23" spans="1:5" ht="15" customHeight="1" x14ac:dyDescent="0.25"/>
    <row r="26" spans="1:5" ht="15" customHeight="1" x14ac:dyDescent="0.25"/>
    <row r="31" spans="1:5" ht="15" customHeight="1" x14ac:dyDescent="0.25"/>
    <row r="36" ht="1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tabSelected="1" workbookViewId="0">
      <selection activeCell="B4" sqref="B4"/>
    </sheetView>
  </sheetViews>
  <sheetFormatPr defaultRowHeight="15" x14ac:dyDescent="0.25"/>
  <cols>
    <col min="1" max="1" width="34.140625" customWidth="1"/>
    <col min="2" max="2" width="21.140625" customWidth="1"/>
    <col min="3" max="3" width="20.5703125" customWidth="1"/>
    <col min="4" max="4" width="17.85546875" customWidth="1"/>
    <col min="5" max="5" width="11.28515625" customWidth="1"/>
  </cols>
  <sheetData>
    <row r="1" spans="1:6" x14ac:dyDescent="0.25">
      <c r="A1" s="2"/>
      <c r="B1" s="38" t="s">
        <v>73</v>
      </c>
      <c r="C1" s="38"/>
      <c r="D1" s="38"/>
      <c r="E1" s="38"/>
      <c r="F1" s="38"/>
    </row>
    <row r="2" spans="1:6" x14ac:dyDescent="0.25">
      <c r="A2" s="2" t="s">
        <v>80</v>
      </c>
      <c r="E2" s="15"/>
      <c r="F2" s="15"/>
    </row>
    <row r="3" spans="1:6" x14ac:dyDescent="0.25">
      <c r="A3" s="2" t="s">
        <v>76</v>
      </c>
      <c r="B3" s="2" t="s">
        <v>79</v>
      </c>
      <c r="C3" s="39" t="s">
        <v>125</v>
      </c>
      <c r="D3" s="39"/>
      <c r="E3" s="15"/>
      <c r="F3" s="15"/>
    </row>
    <row r="4" spans="1:6" x14ac:dyDescent="0.25">
      <c r="A4" s="20" t="s">
        <v>77</v>
      </c>
      <c r="B4">
        <v>11</v>
      </c>
      <c r="C4" s="21">
        <v>9</v>
      </c>
      <c r="D4" s="21">
        <v>12</v>
      </c>
      <c r="E4" s="15"/>
      <c r="F4" s="15"/>
    </row>
    <row r="5" spans="1:6" x14ac:dyDescent="0.25">
      <c r="A5" s="20" t="s">
        <v>78</v>
      </c>
      <c r="B5">
        <v>8</v>
      </c>
      <c r="C5" s="21">
        <v>6</v>
      </c>
      <c r="D5" s="21">
        <v>10</v>
      </c>
      <c r="E5" s="15"/>
      <c r="F5" s="15"/>
    </row>
    <row r="6" spans="1:6" x14ac:dyDescent="0.25">
      <c r="A6" s="20" t="s">
        <v>70</v>
      </c>
      <c r="B6">
        <v>344</v>
      </c>
      <c r="C6" s="21">
        <v>124</v>
      </c>
      <c r="D6" s="21">
        <v>506</v>
      </c>
      <c r="E6" s="15"/>
      <c r="F6" s="15"/>
    </row>
    <row r="7" spans="1:6" x14ac:dyDescent="0.25">
      <c r="A7" s="20" t="s">
        <v>126</v>
      </c>
      <c r="B7">
        <v>762</v>
      </c>
      <c r="C7" s="21">
        <v>625</v>
      </c>
      <c r="D7" s="21">
        <v>862</v>
      </c>
      <c r="E7" s="15"/>
      <c r="F7" s="15"/>
    </row>
    <row r="8" spans="1:6" x14ac:dyDescent="0.25">
      <c r="A8" s="20" t="s">
        <v>71</v>
      </c>
      <c r="B8">
        <v>605</v>
      </c>
      <c r="C8" s="21">
        <v>461</v>
      </c>
      <c r="D8" s="21">
        <v>714</v>
      </c>
      <c r="E8" s="15"/>
      <c r="F8" s="15"/>
    </row>
    <row r="9" spans="1:6" x14ac:dyDescent="0.25">
      <c r="A9" s="20" t="s">
        <v>72</v>
      </c>
      <c r="B9">
        <v>901</v>
      </c>
      <c r="C9" s="21">
        <v>778</v>
      </c>
      <c r="D9" s="21">
        <v>1637</v>
      </c>
      <c r="E9" s="15"/>
      <c r="F9" s="15"/>
    </row>
    <row r="10" spans="1:6" x14ac:dyDescent="0.25">
      <c r="A10" s="2" t="s">
        <v>75</v>
      </c>
      <c r="B10" s="2" t="s">
        <v>74</v>
      </c>
      <c r="C10" s="39" t="s">
        <v>125</v>
      </c>
      <c r="D10" s="39"/>
      <c r="E10" s="15"/>
      <c r="F10" s="15"/>
    </row>
    <row r="11" spans="1:6" x14ac:dyDescent="0.25">
      <c r="A11" s="20" t="s">
        <v>77</v>
      </c>
      <c r="B11">
        <v>23</v>
      </c>
      <c r="C11" s="5">
        <v>22</v>
      </c>
      <c r="D11" s="5">
        <v>24</v>
      </c>
      <c r="E11" s="15"/>
      <c r="F11" s="15"/>
    </row>
    <row r="12" spans="1:6" x14ac:dyDescent="0.25">
      <c r="A12" s="20" t="s">
        <v>78</v>
      </c>
      <c r="B12">
        <v>19</v>
      </c>
      <c r="C12" s="5">
        <v>17</v>
      </c>
      <c r="D12" s="5">
        <v>20</v>
      </c>
      <c r="E12" s="15"/>
      <c r="F12" s="15"/>
    </row>
    <row r="13" spans="1:6" x14ac:dyDescent="0.25">
      <c r="A13" s="20" t="s">
        <v>70</v>
      </c>
      <c r="B13">
        <v>964</v>
      </c>
      <c r="C13">
        <v>755</v>
      </c>
      <c r="D13">
        <v>1100</v>
      </c>
    </row>
    <row r="14" spans="1:6" x14ac:dyDescent="0.25">
      <c r="A14" s="20" t="s">
        <v>126</v>
      </c>
      <c r="B14">
        <v>1371</v>
      </c>
      <c r="C14">
        <v>1291</v>
      </c>
      <c r="D14">
        <v>1426</v>
      </c>
    </row>
    <row r="15" spans="1:6" x14ac:dyDescent="0.25">
      <c r="A15" s="20" t="s">
        <v>71</v>
      </c>
      <c r="B15">
        <v>1166</v>
      </c>
      <c r="C15">
        <v>1060</v>
      </c>
      <c r="D15">
        <v>1241</v>
      </c>
    </row>
    <row r="16" spans="1:6" x14ac:dyDescent="0.25">
      <c r="A16" s="20" t="s">
        <v>72</v>
      </c>
      <c r="B16">
        <v>1620</v>
      </c>
      <c r="C16">
        <v>1595</v>
      </c>
      <c r="D16">
        <v>1637</v>
      </c>
    </row>
  </sheetData>
  <mergeCells count="3">
    <mergeCell ref="B1:F1"/>
    <mergeCell ref="C3:D3"/>
    <mergeCell ref="C10:D1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0E2D424787274E8E55DF82506F4FBE" ma:contentTypeVersion="14" ma:contentTypeDescription="Create a new document." ma:contentTypeScope="" ma:versionID="7e2b27450df985a21413d23e4faa597a">
  <xsd:schema xmlns:xsd="http://www.w3.org/2001/XMLSchema" xmlns:xs="http://www.w3.org/2001/XMLSchema" xmlns:p="http://schemas.microsoft.com/office/2006/metadata/properties" xmlns:ns3="8700fbed-dbf9-4b2a-8ccd-6c2d710c29b8" xmlns:ns4="319c0f3d-e5fd-4394-8897-b6c00c45ebb3" targetNamespace="http://schemas.microsoft.com/office/2006/metadata/properties" ma:root="true" ma:fieldsID="7c78aeea7dd9130f1ff39b4cb357ce38" ns3:_="" ns4:_="">
    <xsd:import namespace="8700fbed-dbf9-4b2a-8ccd-6c2d710c29b8"/>
    <xsd:import namespace="319c0f3d-e5fd-4394-8897-b6c00c45eb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fbed-dbf9-4b2a-8ccd-6c2d710c29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c0f3d-e5fd-4394-8897-b6c00c45eb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A8D48E-3298-45C7-A13A-AE7F3A3245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fbed-dbf9-4b2a-8ccd-6c2d710c29b8"/>
    <ds:schemaRef ds:uri="319c0f3d-e5fd-4394-8897-b6c00c45eb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A8137E-901F-4403-81C0-EF4F188BFB9D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8700fbed-dbf9-4b2a-8ccd-6c2d710c29b8"/>
    <ds:schemaRef ds:uri="319c0f3d-e5fd-4394-8897-b6c00c45ebb3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5FDAC09-ABF8-48B1-9A3C-6D05783084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Samonella human capital costs</vt:lpstr>
      <vt:lpstr>Samonella friction costs</vt:lpstr>
      <vt:lpstr>Friction cost </vt:lpstr>
      <vt:lpstr>Co-payments</vt:lpstr>
      <vt:lpstr>Fatal costs</vt:lpstr>
      <vt:lpstr>Days off </vt:lpstr>
      <vt:lpstr>WTP costs raw input</vt:lpstr>
    </vt:vector>
  </TitlesOfParts>
  <Company>The Australian 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Siobhan Bourke</dc:creator>
  <cp:lastModifiedBy>Katie Glass</cp:lastModifiedBy>
  <dcterms:created xsi:type="dcterms:W3CDTF">2021-07-26T06:09:48Z</dcterms:created>
  <dcterms:modified xsi:type="dcterms:W3CDTF">2024-12-12T00:56:52Z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0x010100820E2D424787274E8E55DF82506F4FBE</vt:lpwstr>
  </property>
</Properties>
</file>