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cmcou-my.sharepoint.com/personal/2254022105quoc_ou_edu_vn/Documents/University/Môn học/Y3S3/Thiết lập thẩm định dự án đầu tư/"/>
    </mc:Choice>
  </mc:AlternateContent>
  <xr:revisionPtr revIDLastSave="29" documentId="8_{8A0D4535-81C8-43DC-9706-52BFE6D31F4C}" xr6:coauthVersionLast="47" xr6:coauthVersionMax="47" xr10:uidLastSave="{80C7DB9E-F6D5-468F-8474-2BEEE0637853}"/>
  <bookViews>
    <workbookView xWindow="-120" yWindow="-120" windowWidth="29040" windowHeight="15720" xr2:uid="{00000000-000D-0000-FFFF-FFFF00000000}"/>
  </bookViews>
  <sheets>
    <sheet name="Thuyết trình" sheetId="1" r:id="rId1"/>
    <sheet name="Scenario Summary" sheetId="2" r:id="rId2"/>
    <sheet name="No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I45" i="1" s="1"/>
  <c r="I73" i="1"/>
  <c r="B41" i="1"/>
  <c r="B43" i="1"/>
  <c r="R132" i="3"/>
  <c r="R129" i="3"/>
  <c r="R119" i="3"/>
  <c r="X114" i="3"/>
  <c r="X113" i="3"/>
  <c r="R112" i="3"/>
  <c r="X106" i="3"/>
  <c r="N86" i="3"/>
  <c r="N85" i="3"/>
  <c r="N92" i="3" s="1"/>
  <c r="K84" i="3"/>
  <c r="X83" i="3"/>
  <c r="N83" i="3"/>
  <c r="X82" i="3"/>
  <c r="N82" i="3"/>
  <c r="N81" i="3"/>
  <c r="X76" i="3"/>
  <c r="K73" i="3"/>
  <c r="H72" i="3"/>
  <c r="M73" i="3" s="1"/>
  <c r="M84" i="3" s="1"/>
  <c r="H64" i="3"/>
  <c r="R41" i="3" s="1"/>
  <c r="R48" i="3" s="1"/>
  <c r="N59" i="3"/>
  <c r="N58" i="3"/>
  <c r="N56" i="3"/>
  <c r="N54" i="3"/>
  <c r="N52" i="3"/>
  <c r="N49" i="3"/>
  <c r="X43" i="3"/>
  <c r="G43" i="3"/>
  <c r="X42" i="3"/>
  <c r="S42" i="3"/>
  <c r="G42" i="3"/>
  <c r="G41" i="3"/>
  <c r="B41" i="3"/>
  <c r="G40" i="3"/>
  <c r="B39" i="3"/>
  <c r="H36" i="3"/>
  <c r="R107" i="3" s="1"/>
  <c r="R110" i="3" s="1"/>
  <c r="X35" i="3"/>
  <c r="M33" i="3"/>
  <c r="L33" i="3"/>
  <c r="K33" i="3"/>
  <c r="J33" i="3"/>
  <c r="I33" i="3"/>
  <c r="I31" i="3"/>
  <c r="I25" i="3"/>
  <c r="G25" i="3"/>
  <c r="G24" i="3"/>
  <c r="G23" i="3"/>
  <c r="G22" i="3"/>
  <c r="AJ21" i="3"/>
  <c r="AI21" i="3"/>
  <c r="AH21" i="3"/>
  <c r="G21" i="3"/>
  <c r="AJ20" i="3"/>
  <c r="AI20" i="3"/>
  <c r="AH20" i="3"/>
  <c r="G20" i="3"/>
  <c r="G19" i="3"/>
  <c r="I19" i="3" s="1"/>
  <c r="I14" i="3"/>
  <c r="J14" i="3" s="1"/>
  <c r="G13" i="3"/>
  <c r="G12" i="3"/>
  <c r="X11" i="3"/>
  <c r="G11" i="3"/>
  <c r="X10" i="3"/>
  <c r="G10" i="3"/>
  <c r="G14" i="3" s="1"/>
  <c r="L6" i="3"/>
  <c r="H6" i="3"/>
  <c r="L5" i="3"/>
  <c r="X4" i="3"/>
  <c r="N4" i="3"/>
  <c r="M4" i="3"/>
  <c r="L4" i="3"/>
  <c r="K4" i="3"/>
  <c r="J4" i="3"/>
  <c r="I4" i="3"/>
  <c r="I5" i="3" s="1"/>
  <c r="I6" i="3" s="1"/>
  <c r="N3" i="3"/>
  <c r="M3" i="3"/>
  <c r="L3" i="3"/>
  <c r="K3" i="3"/>
  <c r="J3" i="3"/>
  <c r="I3" i="3"/>
  <c r="AI21" i="1"/>
  <c r="AJ21" i="1"/>
  <c r="AH21" i="1"/>
  <c r="AI20" i="1"/>
  <c r="AJ20" i="1"/>
  <c r="AH20" i="1"/>
  <c r="X107" i="1"/>
  <c r="X106" i="1"/>
  <c r="X99" i="1"/>
  <c r="N86" i="1"/>
  <c r="X76" i="1"/>
  <c r="N83" i="1"/>
  <c r="X75" i="1"/>
  <c r="N82" i="1"/>
  <c r="N85" i="1" s="1"/>
  <c r="N92" i="1" s="1"/>
  <c r="N81" i="1"/>
  <c r="X69" i="1"/>
  <c r="H72" i="1"/>
  <c r="M73" i="1" s="1"/>
  <c r="M84" i="1" s="1"/>
  <c r="H64" i="1"/>
  <c r="R41" i="1" s="1"/>
  <c r="R48" i="1" s="1"/>
  <c r="N59" i="1"/>
  <c r="N58" i="1"/>
  <c r="N56" i="1"/>
  <c r="N54" i="1"/>
  <c r="N52" i="1"/>
  <c r="N49" i="1"/>
  <c r="X43" i="1"/>
  <c r="G43" i="1"/>
  <c r="X42" i="1"/>
  <c r="G42" i="1"/>
  <c r="G41" i="1"/>
  <c r="G40" i="1"/>
  <c r="B39" i="1"/>
  <c r="H36" i="1"/>
  <c r="R100" i="1" s="1"/>
  <c r="R103" i="1" s="1"/>
  <c r="X35" i="1"/>
  <c r="M33" i="1"/>
  <c r="L33" i="1"/>
  <c r="K33" i="1"/>
  <c r="J33" i="1"/>
  <c r="G25" i="1"/>
  <c r="G24" i="1"/>
  <c r="G23" i="1"/>
  <c r="G22" i="1"/>
  <c r="G21" i="1"/>
  <c r="G20" i="1"/>
  <c r="G19" i="1"/>
  <c r="I19" i="1" s="1"/>
  <c r="G13" i="1"/>
  <c r="G12" i="1"/>
  <c r="I14" i="1" s="1"/>
  <c r="J14" i="1" s="1"/>
  <c r="X11" i="1"/>
  <c r="G11" i="1"/>
  <c r="X10" i="1"/>
  <c r="G10" i="1"/>
  <c r="G14" i="1" s="1"/>
  <c r="H6" i="1"/>
  <c r="X4" i="1"/>
  <c r="N4" i="1"/>
  <c r="M4" i="1"/>
  <c r="L4" i="1"/>
  <c r="K4" i="1"/>
  <c r="J4" i="1"/>
  <c r="J5" i="1" s="1"/>
  <c r="J6" i="1" s="1"/>
  <c r="I4" i="1"/>
  <c r="I5" i="1" s="1"/>
  <c r="N3" i="1"/>
  <c r="M3" i="1"/>
  <c r="L3" i="1"/>
  <c r="K3" i="1"/>
  <c r="J3" i="1"/>
  <c r="I3" i="1"/>
  <c r="I25" i="1" l="1"/>
  <c r="I31" i="1"/>
  <c r="I33" i="1"/>
  <c r="S46" i="1" s="1"/>
  <c r="T4" i="3"/>
  <c r="J54" i="3"/>
  <c r="J43" i="3"/>
  <c r="J22" i="3"/>
  <c r="T76" i="3"/>
  <c r="J81" i="3"/>
  <c r="T106" i="3"/>
  <c r="T35" i="3"/>
  <c r="J15" i="3"/>
  <c r="J25" i="3"/>
  <c r="K14" i="3"/>
  <c r="K43" i="3" s="1"/>
  <c r="J20" i="3"/>
  <c r="S117" i="3"/>
  <c r="S46" i="3"/>
  <c r="X14" i="3"/>
  <c r="X86" i="3"/>
  <c r="N5" i="3"/>
  <c r="N6" i="3" s="1"/>
  <c r="I24" i="3"/>
  <c r="J24" i="3"/>
  <c r="T46" i="3"/>
  <c r="T117" i="3"/>
  <c r="I82" i="3"/>
  <c r="S113" i="3"/>
  <c r="J19" i="3"/>
  <c r="I58" i="3"/>
  <c r="S10" i="3"/>
  <c r="I26" i="3"/>
  <c r="S82" i="3"/>
  <c r="I15" i="3"/>
  <c r="S4" i="3"/>
  <c r="S35" i="3"/>
  <c r="I54" i="3"/>
  <c r="I55" i="3" s="1"/>
  <c r="S76" i="3"/>
  <c r="S106" i="3"/>
  <c r="I81" i="3"/>
  <c r="I20" i="3"/>
  <c r="B40" i="3"/>
  <c r="J40" i="3"/>
  <c r="J49" i="3" s="1"/>
  <c r="J23" i="3"/>
  <c r="K6" i="3"/>
  <c r="I23" i="3"/>
  <c r="R120" i="3"/>
  <c r="N87" i="3"/>
  <c r="H65" i="3"/>
  <c r="I41" i="3"/>
  <c r="I52" i="3" s="1"/>
  <c r="I53" i="3" s="1"/>
  <c r="V117" i="3"/>
  <c r="U117" i="3"/>
  <c r="J5" i="3"/>
  <c r="J41" i="3"/>
  <c r="J52" i="3" s="1"/>
  <c r="U46" i="3"/>
  <c r="I73" i="3"/>
  <c r="W117" i="3"/>
  <c r="R9" i="3"/>
  <c r="R15" i="3" s="1"/>
  <c r="R16" i="3" s="1"/>
  <c r="K5" i="3"/>
  <c r="I22" i="3"/>
  <c r="K41" i="3"/>
  <c r="K52" i="3" s="1"/>
  <c r="K53" i="3" s="1"/>
  <c r="I43" i="3"/>
  <c r="V46" i="3"/>
  <c r="J73" i="3"/>
  <c r="J84" i="3" s="1"/>
  <c r="H66" i="3"/>
  <c r="R36" i="3" s="1"/>
  <c r="R39" i="3" s="1"/>
  <c r="R49" i="3" s="1"/>
  <c r="I32" i="3"/>
  <c r="I34" i="3" s="1"/>
  <c r="I36" i="3" s="1"/>
  <c r="J31" i="3" s="1"/>
  <c r="W46" i="3"/>
  <c r="M5" i="3"/>
  <c r="M6" i="3" s="1"/>
  <c r="J6" i="3"/>
  <c r="I21" i="3"/>
  <c r="L73" i="3"/>
  <c r="L84" i="3" s="1"/>
  <c r="R81" i="3"/>
  <c r="R87" i="3" s="1"/>
  <c r="R88" i="3" s="1"/>
  <c r="R89" i="3" s="1"/>
  <c r="R98" i="3" s="1"/>
  <c r="J21" i="3"/>
  <c r="I40" i="3"/>
  <c r="I49" i="3" s="1"/>
  <c r="I50" i="3" s="1"/>
  <c r="R105" i="1"/>
  <c r="R112" i="1" s="1"/>
  <c r="R113" i="1" s="1"/>
  <c r="I74" i="1"/>
  <c r="H66" i="1"/>
  <c r="R36" i="1" s="1"/>
  <c r="R39" i="1" s="1"/>
  <c r="R9" i="1"/>
  <c r="R15" i="1" s="1"/>
  <c r="R16" i="1" s="1"/>
  <c r="B40" i="1"/>
  <c r="I20" i="1"/>
  <c r="N5" i="1"/>
  <c r="N6" i="1" s="1"/>
  <c r="I15" i="1"/>
  <c r="J24" i="1"/>
  <c r="S4" i="1"/>
  <c r="S99" i="1"/>
  <c r="I54" i="1"/>
  <c r="S69" i="1"/>
  <c r="S35" i="1"/>
  <c r="I81" i="1"/>
  <c r="X14" i="1"/>
  <c r="X79" i="1"/>
  <c r="I82" i="1"/>
  <c r="J19" i="1"/>
  <c r="I58" i="1"/>
  <c r="S10" i="1"/>
  <c r="I26" i="1"/>
  <c r="S75" i="1"/>
  <c r="S106" i="1"/>
  <c r="S42" i="1"/>
  <c r="N87" i="1"/>
  <c r="S110" i="1"/>
  <c r="H65" i="1"/>
  <c r="T110" i="1"/>
  <c r="U110" i="1"/>
  <c r="I41" i="1"/>
  <c r="I52" i="1" s="1"/>
  <c r="I53" i="1" s="1"/>
  <c r="T46" i="1"/>
  <c r="V110" i="1"/>
  <c r="I24" i="1"/>
  <c r="U46" i="1"/>
  <c r="W110" i="1"/>
  <c r="K5" i="1"/>
  <c r="K6" i="1" s="1"/>
  <c r="I22" i="1"/>
  <c r="V46" i="1"/>
  <c r="J73" i="1"/>
  <c r="J84" i="1" s="1"/>
  <c r="L5" i="1"/>
  <c r="L6" i="1" s="1"/>
  <c r="I6" i="1"/>
  <c r="I32" i="1"/>
  <c r="W46" i="1"/>
  <c r="K73" i="1"/>
  <c r="K84" i="1" s="1"/>
  <c r="I23" i="1"/>
  <c r="M5" i="1"/>
  <c r="M6" i="1" s="1"/>
  <c r="I21" i="1"/>
  <c r="L73" i="1"/>
  <c r="L84" i="1" s="1"/>
  <c r="R74" i="1"/>
  <c r="R80" i="1" s="1"/>
  <c r="I40" i="1"/>
  <c r="I49" i="1" s="1"/>
  <c r="I50" i="1" s="1"/>
  <c r="I84" i="1"/>
  <c r="R49" i="1" l="1"/>
  <c r="J22" i="1"/>
  <c r="K56" i="3"/>
  <c r="J32" i="3"/>
  <c r="J82" i="3"/>
  <c r="J85" i="3" s="1"/>
  <c r="T113" i="3"/>
  <c r="J58" i="3"/>
  <c r="T10" i="3"/>
  <c r="J26" i="3"/>
  <c r="K19" i="3"/>
  <c r="T82" i="3"/>
  <c r="T42" i="3"/>
  <c r="U4" i="3"/>
  <c r="K54" i="3"/>
  <c r="K55" i="3" s="1"/>
  <c r="U76" i="3"/>
  <c r="U79" i="3" s="1"/>
  <c r="U106" i="3"/>
  <c r="U110" i="3" s="1"/>
  <c r="U35" i="3"/>
  <c r="U39" i="3" s="1"/>
  <c r="L14" i="3"/>
  <c r="K81" i="3"/>
  <c r="K15" i="3"/>
  <c r="K40" i="3"/>
  <c r="K49" i="3" s="1"/>
  <c r="K50" i="3" s="1"/>
  <c r="K20" i="3"/>
  <c r="K25" i="3"/>
  <c r="R17" i="3"/>
  <c r="S108" i="3"/>
  <c r="S110" i="3" s="1"/>
  <c r="S5" i="3"/>
  <c r="S7" i="3" s="1"/>
  <c r="S37" i="3"/>
  <c r="S39" i="3" s="1"/>
  <c r="S77" i="3"/>
  <c r="S79" i="3" s="1"/>
  <c r="I74" i="3"/>
  <c r="J74" i="3" s="1"/>
  <c r="K74" i="3" s="1"/>
  <c r="L74" i="3" s="1"/>
  <c r="M74" i="3" s="1"/>
  <c r="M76" i="3" s="1"/>
  <c r="I84" i="3"/>
  <c r="N88" i="3"/>
  <c r="N89" i="3" s="1"/>
  <c r="J83" i="3"/>
  <c r="J59" i="3"/>
  <c r="T114" i="3"/>
  <c r="T11" i="3"/>
  <c r="J27" i="3"/>
  <c r="T83" i="3"/>
  <c r="T43" i="3"/>
  <c r="R127" i="3"/>
  <c r="R121" i="3"/>
  <c r="R130" i="3" s="1"/>
  <c r="K22" i="3"/>
  <c r="I51" i="3"/>
  <c r="S45" i="3"/>
  <c r="S116" i="3"/>
  <c r="S13" i="3"/>
  <c r="S85" i="3"/>
  <c r="J53" i="3"/>
  <c r="K24" i="3"/>
  <c r="J56" i="3"/>
  <c r="J57" i="3" s="1"/>
  <c r="J44" i="3"/>
  <c r="J45" i="3" s="1"/>
  <c r="U77" i="3"/>
  <c r="U37" i="3"/>
  <c r="U5" i="3"/>
  <c r="U108" i="3"/>
  <c r="I83" i="3"/>
  <c r="I85" i="3" s="1"/>
  <c r="S83" i="3"/>
  <c r="S11" i="3"/>
  <c r="S114" i="3"/>
  <c r="I27" i="3"/>
  <c r="I59" i="3"/>
  <c r="S43" i="3"/>
  <c r="R56" i="3"/>
  <c r="K23" i="3"/>
  <c r="R50" i="3"/>
  <c r="R59" i="3" s="1"/>
  <c r="R95" i="3"/>
  <c r="I35" i="3"/>
  <c r="I86" i="3"/>
  <c r="I56" i="3"/>
  <c r="I57" i="3" s="1"/>
  <c r="I44" i="3"/>
  <c r="I45" i="3" s="1"/>
  <c r="J50" i="3"/>
  <c r="K21" i="3"/>
  <c r="I35" i="1"/>
  <c r="I86" i="1"/>
  <c r="T4" i="1"/>
  <c r="J54" i="1"/>
  <c r="K14" i="1"/>
  <c r="T69" i="1"/>
  <c r="T99" i="1"/>
  <c r="T35" i="1"/>
  <c r="J81" i="1"/>
  <c r="J25" i="1"/>
  <c r="J20" i="1"/>
  <c r="J15" i="1"/>
  <c r="R17" i="1"/>
  <c r="J21" i="1"/>
  <c r="S101" i="1"/>
  <c r="S103" i="1" s="1"/>
  <c r="S5" i="1"/>
  <c r="S7" i="1" s="1"/>
  <c r="S37" i="1"/>
  <c r="S70" i="1"/>
  <c r="S72" i="1" s="1"/>
  <c r="I56" i="1"/>
  <c r="I57" i="1" s="1"/>
  <c r="J23" i="1"/>
  <c r="S39" i="1"/>
  <c r="I51" i="1"/>
  <c r="S45" i="1"/>
  <c r="S13" i="1"/>
  <c r="S109" i="1"/>
  <c r="S78" i="1"/>
  <c r="J41" i="1"/>
  <c r="J52" i="1" s="1"/>
  <c r="J53" i="1" s="1"/>
  <c r="R81" i="1"/>
  <c r="J43" i="1"/>
  <c r="J40" i="1"/>
  <c r="J49" i="1" s="1"/>
  <c r="J50" i="1" s="1"/>
  <c r="J82" i="1"/>
  <c r="J58" i="1"/>
  <c r="T10" i="1"/>
  <c r="J26" i="1"/>
  <c r="K19" i="1"/>
  <c r="T42" i="1"/>
  <c r="T75" i="1"/>
  <c r="T106" i="1"/>
  <c r="N88" i="1"/>
  <c r="N89" i="1" s="1"/>
  <c r="R120" i="1"/>
  <c r="R114" i="1"/>
  <c r="R123" i="1" s="1"/>
  <c r="I34" i="1"/>
  <c r="I36" i="1" s="1"/>
  <c r="J31" i="1" s="1"/>
  <c r="I55" i="1"/>
  <c r="I83" i="1"/>
  <c r="I85" i="1" s="1"/>
  <c r="S76" i="1"/>
  <c r="S107" i="1"/>
  <c r="I27" i="1"/>
  <c r="S11" i="1"/>
  <c r="I59" i="1"/>
  <c r="S43" i="1"/>
  <c r="J74" i="1"/>
  <c r="K74" i="1" s="1"/>
  <c r="L74" i="1" s="1"/>
  <c r="M74" i="1" s="1"/>
  <c r="M76" i="1" s="1"/>
  <c r="R50" i="1" l="1"/>
  <c r="R59" i="1" s="1"/>
  <c r="R56" i="1"/>
  <c r="I92" i="3"/>
  <c r="I87" i="3"/>
  <c r="J92" i="3"/>
  <c r="J87" i="3"/>
  <c r="R26" i="3"/>
  <c r="R23" i="3"/>
  <c r="T77" i="3"/>
  <c r="T79" i="3" s="1"/>
  <c r="T37" i="3"/>
  <c r="T39" i="3" s="1"/>
  <c r="T108" i="3"/>
  <c r="T110" i="3" s="1"/>
  <c r="T5" i="3"/>
  <c r="T7" i="3" s="1"/>
  <c r="U7" i="3"/>
  <c r="J55" i="3"/>
  <c r="T45" i="3"/>
  <c r="T116" i="3"/>
  <c r="T85" i="3"/>
  <c r="T13" i="3"/>
  <c r="J51" i="3"/>
  <c r="M75" i="3"/>
  <c r="M77" i="3"/>
  <c r="S44" i="3"/>
  <c r="S12" i="3"/>
  <c r="S84" i="3"/>
  <c r="I60" i="3"/>
  <c r="S115" i="3"/>
  <c r="U114" i="3"/>
  <c r="K27" i="3"/>
  <c r="U11" i="3"/>
  <c r="U43" i="3"/>
  <c r="U83" i="3"/>
  <c r="K59" i="3"/>
  <c r="K83" i="3"/>
  <c r="K58" i="3"/>
  <c r="U10" i="3"/>
  <c r="K26" i="3"/>
  <c r="L19" i="3"/>
  <c r="U82" i="3"/>
  <c r="U113" i="3"/>
  <c r="U42" i="3"/>
  <c r="K82" i="3"/>
  <c r="K85" i="3" s="1"/>
  <c r="T12" i="3"/>
  <c r="T115" i="3"/>
  <c r="T84" i="3"/>
  <c r="J60" i="3"/>
  <c r="T44" i="3"/>
  <c r="L54" i="3"/>
  <c r="V76" i="3"/>
  <c r="V106" i="3"/>
  <c r="V35" i="3"/>
  <c r="L25" i="3"/>
  <c r="L81" i="3"/>
  <c r="M14" i="3"/>
  <c r="L15" i="3"/>
  <c r="V4" i="3"/>
  <c r="L40" i="3"/>
  <c r="L49" i="3" s="1"/>
  <c r="L50" i="3" s="1"/>
  <c r="L20" i="3"/>
  <c r="L21" i="3"/>
  <c r="L24" i="3"/>
  <c r="L22" i="3"/>
  <c r="L41" i="3"/>
  <c r="L52" i="3" s="1"/>
  <c r="L53" i="3" s="1"/>
  <c r="L43" i="3"/>
  <c r="L23" i="3"/>
  <c r="U116" i="3"/>
  <c r="U13" i="3"/>
  <c r="U85" i="3"/>
  <c r="U45" i="3"/>
  <c r="K51" i="3"/>
  <c r="K57" i="3"/>
  <c r="J86" i="3"/>
  <c r="J35" i="3"/>
  <c r="J34" i="3"/>
  <c r="J36" i="3" s="1"/>
  <c r="K31" i="3" s="1"/>
  <c r="K44" i="3"/>
  <c r="K45" i="3" s="1"/>
  <c r="T45" i="1"/>
  <c r="T109" i="1"/>
  <c r="T13" i="1"/>
  <c r="T78" i="1"/>
  <c r="J51" i="1"/>
  <c r="S44" i="1"/>
  <c r="S12" i="1"/>
  <c r="I60" i="1"/>
  <c r="S77" i="1"/>
  <c r="S108" i="1"/>
  <c r="R26" i="1"/>
  <c r="R23" i="1"/>
  <c r="T37" i="1"/>
  <c r="T39" i="1" s="1"/>
  <c r="T70" i="1"/>
  <c r="T101" i="1"/>
  <c r="T5" i="1"/>
  <c r="T7" i="1" s="1"/>
  <c r="J32" i="1"/>
  <c r="T103" i="1"/>
  <c r="R88" i="1"/>
  <c r="R82" i="1"/>
  <c r="R91" i="1" s="1"/>
  <c r="T72" i="1"/>
  <c r="I92" i="1"/>
  <c r="I87" i="1"/>
  <c r="J55" i="1"/>
  <c r="K58" i="1"/>
  <c r="U10" i="1"/>
  <c r="K26" i="1"/>
  <c r="U106" i="1"/>
  <c r="L19" i="1"/>
  <c r="U75" i="1"/>
  <c r="U42" i="1"/>
  <c r="K82" i="1"/>
  <c r="J83" i="1"/>
  <c r="J85" i="1" s="1"/>
  <c r="T43" i="1"/>
  <c r="T107" i="1"/>
  <c r="T11" i="1"/>
  <c r="J27" i="1"/>
  <c r="T76" i="1"/>
  <c r="J59" i="1"/>
  <c r="J56" i="1"/>
  <c r="J57" i="1" s="1"/>
  <c r="J44" i="1"/>
  <c r="J45" i="1" s="1"/>
  <c r="U4" i="1"/>
  <c r="K25" i="1"/>
  <c r="K54" i="1"/>
  <c r="K55" i="1" s="1"/>
  <c r="K15" i="1"/>
  <c r="U69" i="1"/>
  <c r="U99" i="1"/>
  <c r="U35" i="1"/>
  <c r="K81" i="1"/>
  <c r="L14" i="1"/>
  <c r="K20" i="1"/>
  <c r="K40" i="1"/>
  <c r="K49" i="1" s="1"/>
  <c r="K50" i="1" s="1"/>
  <c r="K23" i="1"/>
  <c r="K41" i="1"/>
  <c r="K52" i="1" s="1"/>
  <c r="K53" i="1" s="1"/>
  <c r="K24" i="1"/>
  <c r="K21" i="1"/>
  <c r="K22" i="1"/>
  <c r="K43" i="1"/>
  <c r="M75" i="1"/>
  <c r="M77" i="1" s="1"/>
  <c r="K92" i="3" l="1"/>
  <c r="T14" i="3"/>
  <c r="T15" i="3" s="1"/>
  <c r="T16" i="3" s="1"/>
  <c r="T17" i="3" s="1"/>
  <c r="T86" i="3"/>
  <c r="T87" i="3" s="1"/>
  <c r="T88" i="3" s="1"/>
  <c r="T89" i="3" s="1"/>
  <c r="V79" i="3"/>
  <c r="L55" i="3"/>
  <c r="J88" i="3"/>
  <c r="J89" i="3"/>
  <c r="J91" i="3" s="1"/>
  <c r="L44" i="3"/>
  <c r="L45" i="3" s="1"/>
  <c r="L56" i="3"/>
  <c r="L57" i="3" s="1"/>
  <c r="I88" i="3"/>
  <c r="L58" i="3"/>
  <c r="V10" i="3"/>
  <c r="L26" i="3"/>
  <c r="M19" i="3"/>
  <c r="V82" i="3"/>
  <c r="V113" i="3"/>
  <c r="V42" i="3"/>
  <c r="L82" i="3"/>
  <c r="K32" i="3"/>
  <c r="V116" i="3"/>
  <c r="L51" i="3"/>
  <c r="V13" i="3"/>
  <c r="V85" i="3"/>
  <c r="V45" i="3"/>
  <c r="X38" i="3"/>
  <c r="X78" i="3"/>
  <c r="X109" i="3"/>
  <c r="N90" i="3"/>
  <c r="N91" i="3" s="1"/>
  <c r="X6" i="3"/>
  <c r="N77" i="3"/>
  <c r="S86" i="3"/>
  <c r="S87" i="3" s="1"/>
  <c r="S14" i="3"/>
  <c r="S15" i="3" s="1"/>
  <c r="M20" i="3"/>
  <c r="W76" i="3"/>
  <c r="M15" i="3"/>
  <c r="W106" i="3"/>
  <c r="W35" i="3"/>
  <c r="M40" i="3"/>
  <c r="M49" i="3" s="1"/>
  <c r="M81" i="3"/>
  <c r="M25" i="3"/>
  <c r="M54" i="3"/>
  <c r="W4" i="3"/>
  <c r="M21" i="3"/>
  <c r="M24" i="3"/>
  <c r="M43" i="3"/>
  <c r="M22" i="3"/>
  <c r="M41" i="3"/>
  <c r="M52" i="3" s="1"/>
  <c r="M23" i="3"/>
  <c r="V39" i="3"/>
  <c r="V37" i="3"/>
  <c r="V108" i="3"/>
  <c r="V110" i="3" s="1"/>
  <c r="V77" i="3"/>
  <c r="V5" i="3"/>
  <c r="V7" i="3" s="1"/>
  <c r="U115" i="3"/>
  <c r="K60" i="3"/>
  <c r="U84" i="3"/>
  <c r="U12" i="3"/>
  <c r="U44" i="3"/>
  <c r="V114" i="3"/>
  <c r="L27" i="3"/>
  <c r="V83" i="3"/>
  <c r="V43" i="3"/>
  <c r="L59" i="3"/>
  <c r="V11" i="3"/>
  <c r="L83" i="3"/>
  <c r="L85" i="3" s="1"/>
  <c r="J92" i="1"/>
  <c r="X38" i="1"/>
  <c r="N77" i="1"/>
  <c r="X71" i="1"/>
  <c r="X6" i="1"/>
  <c r="X102" i="1"/>
  <c r="N90" i="1"/>
  <c r="N91" i="1" s="1"/>
  <c r="S14" i="1"/>
  <c r="S15" i="1" s="1"/>
  <c r="S79" i="1"/>
  <c r="S80" i="1" s="1"/>
  <c r="I88" i="1"/>
  <c r="T12" i="1"/>
  <c r="J60" i="1"/>
  <c r="T77" i="1"/>
  <c r="T108" i="1"/>
  <c r="T44" i="1"/>
  <c r="U107" i="1"/>
  <c r="K27" i="1"/>
  <c r="U11" i="1"/>
  <c r="U76" i="1"/>
  <c r="K59" i="1"/>
  <c r="U43" i="1"/>
  <c r="K83" i="1"/>
  <c r="K85" i="1" s="1"/>
  <c r="L58" i="1"/>
  <c r="V10" i="1"/>
  <c r="L26" i="1"/>
  <c r="M19" i="1"/>
  <c r="L82" i="1"/>
  <c r="V75" i="1"/>
  <c r="V106" i="1"/>
  <c r="V42" i="1"/>
  <c r="U39" i="1"/>
  <c r="K44" i="1"/>
  <c r="K45" i="1" s="1"/>
  <c r="K56" i="1"/>
  <c r="K57" i="1" s="1"/>
  <c r="J86" i="1"/>
  <c r="J87" i="1" s="1"/>
  <c r="J35" i="1"/>
  <c r="J34" i="1"/>
  <c r="J36" i="1" s="1"/>
  <c r="K31" i="1" s="1"/>
  <c r="U37" i="1"/>
  <c r="U101" i="1"/>
  <c r="U103" i="1" s="1"/>
  <c r="U5" i="1"/>
  <c r="U70" i="1"/>
  <c r="U72" i="1" s="1"/>
  <c r="U109" i="1"/>
  <c r="U13" i="1"/>
  <c r="U78" i="1"/>
  <c r="K51" i="1"/>
  <c r="U45" i="1"/>
  <c r="L54" i="1"/>
  <c r="V69" i="1"/>
  <c r="M14" i="1"/>
  <c r="L40" i="1"/>
  <c r="L49" i="1" s="1"/>
  <c r="L50" i="1" s="1"/>
  <c r="V99" i="1"/>
  <c r="V35" i="1"/>
  <c r="L25" i="1"/>
  <c r="L20" i="1"/>
  <c r="L15" i="1"/>
  <c r="L81" i="1"/>
  <c r="L21" i="1"/>
  <c r="V4" i="1"/>
  <c r="L41" i="1"/>
  <c r="L52" i="1" s="1"/>
  <c r="L53" i="1" s="1"/>
  <c r="L24" i="1"/>
  <c r="L23" i="1"/>
  <c r="L22" i="1"/>
  <c r="L43" i="1"/>
  <c r="U7" i="1"/>
  <c r="S16" i="3" l="1"/>
  <c r="L92" i="3"/>
  <c r="U87" i="3"/>
  <c r="U88" i="3" s="1"/>
  <c r="U89" i="3" s="1"/>
  <c r="M50" i="3"/>
  <c r="N50" i="3"/>
  <c r="V44" i="3"/>
  <c r="L60" i="3"/>
  <c r="V84" i="3"/>
  <c r="V115" i="3"/>
  <c r="V12" i="3"/>
  <c r="M27" i="3"/>
  <c r="W43" i="3"/>
  <c r="W83" i="3"/>
  <c r="M83" i="3"/>
  <c r="M59" i="3"/>
  <c r="W11" i="3"/>
  <c r="W114" i="3"/>
  <c r="W10" i="3"/>
  <c r="M26" i="3"/>
  <c r="M82" i="3"/>
  <c r="W82" i="3"/>
  <c r="W113" i="3"/>
  <c r="W42" i="3"/>
  <c r="M58" i="3"/>
  <c r="S88" i="3"/>
  <c r="S47" i="3"/>
  <c r="S48" i="3" s="1"/>
  <c r="S118" i="3"/>
  <c r="S119" i="3" s="1"/>
  <c r="T47" i="3"/>
  <c r="T48" i="3" s="1"/>
  <c r="T49" i="3" s="1"/>
  <c r="T50" i="3" s="1"/>
  <c r="T118" i="3"/>
  <c r="T119" i="3" s="1"/>
  <c r="T120" i="3" s="1"/>
  <c r="T121" i="3" s="1"/>
  <c r="M44" i="3"/>
  <c r="M45" i="3" s="1"/>
  <c r="M56" i="3"/>
  <c r="I89" i="3"/>
  <c r="I91" i="3" s="1"/>
  <c r="U14" i="3"/>
  <c r="U15" i="3" s="1"/>
  <c r="U86" i="3"/>
  <c r="N53" i="3"/>
  <c r="M53" i="3"/>
  <c r="M55" i="3" s="1"/>
  <c r="K86" i="3"/>
  <c r="K87" i="3" s="1"/>
  <c r="K35" i="3"/>
  <c r="K34" i="3"/>
  <c r="K36" i="3" s="1"/>
  <c r="L31" i="3" s="1"/>
  <c r="M85" i="3"/>
  <c r="S81" i="1"/>
  <c r="K32" i="1"/>
  <c r="V37" i="1"/>
  <c r="V39" i="1" s="1"/>
  <c r="V5" i="1"/>
  <c r="V7" i="1" s="1"/>
  <c r="V70" i="1"/>
  <c r="V72" i="1" s="1"/>
  <c r="V101" i="1"/>
  <c r="V103" i="1" s="1"/>
  <c r="T14" i="1"/>
  <c r="T15" i="1" s="1"/>
  <c r="T79" i="1"/>
  <c r="T80" i="1" s="1"/>
  <c r="T81" i="1" s="1"/>
  <c r="T82" i="1" s="1"/>
  <c r="V107" i="1"/>
  <c r="V11" i="1"/>
  <c r="L27" i="1"/>
  <c r="V76" i="1"/>
  <c r="L83" i="1"/>
  <c r="L85" i="1" s="1"/>
  <c r="L59" i="1"/>
  <c r="V43" i="1"/>
  <c r="J88" i="1"/>
  <c r="J89" i="1"/>
  <c r="J91" i="1" s="1"/>
  <c r="K92" i="1"/>
  <c r="S16" i="1"/>
  <c r="S47" i="1"/>
  <c r="S48" i="1" s="1"/>
  <c r="S111" i="1"/>
  <c r="S112" i="1" s="1"/>
  <c r="M15" i="1"/>
  <c r="W69" i="1"/>
  <c r="M20" i="1"/>
  <c r="W99" i="1"/>
  <c r="W35" i="1"/>
  <c r="M81" i="1"/>
  <c r="M25" i="1"/>
  <c r="M21" i="1"/>
  <c r="W4" i="1"/>
  <c r="M40" i="1"/>
  <c r="M49" i="1" s="1"/>
  <c r="M54" i="1"/>
  <c r="M24" i="1"/>
  <c r="M41" i="1"/>
  <c r="M52" i="1" s="1"/>
  <c r="M22" i="1"/>
  <c r="M23" i="1"/>
  <c r="M43" i="1"/>
  <c r="L55" i="1"/>
  <c r="L56" i="1"/>
  <c r="L57" i="1" s="1"/>
  <c r="L44" i="1"/>
  <c r="L45" i="1" s="1"/>
  <c r="W10" i="1"/>
  <c r="M26" i="1"/>
  <c r="W75" i="1"/>
  <c r="W42" i="1"/>
  <c r="W106" i="1"/>
  <c r="M82" i="1"/>
  <c r="M58" i="1"/>
  <c r="K60" i="1"/>
  <c r="U77" i="1"/>
  <c r="U108" i="1"/>
  <c r="U44" i="1"/>
  <c r="U12" i="1"/>
  <c r="I89" i="1"/>
  <c r="I91" i="1" s="1"/>
  <c r="V109" i="1"/>
  <c r="V13" i="1"/>
  <c r="V45" i="1"/>
  <c r="V78" i="1"/>
  <c r="L51" i="1"/>
  <c r="U16" i="3" l="1"/>
  <c r="U17" i="3" s="1"/>
  <c r="K88" i="3"/>
  <c r="W37" i="3"/>
  <c r="W39" i="3" s="1"/>
  <c r="W5" i="3"/>
  <c r="W7" i="3" s="1"/>
  <c r="W77" i="3"/>
  <c r="W79" i="3" s="1"/>
  <c r="W108" i="3"/>
  <c r="W110" i="3" s="1"/>
  <c r="X37" i="3"/>
  <c r="X39" i="3" s="1"/>
  <c r="X108" i="3"/>
  <c r="X110" i="3" s="1"/>
  <c r="X5" i="3"/>
  <c r="X7" i="3" s="1"/>
  <c r="X77" i="3"/>
  <c r="X79" i="3" s="1"/>
  <c r="N55" i="3"/>
  <c r="M92" i="3"/>
  <c r="W45" i="3"/>
  <c r="W13" i="3"/>
  <c r="W85" i="3"/>
  <c r="M51" i="3"/>
  <c r="W116" i="3"/>
  <c r="S120" i="3"/>
  <c r="X13" i="3"/>
  <c r="X85" i="3"/>
  <c r="N51" i="3"/>
  <c r="X45" i="3"/>
  <c r="X116" i="3"/>
  <c r="M57" i="3"/>
  <c r="N57" i="3"/>
  <c r="S49" i="3"/>
  <c r="S89" i="3"/>
  <c r="S98" i="3" s="1"/>
  <c r="S95" i="3"/>
  <c r="V14" i="3"/>
  <c r="V15" i="3" s="1"/>
  <c r="V86" i="3"/>
  <c r="V87" i="3" s="1"/>
  <c r="V88" i="3" s="1"/>
  <c r="V89" i="3" s="1"/>
  <c r="S17" i="3"/>
  <c r="S26" i="3" s="1"/>
  <c r="S23" i="3"/>
  <c r="L32" i="3"/>
  <c r="T16" i="1"/>
  <c r="T17" i="1" s="1"/>
  <c r="L92" i="1"/>
  <c r="L60" i="1"/>
  <c r="V77" i="1"/>
  <c r="V108" i="1"/>
  <c r="V12" i="1"/>
  <c r="V44" i="1"/>
  <c r="S113" i="1"/>
  <c r="S49" i="1"/>
  <c r="U14" i="1"/>
  <c r="U79" i="1"/>
  <c r="U80" i="1" s="1"/>
  <c r="U81" i="1" s="1"/>
  <c r="U82" i="1" s="1"/>
  <c r="K86" i="1"/>
  <c r="K87" i="1" s="1"/>
  <c r="K35" i="1"/>
  <c r="K34" i="1"/>
  <c r="K36" i="1" s="1"/>
  <c r="L31" i="1" s="1"/>
  <c r="M27" i="1"/>
  <c r="W43" i="1"/>
  <c r="W76" i="1"/>
  <c r="M59" i="1"/>
  <c r="W11" i="1"/>
  <c r="M83" i="1"/>
  <c r="M85" i="1" s="1"/>
  <c r="W107" i="1"/>
  <c r="U15" i="1"/>
  <c r="U16" i="1" s="1"/>
  <c r="U17" i="1" s="1"/>
  <c r="T47" i="1"/>
  <c r="T48" i="1" s="1"/>
  <c r="T49" i="1" s="1"/>
  <c r="T50" i="1" s="1"/>
  <c r="T111" i="1"/>
  <c r="T112" i="1" s="1"/>
  <c r="T113" i="1" s="1"/>
  <c r="T114" i="1" s="1"/>
  <c r="S82" i="1"/>
  <c r="S91" i="1" s="1"/>
  <c r="S88" i="1"/>
  <c r="M50" i="1"/>
  <c r="N50" i="1"/>
  <c r="S17" i="1"/>
  <c r="S26" i="1" s="1"/>
  <c r="S23" i="1"/>
  <c r="N53" i="1"/>
  <c r="M53" i="1"/>
  <c r="M55" i="1"/>
  <c r="M44" i="1"/>
  <c r="M45" i="1" s="1"/>
  <c r="M56" i="1"/>
  <c r="V16" i="3" l="1"/>
  <c r="L86" i="3"/>
  <c r="L87" i="3" s="1"/>
  <c r="L35" i="3"/>
  <c r="L34" i="3"/>
  <c r="L36" i="3" s="1"/>
  <c r="M31" i="3" s="1"/>
  <c r="R92" i="3"/>
  <c r="N60" i="3"/>
  <c r="X84" i="3"/>
  <c r="X87" i="3" s="1"/>
  <c r="X115" i="3"/>
  <c r="X119" i="3" s="1"/>
  <c r="X120" i="3" s="1"/>
  <c r="X121" i="3" s="1"/>
  <c r="X44" i="3"/>
  <c r="X48" i="3" s="1"/>
  <c r="X49" i="3" s="1"/>
  <c r="X50" i="3" s="1"/>
  <c r="X12" i="3"/>
  <c r="X15" i="3" s="1"/>
  <c r="T95" i="3"/>
  <c r="U95" i="3" s="1"/>
  <c r="V95" i="3" s="1"/>
  <c r="W14" i="3"/>
  <c r="W86" i="3"/>
  <c r="U47" i="3"/>
  <c r="U48" i="3" s="1"/>
  <c r="U118" i="3"/>
  <c r="U119" i="3" s="1"/>
  <c r="R124" i="3"/>
  <c r="R93" i="3"/>
  <c r="K89" i="3"/>
  <c r="K91" i="3" s="1"/>
  <c r="R53" i="3"/>
  <c r="S121" i="3"/>
  <c r="S130" i="3" s="1"/>
  <c r="S127" i="3"/>
  <c r="T23" i="3"/>
  <c r="U23" i="3" s="1"/>
  <c r="V23" i="3" s="1"/>
  <c r="T98" i="3"/>
  <c r="U98" i="3" s="1"/>
  <c r="V98" i="3" s="1"/>
  <c r="X88" i="3"/>
  <c r="X89" i="3" s="1"/>
  <c r="T26" i="3"/>
  <c r="U26" i="3" s="1"/>
  <c r="W44" i="3"/>
  <c r="M60" i="3"/>
  <c r="W84" i="3"/>
  <c r="W87" i="3" s="1"/>
  <c r="W88" i="3" s="1"/>
  <c r="W115" i="3"/>
  <c r="W12" i="3"/>
  <c r="W15" i="3" s="1"/>
  <c r="R21" i="3" s="1"/>
  <c r="W16" i="3"/>
  <c r="W17" i="3" s="1"/>
  <c r="R20" i="3"/>
  <c r="S50" i="3"/>
  <c r="S59" i="3" s="1"/>
  <c r="S56" i="3"/>
  <c r="X16" i="3"/>
  <c r="X17" i="3" s="1"/>
  <c r="T26" i="1"/>
  <c r="U26" i="1" s="1"/>
  <c r="T88" i="1"/>
  <c r="U88" i="1" s="1"/>
  <c r="N57" i="1"/>
  <c r="M57" i="1"/>
  <c r="L32" i="1"/>
  <c r="V14" i="1"/>
  <c r="V15" i="1" s="1"/>
  <c r="V79" i="1"/>
  <c r="T91" i="1"/>
  <c r="U91" i="1" s="1"/>
  <c r="S50" i="1"/>
  <c r="S59" i="1" s="1"/>
  <c r="S56" i="1"/>
  <c r="V80" i="1"/>
  <c r="K88" i="1"/>
  <c r="T23" i="1"/>
  <c r="U23" i="1" s="1"/>
  <c r="X37" i="1"/>
  <c r="X39" i="1" s="1"/>
  <c r="X70" i="1"/>
  <c r="X72" i="1" s="1"/>
  <c r="X101" i="1"/>
  <c r="X103" i="1" s="1"/>
  <c r="X5" i="1"/>
  <c r="X7" i="1" s="1"/>
  <c r="N55" i="1"/>
  <c r="X109" i="1"/>
  <c r="X13" i="1"/>
  <c r="X78" i="1"/>
  <c r="N51" i="1"/>
  <c r="X45" i="1"/>
  <c r="M92" i="1"/>
  <c r="W37" i="1"/>
  <c r="W39" i="1" s="1"/>
  <c r="W5" i="1"/>
  <c r="W7" i="1" s="1"/>
  <c r="W70" i="1"/>
  <c r="W72" i="1" s="1"/>
  <c r="W101" i="1"/>
  <c r="W103" i="1" s="1"/>
  <c r="W13" i="1"/>
  <c r="W78" i="1"/>
  <c r="M51" i="1"/>
  <c r="W45" i="1"/>
  <c r="W109" i="1"/>
  <c r="S114" i="1"/>
  <c r="S123" i="1" s="1"/>
  <c r="S120" i="1"/>
  <c r="W89" i="3" l="1"/>
  <c r="R90" i="3"/>
  <c r="R91" i="3"/>
  <c r="R94" i="3"/>
  <c r="W98" i="3"/>
  <c r="U49" i="3"/>
  <c r="T59" i="3"/>
  <c r="M32" i="3"/>
  <c r="W23" i="3"/>
  <c r="T130" i="3"/>
  <c r="U120" i="3"/>
  <c r="L88" i="3"/>
  <c r="L89" i="3" s="1"/>
  <c r="L91" i="3" s="1"/>
  <c r="T127" i="3"/>
  <c r="U127" i="3" s="1"/>
  <c r="T56" i="3"/>
  <c r="U56" i="3" s="1"/>
  <c r="W95" i="3"/>
  <c r="X96" i="3" s="1"/>
  <c r="W96" i="3" s="1"/>
  <c r="V96" i="3" s="1"/>
  <c r="R22" i="3"/>
  <c r="V17" i="3"/>
  <c r="V26" i="3" s="1"/>
  <c r="R19" i="3"/>
  <c r="R18" i="3"/>
  <c r="V16" i="1"/>
  <c r="V23" i="1" s="1"/>
  <c r="L35" i="1"/>
  <c r="L86" i="1"/>
  <c r="L87" i="1" s="1"/>
  <c r="L34" i="1"/>
  <c r="L36" i="1" s="1"/>
  <c r="M31" i="1" s="1"/>
  <c r="T56" i="1"/>
  <c r="R85" i="1"/>
  <c r="N60" i="1"/>
  <c r="X77" i="1"/>
  <c r="X80" i="1" s="1"/>
  <c r="X81" i="1" s="1"/>
  <c r="X82" i="1" s="1"/>
  <c r="X108" i="1"/>
  <c r="X112" i="1" s="1"/>
  <c r="X12" i="1"/>
  <c r="X15" i="1" s="1"/>
  <c r="X16" i="1" s="1"/>
  <c r="X17" i="1" s="1"/>
  <c r="X44" i="1"/>
  <c r="X48" i="1" s="1"/>
  <c r="M60" i="1"/>
  <c r="W77" i="1"/>
  <c r="W108" i="1"/>
  <c r="W12" i="1"/>
  <c r="W44" i="1"/>
  <c r="X49" i="1"/>
  <c r="X50" i="1" s="1"/>
  <c r="T123" i="1"/>
  <c r="V81" i="1"/>
  <c r="T59" i="1"/>
  <c r="X113" i="1"/>
  <c r="X114" i="1" s="1"/>
  <c r="R117" i="1"/>
  <c r="U47" i="1"/>
  <c r="U48" i="1" s="1"/>
  <c r="U111" i="1"/>
  <c r="U112" i="1" s="1"/>
  <c r="R20" i="1"/>
  <c r="T120" i="1"/>
  <c r="R53" i="1"/>
  <c r="W14" i="1"/>
  <c r="W79" i="1"/>
  <c r="K89" i="1"/>
  <c r="K91" i="1" s="1"/>
  <c r="W80" i="1" l="1"/>
  <c r="W81" i="1" s="1"/>
  <c r="W82" i="1" s="1"/>
  <c r="W26" i="3"/>
  <c r="X98" i="3"/>
  <c r="X99" i="3"/>
  <c r="W99" i="3"/>
  <c r="V99" i="3" s="1"/>
  <c r="AW6" i="3" a="1"/>
  <c r="AW6" i="3" s="1"/>
  <c r="R100" i="3" s="1"/>
  <c r="V118" i="3"/>
  <c r="V119" i="3" s="1"/>
  <c r="V47" i="3"/>
  <c r="V48" i="3" s="1"/>
  <c r="U121" i="3"/>
  <c r="U130" i="3" s="1"/>
  <c r="X95" i="3"/>
  <c r="AW5" i="3" a="1"/>
  <c r="AW5" i="3" s="1"/>
  <c r="R97" i="3" s="1"/>
  <c r="X23" i="3"/>
  <c r="X24" i="3" s="1"/>
  <c r="W24" i="3" s="1"/>
  <c r="V24" i="3" s="1"/>
  <c r="AW1" i="3" a="1"/>
  <c r="AW1" i="3" s="1"/>
  <c r="R25" i="3" s="1"/>
  <c r="AH9" i="3"/>
  <c r="Z9" i="3"/>
  <c r="U50" i="3"/>
  <c r="U59" i="3" s="1"/>
  <c r="M35" i="3"/>
  <c r="M86" i="3"/>
  <c r="M87" i="3" s="1"/>
  <c r="M34" i="3"/>
  <c r="M36" i="3" s="1"/>
  <c r="W15" i="1"/>
  <c r="W16" i="1" s="1"/>
  <c r="W17" i="1" s="1"/>
  <c r="L88" i="1"/>
  <c r="L89" i="1" s="1"/>
  <c r="L91" i="1" s="1"/>
  <c r="V82" i="1"/>
  <c r="V91" i="1" s="1"/>
  <c r="R83" i="1"/>
  <c r="R84" i="1"/>
  <c r="R86" i="1"/>
  <c r="R87" i="1" s="1"/>
  <c r="V88" i="1"/>
  <c r="U49" i="1"/>
  <c r="M32" i="1"/>
  <c r="U113" i="1"/>
  <c r="U120" i="1" s="1"/>
  <c r="V17" i="1"/>
  <c r="V26" i="1" s="1"/>
  <c r="R19" i="1"/>
  <c r="R18" i="1"/>
  <c r="W23" i="1" l="1"/>
  <c r="R21" i="1"/>
  <c r="R22" i="1" s="1"/>
  <c r="V49" i="3"/>
  <c r="M88" i="3"/>
  <c r="V120" i="3"/>
  <c r="X26" i="3"/>
  <c r="AW2" i="3" s="1" a="1"/>
  <c r="AW2" i="3" s="1"/>
  <c r="R28" i="3" s="1"/>
  <c r="X23" i="1"/>
  <c r="X24" i="1" s="1"/>
  <c r="W24" i="1" s="1"/>
  <c r="V24" i="1" s="1"/>
  <c r="W91" i="1"/>
  <c r="M86" i="1"/>
  <c r="M87" i="1" s="1"/>
  <c r="M35" i="1"/>
  <c r="M34" i="1"/>
  <c r="M36" i="1" s="1"/>
  <c r="U50" i="1"/>
  <c r="U59" i="1" s="1"/>
  <c r="W88" i="1"/>
  <c r="X88" i="1" s="1"/>
  <c r="AW5" i="1" a="1"/>
  <c r="AW5" i="1" s="1"/>
  <c r="R90" i="1" s="1"/>
  <c r="AH9" i="1"/>
  <c r="Z9" i="1"/>
  <c r="W26" i="1"/>
  <c r="V111" i="1"/>
  <c r="V112" i="1" s="1"/>
  <c r="V47" i="1"/>
  <c r="V48" i="1" s="1"/>
  <c r="U114" i="1"/>
  <c r="U123" i="1" s="1"/>
  <c r="U56" i="1"/>
  <c r="AW1" i="1" l="1" a="1"/>
  <c r="AW1" i="1" s="1"/>
  <c r="R25" i="1" s="1"/>
  <c r="X27" i="3"/>
  <c r="W27" i="3" s="1"/>
  <c r="V27" i="3" s="1"/>
  <c r="W118" i="3"/>
  <c r="W119" i="3" s="1"/>
  <c r="W47" i="3"/>
  <c r="W48" i="3" s="1"/>
  <c r="V121" i="3"/>
  <c r="V130" i="3" s="1"/>
  <c r="V127" i="3"/>
  <c r="M89" i="3"/>
  <c r="M91" i="3" s="1"/>
  <c r="V50" i="3"/>
  <c r="V59" i="3" s="1"/>
  <c r="V56" i="3"/>
  <c r="V113" i="1"/>
  <c r="M88" i="1"/>
  <c r="X89" i="1"/>
  <c r="W89" i="1" s="1"/>
  <c r="V89" i="1" s="1"/>
  <c r="V49" i="1"/>
  <c r="X91" i="1"/>
  <c r="AW6" i="1" s="1" a="1"/>
  <c r="AW6" i="1" s="1"/>
  <c r="R93" i="1" s="1"/>
  <c r="X92" i="1"/>
  <c r="W92" i="1" s="1"/>
  <c r="V92" i="1" s="1"/>
  <c r="X26" i="1"/>
  <c r="AW2" i="1" s="1" a="1"/>
  <c r="AW2" i="1" s="1"/>
  <c r="R28" i="1" s="1"/>
  <c r="X27" i="1" l="1"/>
  <c r="W27" i="1" s="1"/>
  <c r="V27" i="1" s="1"/>
  <c r="W49" i="3"/>
  <c r="R54" i="3"/>
  <c r="R55" i="3" s="1"/>
  <c r="W56" i="3"/>
  <c r="AW3" i="3" a="1"/>
  <c r="AW3" i="3" s="1"/>
  <c r="R58" i="3" s="1"/>
  <c r="W120" i="3"/>
  <c r="R125" i="3"/>
  <c r="R126" i="3" s="1"/>
  <c r="W127" i="3"/>
  <c r="AX7" i="3" a="1"/>
  <c r="AX7" i="3" s="1"/>
  <c r="V50" i="1"/>
  <c r="V59" i="1" s="1"/>
  <c r="V56" i="1"/>
  <c r="W111" i="1"/>
  <c r="W112" i="1" s="1"/>
  <c r="W47" i="1"/>
  <c r="W48" i="1" s="1"/>
  <c r="M89" i="1"/>
  <c r="M91" i="1" s="1"/>
  <c r="V114" i="1"/>
  <c r="V123" i="1" s="1"/>
  <c r="V120" i="1"/>
  <c r="X127" i="3" l="1"/>
  <c r="X128" i="3" s="1"/>
  <c r="W128" i="3" s="1"/>
  <c r="V128" i="3" s="1"/>
  <c r="W121" i="3"/>
  <c r="W130" i="3" s="1"/>
  <c r="R122" i="3"/>
  <c r="R123" i="3"/>
  <c r="W50" i="3"/>
  <c r="W59" i="3" s="1"/>
  <c r="R51" i="3"/>
  <c r="R52" i="3"/>
  <c r="X56" i="3"/>
  <c r="X57" i="3"/>
  <c r="W57" i="3" s="1"/>
  <c r="V57" i="3" s="1"/>
  <c r="W113" i="1"/>
  <c r="R118" i="1"/>
  <c r="R119" i="1" s="1"/>
  <c r="W120" i="1"/>
  <c r="W49" i="1"/>
  <c r="R51" i="1" s="1"/>
  <c r="R54" i="1"/>
  <c r="R55" i="1" s="1"/>
  <c r="AH10" i="3" l="1"/>
  <c r="Z17" i="3"/>
  <c r="X59" i="3"/>
  <c r="X60" i="3"/>
  <c r="W60" i="3" s="1"/>
  <c r="V60" i="3" s="1"/>
  <c r="AW4" i="3" a="1"/>
  <c r="AW4" i="3" s="1"/>
  <c r="R61" i="3" s="1"/>
  <c r="X130" i="3"/>
  <c r="X131" i="3" s="1"/>
  <c r="W131" i="3" s="1"/>
  <c r="V131" i="3" s="1"/>
  <c r="AX8" i="3" a="1"/>
  <c r="AX8" i="3" s="1"/>
  <c r="X120" i="1"/>
  <c r="X121" i="1" s="1"/>
  <c r="W121" i="1" s="1"/>
  <c r="V121" i="1" s="1"/>
  <c r="W50" i="1"/>
  <c r="W59" i="1" s="1"/>
  <c r="R52" i="1"/>
  <c r="W56" i="1"/>
  <c r="W114" i="1"/>
  <c r="W123" i="1" s="1"/>
  <c r="R116" i="1"/>
  <c r="R115" i="1"/>
  <c r="AX7" i="1" l="1" a="1"/>
  <c r="AX7" i="1" s="1"/>
  <c r="R122" i="1" s="1"/>
  <c r="X56" i="1"/>
  <c r="X57" i="1"/>
  <c r="W57" i="1"/>
  <c r="V57" i="1" s="1"/>
  <c r="AW3" i="1" a="1"/>
  <c r="AW3" i="1" s="1"/>
  <c r="R58" i="1" s="1"/>
  <c r="X123" i="1"/>
  <c r="AX8" i="1" s="1" a="1"/>
  <c r="AX8" i="1" s="1"/>
  <c r="R125" i="1" s="1"/>
  <c r="Z17" i="1"/>
  <c r="AH10" i="1"/>
  <c r="X59" i="1"/>
  <c r="AW4" i="1" s="1" a="1"/>
  <c r="AW4" i="1" s="1"/>
  <c r="R61" i="1" s="1"/>
  <c r="X60" i="1"/>
  <c r="W60" i="1" s="1"/>
  <c r="V60" i="1" s="1"/>
  <c r="X124" i="1" l="1"/>
  <c r="W124" i="1" s="1"/>
  <c r="V1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VÕ ANH QUỐC</author>
  </authors>
  <commentList>
    <comment ref="M33" authorId="0" shapeId="0" xr:uid="{0568A29B-D6D0-405A-BCD1-2D23B0873C1B}">
      <text>
        <r>
          <rPr>
            <sz val="11"/>
            <color theme="1"/>
            <rFont val="Calibri"/>
            <family val="2"/>
            <scheme val="minor"/>
          </rPr>
          <t>VÕ ANH QUỐC:
rate 8% nper 5 Pv 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VÕ ANH QUỐC</author>
  </authors>
  <commentList>
    <comment ref="M33" authorId="0" shapeId="0" xr:uid="{DC04F69B-B29A-479D-97D8-A1B4FEDE608E}">
      <text>
        <r>
          <rPr>
            <sz val="11"/>
            <color theme="1"/>
            <rFont val="Calibri"/>
            <family val="2"/>
            <scheme val="minor"/>
          </rPr>
          <t>VÕ ANH QUỐC:
rate 8% nper 5 Pv -30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<sst xmlns="http://schemas.openxmlformats.org/spreadsheetml/2006/main" count="629" uniqueCount="201">
  <si>
    <t>Bảng thông số dự án</t>
  </si>
  <si>
    <r>
      <rPr>
        <b/>
        <sz val="12"/>
        <color theme="1"/>
        <rFont val="Times New Roman"/>
        <family val="1"/>
      </rPr>
      <t xml:space="preserve">Lạm phát và tỉ giá hối đoái  </t>
    </r>
    <r>
      <rPr>
        <sz val="12"/>
        <color theme="1"/>
        <rFont val="Times New Roman"/>
        <family val="1"/>
      </rPr>
      <t xml:space="preserve">                                         </t>
    </r>
  </si>
  <si>
    <t>Báo cáo ngân lưu theo quan điểm tổng vốn đầu tư (TIP, thực)</t>
  </si>
  <si>
    <t>Khoản mục</t>
  </si>
  <si>
    <t>Số lượng</t>
  </si>
  <si>
    <t>Đơn vị</t>
  </si>
  <si>
    <t>Ghi chú</t>
  </si>
  <si>
    <t>Năm</t>
  </si>
  <si>
    <t xml:space="preserve"> 1-Đầu tư ban đầu</t>
  </si>
  <si>
    <t>Chỉ số lạm phát trong nước</t>
  </si>
  <si>
    <t>Ngân lưu vào</t>
  </si>
  <si>
    <t>Đầu tư ban đầu</t>
  </si>
  <si>
    <t>triệu đồng</t>
  </si>
  <si>
    <t>10 xà lan</t>
  </si>
  <si>
    <t>Chỉ số lạm phát nước ngoài</t>
  </si>
  <si>
    <t>Doanh thu</t>
  </si>
  <si>
    <t>Thời gian hoạt động xà lan</t>
  </si>
  <si>
    <t>Chỉ số lạm phát tương đối</t>
  </si>
  <si>
    <t>Chênh lệch khoản phải thu</t>
  </si>
  <si>
    <t>Vòng đời dự án xà lan</t>
  </si>
  <si>
    <t>Khấu hao đều 10 năm</t>
  </si>
  <si>
    <t>Tỉ giá hối đoái doanh nghĩa</t>
  </si>
  <si>
    <t>Thanh lý xà lan</t>
  </si>
  <si>
    <t>PHÂN TÍCH ĐỘ NHẠY HAI CHIỀU</t>
  </si>
  <si>
    <t>PHÂN TÍCH ĐỘ NHẠY MỘT CHIỀU</t>
  </si>
  <si>
    <t>Chi phí thanh lý</t>
  </si>
  <si>
    <t>%</t>
  </si>
  <si>
    <t>Trên giá thanh lý năm 5</t>
  </si>
  <si>
    <t>Tổng ngân lưu vào (1)</t>
  </si>
  <si>
    <t>2-Doanh thu</t>
  </si>
  <si>
    <t>NPV(TIP)</t>
  </si>
  <si>
    <t>Doanh thu/chuyến</t>
  </si>
  <si>
    <t>tr đ</t>
  </si>
  <si>
    <t>1 chuyến</t>
  </si>
  <si>
    <t>Đầu tư xà lan</t>
  </si>
  <si>
    <t>NPV(EPV)</t>
  </si>
  <si>
    <t>Doanh thu tăng</t>
  </si>
  <si>
    <t>% năm</t>
  </si>
  <si>
    <t>Từ năm 2</t>
  </si>
  <si>
    <t>Doanh thu/ chuyến</t>
  </si>
  <si>
    <t>Chi phí cố định</t>
  </si>
  <si>
    <t>Số tuần hoạt động</t>
  </si>
  <si>
    <t>Tuần/năm</t>
  </si>
  <si>
    <t>Tăng doanh thu/mỗi năm</t>
  </si>
  <si>
    <t>Chi phí lưu động</t>
  </si>
  <si>
    <t>Tăng tuần hoạt động</t>
  </si>
  <si>
    <t>% số tuần</t>
  </si>
  <si>
    <t>Số tuần h/động/năm</t>
  </si>
  <si>
    <t>Chênh lệch khoản. phải trả</t>
  </si>
  <si>
    <t>NPV</t>
  </si>
  <si>
    <t>3-Lạm phát</t>
  </si>
  <si>
    <t>Tăng tuần h/động/năm</t>
  </si>
  <si>
    <t>Chênh lệch tồn qủi t/mặt</t>
  </si>
  <si>
    <t>Lạm phát tr/nước</t>
  </si>
  <si>
    <t>Cả vòng đời d/a</t>
  </si>
  <si>
    <t>Doanh thu (thực 10 xà lan)</t>
  </si>
  <si>
    <t>Thuế thu nhập d/n</t>
  </si>
  <si>
    <t xml:space="preserve">PHÂN TÍCH TÌNH HUỐNG </t>
  </si>
  <si>
    <t>L/ phát nước ngoài</t>
  </si>
  <si>
    <t>Doanh thu danh nghĩa</t>
  </si>
  <si>
    <t>Tổng ngân lưu ra (2)</t>
  </si>
  <si>
    <t>Tốt</t>
  </si>
  <si>
    <t>Trung bình</t>
  </si>
  <si>
    <t>Xấu</t>
  </si>
  <si>
    <t>Tỉ giá hối đoái</t>
  </si>
  <si>
    <t>ngàn VND/ USD</t>
  </si>
  <si>
    <t>Năm 0</t>
  </si>
  <si>
    <t>Ngân lưu ròng (1)-(2)</t>
  </si>
  <si>
    <t>4-Lịch đầu tư</t>
  </si>
  <si>
    <t>Chi phí hoạt động</t>
  </si>
  <si>
    <t>PV ngân lưu ròng</t>
  </si>
  <si>
    <t>Đầu tư vào năm 0</t>
  </si>
  <si>
    <t>Vòng đời d/a</t>
  </si>
  <si>
    <t>IRR</t>
  </si>
  <si>
    <t>Thanh lý năm</t>
  </si>
  <si>
    <t>Lấy giá trị năm thứ 5</t>
  </si>
  <si>
    <t>Chi phí biến đổi:</t>
  </si>
  <si>
    <t>NPV tổng ngân lưu vào</t>
  </si>
  <si>
    <t>5-Chi phí hoạt động</t>
  </si>
  <si>
    <t>Tính trên doanh thu</t>
  </si>
  <si>
    <t>Chi phí quản lý</t>
  </si>
  <si>
    <t>NPV tổng ngân lưu ra</t>
  </si>
  <si>
    <t>Theo giá năm 0</t>
  </si>
  <si>
    <t>Chi phí bảo trì</t>
  </si>
  <si>
    <t>PI</t>
  </si>
  <si>
    <t>Chi phí biến đổi</t>
  </si>
  <si>
    <t>% D/thu</t>
  </si>
  <si>
    <t>Nhiên liệu</t>
  </si>
  <si>
    <t>Lũy kế (cộng dồn) ngân lưu ròng(16)</t>
  </si>
  <si>
    <t>Bảo hiểm</t>
  </si>
  <si>
    <t>Bảo trì</t>
  </si>
  <si>
    <t>Lương tài công</t>
  </si>
  <si>
    <t>Thời gian hòa vốn(o chiết khấu)</t>
  </si>
  <si>
    <t>%D/thu</t>
  </si>
  <si>
    <t>Chi phí cố định danh nghĩa</t>
  </si>
  <si>
    <t>Lũy kế PV ngân lưu ròng(17)</t>
  </si>
  <si>
    <t>Chi phí biến đổi danh nghĩa</t>
  </si>
  <si>
    <t>Thời gian hòa vốn(chiết khấu)</t>
  </si>
  <si>
    <t>6-Vốn lưu động</t>
  </si>
  <si>
    <t>t/s ngắn hạn-nợ ng/hạn</t>
  </si>
  <si>
    <t>Lịch vay và trả nợ vay</t>
  </si>
  <si>
    <t xml:space="preserve"> Dự án này không hiệu quả, vì NPV&lt;0, PI&lt;1, IRR nhỏ hơn suất sinh lời mong muốn, thời gian hòa vốn vượt quá 5 năm.</t>
  </si>
  <si>
    <t>Tồn quỉ tiền mặt</t>
  </si>
  <si>
    <t xml:space="preserve">Doanh thu </t>
  </si>
  <si>
    <t>Khoản phải thu</t>
  </si>
  <si>
    <t>Hợp đồng thu tiền sau</t>
  </si>
  <si>
    <t>Dư nợ đầu kỳ</t>
  </si>
  <si>
    <t>Tồn kho</t>
  </si>
  <si>
    <t>Lãi phát sinh</t>
  </si>
  <si>
    <t>BÁO CÁO NGÂN LƯU THEO QUAN ĐiỂM CHỦ ĐẦU TƯ (EPV, thực)</t>
  </si>
  <si>
    <t>Khoản phải trả</t>
  </si>
  <si>
    <t xml:space="preserve">% (phí n/ liệu+ b/trì) </t>
  </si>
  <si>
    <t>Trả đều trong đó</t>
  </si>
  <si>
    <t>7-Tài chính d/a</t>
  </si>
  <si>
    <t>Nợ gốc</t>
  </si>
  <si>
    <t>Vay ngân hàng</t>
  </si>
  <si>
    <t>% vốn đ/tư</t>
  </si>
  <si>
    <t>Tín chấp, trả đều 5 năm</t>
  </si>
  <si>
    <t xml:space="preserve">Lãi </t>
  </si>
  <si>
    <t>Vốn góp</t>
  </si>
  <si>
    <t>Dư nợ cuối kỳ</t>
  </si>
  <si>
    <t>Lãi vay ngân hàng</t>
  </si>
  <si>
    <t>Suất sinh lời d/nghĩa</t>
  </si>
  <si>
    <t>r danh nghĩa</t>
  </si>
  <si>
    <t xml:space="preserve">Vốn lưu động </t>
  </si>
  <si>
    <t>Suất sinh lời thực</t>
  </si>
  <si>
    <t>(suất sinh lời DN - lp trong nước)/(1+ lp trong nước)</t>
  </si>
  <si>
    <t>WACC thực</t>
  </si>
  <si>
    <t>(vốn góp*suất sinh lời thực)+(vay ngân hàng*lãi vay ngân hàng)</t>
  </si>
  <si>
    <t>WACC danh nghĩa</t>
  </si>
  <si>
    <t>(vốn góp*suất sinh lời DN)+(vay ngân hàng*lãi vay ngân hàng)</t>
  </si>
  <si>
    <t>8-Thuế thu nhập DN</t>
  </si>
  <si>
    <t>Vốn lưu động (thực)</t>
  </si>
  <si>
    <t>Chênh lệch khoản phải trả</t>
  </si>
  <si>
    <t>Vốn lưu động danh nghĩa</t>
  </si>
  <si>
    <t xml:space="preserve"> Trả đều cho ngân hàng</t>
  </si>
  <si>
    <t>Thay đổi trong vốn lưu động</t>
  </si>
  <si>
    <t>Nhu cầu tồn quỉ tiền mặt</t>
  </si>
  <si>
    <t>Chênh lệch tồn quỉ tiền mặt</t>
  </si>
  <si>
    <t>Tác động đến ngân lưu</t>
  </si>
  <si>
    <t>Khoản phải thu(trừ)</t>
  </si>
  <si>
    <t>Chênh lệch khoản phải thu(trừ)</t>
  </si>
  <si>
    <t>Ngân lưu vào (thay đổi vlđ)</t>
  </si>
  <si>
    <t>Khoản phải trả(trừ)</t>
  </si>
  <si>
    <t>Lũy kế ngân lưu ròng</t>
  </si>
  <si>
    <t>Chênh lệch khoản phải trả(trừ)</t>
  </si>
  <si>
    <t>Thời gian hòa vốn (không chiết khấu)</t>
  </si>
  <si>
    <t>Lũy kế PV ngân lưu ròng</t>
  </si>
  <si>
    <t>Thời gian hòa vốn (chiết khấu)</t>
  </si>
  <si>
    <t>Ngân lưu ra (thực)</t>
  </si>
  <si>
    <t>Dự án vẫn đầu tư được, nhưng thời gian hòa vốn vượt quá nên không cho vay.</t>
  </si>
  <si>
    <t xml:space="preserve">Lịch đầu tư </t>
  </si>
  <si>
    <t>Nhu cầu đầu tư</t>
  </si>
  <si>
    <t>Vốn chủ sở hửu</t>
  </si>
  <si>
    <t>Vốn vay</t>
  </si>
  <si>
    <t>Lưu ý khi báo cáo ngân lưu danh nghĩa: Tính tổng ngân lưu vào và ra từ ngân lưu thực sang danh nghĩa</t>
  </si>
  <si>
    <t>Lịch khấu hao</t>
  </si>
  <si>
    <t>Từ đó tính ngân lưu ròng danh nghĩa và các chỉ tiêu, nhớ dùng suất sinh lời danh nghĩa</t>
  </si>
  <si>
    <t>Xà lan</t>
  </si>
  <si>
    <t>BÁO CÁO NGÂN LƯU THEO QUAN ĐIỂM TỔNG ĐẦU TƯ - NGÂN LƯU DANH NGHĨA</t>
  </si>
  <si>
    <t>Nguyên giá</t>
  </si>
  <si>
    <t>Khấu hao</t>
  </si>
  <si>
    <t>Khấu hao lũy kế</t>
  </si>
  <si>
    <t>Giá trị còn lại</t>
  </si>
  <si>
    <t xml:space="preserve">Thực tế </t>
  </si>
  <si>
    <t>Giá trị còn lại sau chi phí</t>
  </si>
  <si>
    <t xml:space="preserve">Báo cáo thu nhập (lỗ lãi) </t>
  </si>
  <si>
    <t>Ngân lưu ra</t>
  </si>
  <si>
    <t xml:space="preserve">Khấu hao </t>
  </si>
  <si>
    <t>Thuế thu nhập doanh nghiệp</t>
  </si>
  <si>
    <t>L/nhuận trước thuế+lãi vayEBIT</t>
  </si>
  <si>
    <t>Lãi vay</t>
  </si>
  <si>
    <t>Ngân lưu ròng (1) - (2)</t>
  </si>
  <si>
    <t>L/nhuận trước thuế EBT</t>
  </si>
  <si>
    <t>Lợi nhuận sau thuế</t>
  </si>
  <si>
    <t>Giá trị còn lại sau thanh lý</t>
  </si>
  <si>
    <t>Thu nhập ròng</t>
  </si>
  <si>
    <t>Thuế thu nhập d/n(o trừ lãi vay)</t>
  </si>
  <si>
    <t>Lũy kế (cộng dồn) ngân lưu ròng</t>
  </si>
  <si>
    <t>Lũy kế PV (ngân lưu ròng)</t>
  </si>
  <si>
    <t>BÁO CÁO NGÂN LƯU THEO QUAN ĐIỂM CHỦ ĐẦU TƯ (EPV, Ngân lưu danh nghĩa)</t>
  </si>
  <si>
    <t>Trả đều cho ngân hàng</t>
  </si>
  <si>
    <t>PV</t>
  </si>
  <si>
    <t>PHÂN TÍCH BẤT ĐỊNH - NPV (TIP)</t>
  </si>
  <si>
    <t>PHÂN TÍCH BẤT ĐỊNH - NPV (EPV)</t>
  </si>
  <si>
    <t>$B$9</t>
  </si>
  <si>
    <t>$B$11</t>
  </si>
  <si>
    <t>$R$18</t>
  </si>
  <si>
    <t xml:space="preserve">Tốt </t>
  </si>
  <si>
    <t>Created by VAQ on 17-07-2025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</si>
  <si>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</si>
  <si>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</si>
  <si>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</si>
  <si>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</si>
  <si>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</si>
  <si>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scenario are highlighted in gray.</t>
  </si>
  <si>
    <t>$R$51</t>
  </si>
  <si>
    <t>NPV (TIP)</t>
  </si>
  <si>
    <t>NPV (EPV)</t>
  </si>
  <si>
    <t>\</t>
  </si>
  <si>
    <t>Lãi suất lai ngân hàng danh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</si>
</sst>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0.000%"/>
    <numFmt numFmtId="169" formatCode="_(* #,##0.000_);_(* \(#,##0.000\);_(* &quot;-&quot;??_);_(@_)"/>
    <numFmt numFmtId="170" formatCode="0.000"/>
    <numFmt numFmtId="171" formatCode="0.000000"/>
    <numFmt numFmtId="172" formatCode="0.0000000"/>
    <numFmt numFmtId="173" formatCode="_(* #,##0.00000_);_(* \(#,##0.00000\);_(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 new roman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 new roman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4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5" tint="-0.249977111117893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7" fillId="6" borderId="0" applyNumberFormat="0" applyBorder="0" applyAlignment="0" applyProtection="0"/>
  </cellStyleXfs>
  <cellXfs count="241">
    <xf numFmtId="0" fontId="0" fillId="0" borderId="0" xfId="0"/>
    <xf numFmtId="0" fontId="7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7" xfId="0" applyFont="1" applyBorder="1"/>
    <xf numFmtId="0" fontId="9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0" fontId="5" fillId="0" borderId="13" xfId="0" applyFont="1" applyBorder="1"/>
    <xf numFmtId="0" fontId="5" fillId="0" borderId="12" xfId="0" applyFont="1" applyBorder="1"/>
    <xf numFmtId="2" fontId="5" fillId="0" borderId="10" xfId="0" applyNumberFormat="1" applyFont="1" applyBorder="1"/>
    <xf numFmtId="2" fontId="5" fillId="0" borderId="11" xfId="0" applyNumberFormat="1" applyFont="1" applyBorder="1"/>
    <xf numFmtId="0" fontId="2" fillId="0" borderId="7" xfId="0" applyFont="1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3" fontId="5" fillId="0" borderId="0" xfId="0" applyNumberFormat="1" applyFont="1"/>
    <xf numFmtId="2" fontId="5" fillId="0" borderId="13" xfId="0" applyNumberFormat="1" applyFont="1" applyBorder="1"/>
    <xf numFmtId="164" fontId="5" fillId="0" borderId="0" xfId="0" applyNumberFormat="1" applyFont="1"/>
    <xf numFmtId="0" fontId="5" fillId="0" borderId="14" xfId="0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9" fillId="0" borderId="0" xfId="0" applyFont="1" applyAlignment="1">
      <alignment horizontal="centerContinuous" vertical="center"/>
    </xf>
    <xf numFmtId="9" fontId="5" fillId="0" borderId="0" xfId="0" applyNumberFormat="1" applyFont="1"/>
    <xf numFmtId="0" fontId="5" fillId="0" borderId="10" xfId="0" applyFont="1" applyBorder="1"/>
    <xf numFmtId="0" fontId="4" fillId="0" borderId="0" xfId="0" applyFont="1"/>
    <xf numFmtId="0" fontId="4" fillId="0" borderId="18" xfId="0" applyFont="1" applyBorder="1"/>
    <xf numFmtId="0" fontId="4" fillId="0" borderId="19" xfId="0" applyFont="1" applyBorder="1"/>
    <xf numFmtId="3" fontId="5" fillId="0" borderId="17" xfId="0" applyNumberFormat="1" applyFont="1" applyBorder="1"/>
    <xf numFmtId="0" fontId="5" fillId="0" borderId="20" xfId="0" applyFont="1" applyBorder="1"/>
    <xf numFmtId="43" fontId="5" fillId="0" borderId="0" xfId="0" applyNumberFormat="1" applyFont="1"/>
    <xf numFmtId="0" fontId="2" fillId="0" borderId="0" xfId="0" applyFont="1"/>
    <xf numFmtId="0" fontId="5" fillId="0" borderId="22" xfId="0" applyFont="1" applyBorder="1"/>
    <xf numFmtId="0" fontId="0" fillId="0" borderId="13" xfId="0" applyBorder="1"/>
    <xf numFmtId="3" fontId="5" fillId="0" borderId="13" xfId="0" applyNumberFormat="1" applyFont="1" applyBorder="1"/>
    <xf numFmtId="0" fontId="9" fillId="0" borderId="0" xfId="0" applyFont="1" applyAlignment="1">
      <alignment vertical="center"/>
    </xf>
    <xf numFmtId="0" fontId="5" fillId="2" borderId="15" xfId="0" applyFont="1" applyFill="1" applyBorder="1"/>
    <xf numFmtId="0" fontId="5" fillId="0" borderId="15" xfId="0" applyFont="1" applyBorder="1"/>
    <xf numFmtId="0" fontId="5" fillId="0" borderId="17" xfId="0" applyFont="1" applyBorder="1" applyAlignment="1">
      <alignment horizontal="center"/>
    </xf>
    <xf numFmtId="0" fontId="6" fillId="0" borderId="0" xfId="0" applyFont="1"/>
    <xf numFmtId="165" fontId="5" fillId="0" borderId="0" xfId="1" applyNumberFormat="1" applyFont="1" applyBorder="1"/>
    <xf numFmtId="166" fontId="5" fillId="0" borderId="17" xfId="0" applyNumberFormat="1" applyFont="1" applyBorder="1"/>
    <xf numFmtId="0" fontId="5" fillId="0" borderId="17" xfId="0" applyFont="1" applyBorder="1"/>
    <xf numFmtId="0" fontId="5" fillId="0" borderId="23" xfId="0" applyFont="1" applyBorder="1"/>
    <xf numFmtId="3" fontId="5" fillId="0" borderId="10" xfId="0" applyNumberFormat="1" applyFont="1" applyBorder="1"/>
    <xf numFmtId="3" fontId="5" fillId="0" borderId="11" xfId="0" applyNumberFormat="1" applyFont="1" applyBorder="1"/>
    <xf numFmtId="9" fontId="10" fillId="0" borderId="0" xfId="0" applyNumberFormat="1" applyFont="1"/>
    <xf numFmtId="1" fontId="0" fillId="0" borderId="0" xfId="0" applyNumberFormat="1"/>
    <xf numFmtId="0" fontId="14" fillId="0" borderId="0" xfId="0" applyFont="1"/>
    <xf numFmtId="0" fontId="5" fillId="0" borderId="8" xfId="0" applyFont="1" applyBorder="1"/>
    <xf numFmtId="3" fontId="0" fillId="0" borderId="0" xfId="0" applyNumberFormat="1"/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165" fontId="5" fillId="0" borderId="13" xfId="1" applyNumberFormat="1" applyFont="1" applyBorder="1"/>
    <xf numFmtId="165" fontId="5" fillId="0" borderId="15" xfId="1" applyNumberFormat="1" applyFont="1" applyBorder="1"/>
    <xf numFmtId="166" fontId="5" fillId="0" borderId="0" xfId="1" applyNumberFormat="1" applyFont="1" applyBorder="1"/>
    <xf numFmtId="9" fontId="5" fillId="0" borderId="8" xfId="0" applyNumberFormat="1" applyFont="1" applyBorder="1"/>
    <xf numFmtId="0" fontId="4" fillId="0" borderId="14" xfId="0" applyFont="1" applyBorder="1"/>
    <xf numFmtId="9" fontId="5" fillId="0" borderId="15" xfId="0" applyNumberFormat="1" applyFont="1" applyBorder="1"/>
    <xf numFmtId="0" fontId="5" fillId="0" borderId="16" xfId="0" applyFont="1" applyBorder="1"/>
    <xf numFmtId="0" fontId="15" fillId="0" borderId="0" xfId="0" applyFont="1"/>
    <xf numFmtId="168" fontId="0" fillId="0" borderId="0" xfId="0" applyNumberFormat="1"/>
    <xf numFmtId="43" fontId="5" fillId="0" borderId="0" xfId="1" applyFont="1" applyBorder="1"/>
    <xf numFmtId="0" fontId="12" fillId="0" borderId="23" xfId="0" applyFont="1" applyBorder="1"/>
    <xf numFmtId="0" fontId="0" fillId="0" borderId="23" xfId="0" applyBorder="1"/>
    <xf numFmtId="0" fontId="12" fillId="0" borderId="8" xfId="0" applyFont="1" applyBorder="1"/>
    <xf numFmtId="1" fontId="5" fillId="0" borderId="19" xfId="0" applyNumberFormat="1" applyFont="1" applyBorder="1"/>
    <xf numFmtId="0" fontId="16" fillId="0" borderId="20" xfId="0" applyFont="1" applyBorder="1"/>
    <xf numFmtId="0" fontId="3" fillId="0" borderId="0" xfId="0" applyFont="1"/>
    <xf numFmtId="165" fontId="5" fillId="0" borderId="21" xfId="1" applyNumberFormat="1" applyFont="1" applyBorder="1"/>
    <xf numFmtId="4" fontId="0" fillId="0" borderId="0" xfId="0" applyNumberFormat="1"/>
    <xf numFmtId="0" fontId="10" fillId="0" borderId="20" xfId="0" applyFont="1" applyBorder="1"/>
    <xf numFmtId="0" fontId="10" fillId="0" borderId="0" xfId="0" applyFont="1"/>
    <xf numFmtId="0" fontId="12" fillId="0" borderId="22" xfId="0" applyFont="1" applyBorder="1"/>
    <xf numFmtId="0" fontId="10" fillId="0" borderId="23" xfId="0" applyFont="1" applyBorder="1"/>
    <xf numFmtId="165" fontId="5" fillId="0" borderId="23" xfId="1" applyNumberFormat="1" applyFont="1" applyBorder="1"/>
    <xf numFmtId="43" fontId="5" fillId="0" borderId="23" xfId="1" applyFont="1" applyBorder="1"/>
    <xf numFmtId="165" fontId="5" fillId="0" borderId="24" xfId="1" applyNumberFormat="1" applyFont="1" applyBorder="1"/>
    <xf numFmtId="0" fontId="17" fillId="0" borderId="28" xfId="0" applyFont="1" applyBorder="1"/>
    <xf numFmtId="165" fontId="5" fillId="0" borderId="10" xfId="1" applyNumberFormat="1" applyFont="1" applyBorder="1"/>
    <xf numFmtId="165" fontId="5" fillId="0" borderId="27" xfId="1" applyNumberFormat="1" applyFont="1" applyBorder="1"/>
    <xf numFmtId="169" fontId="13" fillId="0" borderId="0" xfId="1" applyNumberFormat="1" applyFont="1" applyBorder="1"/>
    <xf numFmtId="164" fontId="0" fillId="0" borderId="0" xfId="0" applyNumberFormat="1"/>
    <xf numFmtId="0" fontId="18" fillId="0" borderId="28" xfId="0" applyFont="1" applyBorder="1"/>
    <xf numFmtId="0" fontId="0" fillId="0" borderId="10" xfId="0" applyBorder="1"/>
    <xf numFmtId="0" fontId="3" fillId="0" borderId="23" xfId="0" applyFont="1" applyBorder="1"/>
    <xf numFmtId="0" fontId="16" fillId="2" borderId="20" xfId="0" applyFont="1" applyFill="1" applyBorder="1"/>
    <xf numFmtId="0" fontId="5" fillId="2" borderId="0" xfId="0" applyFont="1" applyFill="1"/>
    <xf numFmtId="2" fontId="5" fillId="2" borderId="0" xfId="0" applyNumberFormat="1" applyFont="1" applyFill="1"/>
    <xf numFmtId="0" fontId="3" fillId="0" borderId="8" xfId="0" applyFont="1" applyBorder="1"/>
    <xf numFmtId="0" fontId="0" fillId="0" borderId="20" xfId="0" applyBorder="1"/>
    <xf numFmtId="0" fontId="12" fillId="0" borderId="18" xfId="0" applyFont="1" applyBorder="1"/>
    <xf numFmtId="0" fontId="10" fillId="0" borderId="8" xfId="0" applyFont="1" applyBorder="1"/>
    <xf numFmtId="0" fontId="10" fillId="0" borderId="22" xfId="0" applyFont="1" applyBorder="1"/>
    <xf numFmtId="0" fontId="16" fillId="0" borderId="0" xfId="0" applyFont="1" applyAlignment="1">
      <alignment horizontal="center"/>
    </xf>
    <xf numFmtId="0" fontId="4" fillId="0" borderId="20" xfId="0" applyFont="1" applyBorder="1"/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6" fillId="0" borderId="0" xfId="0" applyFont="1"/>
    <xf numFmtId="1" fontId="10" fillId="0" borderId="0" xfId="0" applyNumberFormat="1" applyFont="1"/>
    <xf numFmtId="43" fontId="10" fillId="0" borderId="0" xfId="0" applyNumberFormat="1" applyFont="1"/>
    <xf numFmtId="165" fontId="5" fillId="0" borderId="16" xfId="1" applyNumberFormat="1" applyFont="1" applyBorder="1"/>
    <xf numFmtId="0" fontId="7" fillId="0" borderId="29" xfId="0" applyFont="1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0" fillId="0" borderId="31" xfId="0" applyBorder="1" applyAlignment="1">
      <alignment horizontal="centerContinuous"/>
    </xf>
    <xf numFmtId="0" fontId="4" fillId="0" borderId="7" xfId="0" applyFont="1" applyBorder="1" applyAlignment="1">
      <alignment vertical="center"/>
    </xf>
    <xf numFmtId="0" fontId="2" fillId="0" borderId="32" xfId="0" applyFont="1" applyBorder="1"/>
    <xf numFmtId="1" fontId="0" fillId="0" borderId="23" xfId="0" applyNumberFormat="1" applyBorder="1"/>
    <xf numFmtId="0" fontId="0" fillId="0" borderId="33" xfId="0" applyBorder="1"/>
    <xf numFmtId="165" fontId="5" fillId="0" borderId="0" xfId="0" applyNumberFormat="1" applyFont="1"/>
    <xf numFmtId="165" fontId="5" fillId="0" borderId="34" xfId="0" applyNumberFormat="1" applyFont="1" applyBorder="1"/>
    <xf numFmtId="0" fontId="12" fillId="0" borderId="36" xfId="0" applyFont="1" applyBorder="1"/>
    <xf numFmtId="0" fontId="4" fillId="0" borderId="38" xfId="0" applyFont="1" applyBorder="1"/>
    <xf numFmtId="0" fontId="4" fillId="0" borderId="39" xfId="0" applyFont="1" applyBorder="1"/>
    <xf numFmtId="0" fontId="5" fillId="0" borderId="40" xfId="0" applyFont="1" applyBorder="1"/>
    <xf numFmtId="165" fontId="5" fillId="0" borderId="41" xfId="0" applyNumberFormat="1" applyFont="1" applyBorder="1"/>
    <xf numFmtId="165" fontId="5" fillId="0" borderId="42" xfId="0" applyNumberFormat="1" applyFont="1" applyBorder="1"/>
    <xf numFmtId="0" fontId="10" fillId="0" borderId="40" xfId="0" applyFont="1" applyBorder="1"/>
    <xf numFmtId="0" fontId="5" fillId="0" borderId="43" xfId="0" applyFont="1" applyBorder="1"/>
    <xf numFmtId="165" fontId="5" fillId="0" borderId="44" xfId="0" applyNumberFormat="1" applyFont="1" applyBorder="1"/>
    <xf numFmtId="165" fontId="5" fillId="0" borderId="45" xfId="0" applyNumberFormat="1" applyFont="1" applyBorder="1"/>
    <xf numFmtId="9" fontId="4" fillId="0" borderId="0" xfId="0" applyNumberFormat="1" applyFont="1"/>
    <xf numFmtId="10" fontId="0" fillId="0" borderId="0" xfId="0" applyNumberFormat="1"/>
    <xf numFmtId="173" fontId="5" fillId="0" borderId="0" xfId="1" applyNumberFormat="1" applyFont="1" applyBorder="1"/>
    <xf numFmtId="165" fontId="13" fillId="0" borderId="0" xfId="1" applyNumberFormat="1" applyFont="1" applyBorder="1"/>
    <xf numFmtId="166" fontId="5" fillId="0" borderId="46" xfId="0" applyNumberFormat="1" applyFont="1" applyBorder="1"/>
    <xf numFmtId="0" fontId="13" fillId="0" borderId="12" xfId="0" applyFont="1" applyBorder="1"/>
    <xf numFmtId="0" fontId="8" fillId="0" borderId="8" xfId="0" applyFont="1" applyBorder="1"/>
    <xf numFmtId="1" fontId="5" fillId="0" borderId="13" xfId="0" applyNumberFormat="1" applyFont="1" applyBorder="1"/>
    <xf numFmtId="165" fontId="5" fillId="0" borderId="13" xfId="0" applyNumberFormat="1" applyFont="1" applyBorder="1"/>
    <xf numFmtId="43" fontId="5" fillId="0" borderId="13" xfId="0" applyNumberFormat="1" applyFont="1" applyBorder="1"/>
    <xf numFmtId="171" fontId="5" fillId="0" borderId="15" xfId="0" applyNumberFormat="1" applyFont="1" applyBorder="1"/>
    <xf numFmtId="43" fontId="5" fillId="0" borderId="15" xfId="0" applyNumberFormat="1" applyFont="1" applyBorder="1"/>
    <xf numFmtId="170" fontId="0" fillId="0" borderId="0" xfId="0" applyNumberFormat="1"/>
    <xf numFmtId="165" fontId="5" fillId="0" borderId="23" xfId="0" applyNumberFormat="1" applyFont="1" applyBorder="1"/>
    <xf numFmtId="43" fontId="5" fillId="0" borderId="21" xfId="0" applyNumberFormat="1" applyFont="1" applyBorder="1"/>
    <xf numFmtId="43" fontId="5" fillId="0" borderId="23" xfId="0" applyNumberFormat="1" applyFont="1" applyBorder="1"/>
    <xf numFmtId="43" fontId="5" fillId="0" borderId="24" xfId="0" applyNumberFormat="1" applyFont="1" applyBorder="1"/>
    <xf numFmtId="0" fontId="0" fillId="0" borderId="0" xfId="0" applyFill="1" applyBorder="1" applyAlignment="1"/>
    <xf numFmtId="0" fontId="22" fillId="3" borderId="23" xfId="0" applyFont="1" applyFill="1" applyBorder="1" applyAlignment="1">
      <alignment horizontal="left"/>
    </xf>
    <xf numFmtId="0" fontId="22" fillId="3" borderId="47" xfId="0" applyFont="1" applyFill="1" applyBorder="1" applyAlignment="1">
      <alignment horizontal="left"/>
    </xf>
    <xf numFmtId="0" fontId="0" fillId="0" borderId="8" xfId="0" applyFill="1" applyBorder="1" applyAlignment="1"/>
    <xf numFmtId="0" fontId="23" fillId="4" borderId="0" xfId="0" applyFont="1" applyFill="1" applyBorder="1" applyAlignment="1">
      <alignment horizontal="left"/>
    </xf>
    <xf numFmtId="0" fontId="24" fillId="4" borderId="8" xfId="0" applyFont="1" applyFill="1" applyBorder="1" applyAlignment="1">
      <alignment horizontal="left"/>
    </xf>
    <xf numFmtId="0" fontId="25" fillId="3" borderId="47" xfId="0" applyFont="1" applyFill="1" applyBorder="1" applyAlignment="1">
      <alignment horizontal="right"/>
    </xf>
    <xf numFmtId="0" fontId="25" fillId="3" borderId="23" xfId="0" applyFont="1" applyFill="1" applyBorder="1" applyAlignment="1">
      <alignment horizontal="right"/>
    </xf>
    <xf numFmtId="0" fontId="0" fillId="5" borderId="0" xfId="0" applyFill="1" applyBorder="1" applyAlignment="1"/>
    <xf numFmtId="0" fontId="26" fillId="0" borderId="0" xfId="0" applyFont="1" applyFill="1" applyBorder="1" applyAlignment="1">
      <alignment vertical="top" wrapText="1"/>
    </xf>
    <xf numFmtId="0" fontId="24" fillId="4" borderId="10" xfId="0" applyFont="1" applyFill="1" applyBorder="1" applyAlignment="1">
      <alignment horizontal="left"/>
    </xf>
    <xf numFmtId="0" fontId="0" fillId="0" borderId="10" xfId="0" applyFill="1" applyBorder="1" applyAlignment="1"/>
    <xf numFmtId="165" fontId="0" fillId="0" borderId="0" xfId="0" applyNumberFormat="1" applyFill="1" applyBorder="1" applyAlignment="1"/>
    <xf numFmtId="0" fontId="23" fillId="4" borderId="10" xfId="0" applyFont="1" applyFill="1" applyBorder="1" applyAlignment="1">
      <alignment horizontal="left"/>
    </xf>
    <xf numFmtId="165" fontId="0" fillId="0" borderId="10" xfId="0" applyNumberFormat="1" applyFill="1" applyBorder="1" applyAlignment="1"/>
    <xf numFmtId="0" fontId="4" fillId="0" borderId="48" xfId="0" applyFont="1" applyBorder="1"/>
    <xf numFmtId="166" fontId="5" fillId="0" borderId="13" xfId="0" applyNumberFormat="1" applyFont="1" applyBorder="1"/>
    <xf numFmtId="166" fontId="5" fillId="0" borderId="49" xfId="0" applyNumberFormat="1" applyFont="1" applyBorder="1"/>
    <xf numFmtId="3" fontId="4" fillId="0" borderId="13" xfId="0" applyNumberFormat="1" applyFont="1" applyBorder="1"/>
    <xf numFmtId="0" fontId="11" fillId="0" borderId="12" xfId="0" applyFont="1" applyBorder="1"/>
    <xf numFmtId="0" fontId="0" fillId="0" borderId="15" xfId="0" applyBorder="1"/>
    <xf numFmtId="2" fontId="5" fillId="0" borderId="15" xfId="0" applyNumberFormat="1" applyFont="1" applyBorder="1"/>
    <xf numFmtId="0" fontId="0" fillId="0" borderId="16" xfId="0" applyBorder="1"/>
    <xf numFmtId="171" fontId="5" fillId="0" borderId="16" xfId="0" applyNumberFormat="1" applyFont="1" applyBorder="1"/>
    <xf numFmtId="0" fontId="9" fillId="0" borderId="9" xfId="0" applyFont="1" applyBorder="1"/>
    <xf numFmtId="0" fontId="5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9" fillId="0" borderId="2" xfId="0" applyFont="1" applyBorder="1" applyAlignment="1">
      <alignment horizontal="centerContinuous" vertical="center"/>
    </xf>
    <xf numFmtId="0" fontId="17" fillId="0" borderId="18" xfId="0" applyFont="1" applyBorder="1" applyAlignment="1">
      <alignment horizontal="centerContinuous"/>
    </xf>
    <xf numFmtId="0" fontId="17" fillId="0" borderId="8" xfId="0" applyFont="1" applyBorder="1" applyAlignment="1">
      <alignment horizontal="centerContinuous"/>
    </xf>
    <xf numFmtId="0" fontId="9" fillId="0" borderId="3" xfId="0" applyFont="1" applyBorder="1" applyAlignment="1">
      <alignment horizontal="centerContinuous" vertical="center"/>
    </xf>
    <xf numFmtId="0" fontId="6" fillId="0" borderId="15" xfId="0" applyFont="1" applyBorder="1"/>
    <xf numFmtId="165" fontId="3" fillId="0" borderId="12" xfId="0" applyNumberFormat="1" applyFont="1" applyBorder="1"/>
    <xf numFmtId="0" fontId="0" fillId="0" borderId="12" xfId="0" applyBorder="1"/>
    <xf numFmtId="0" fontId="0" fillId="0" borderId="14" xfId="0" applyBorder="1"/>
    <xf numFmtId="165" fontId="5" fillId="0" borderId="15" xfId="0" applyNumberFormat="1" applyFont="1" applyBorder="1"/>
    <xf numFmtId="165" fontId="5" fillId="0" borderId="16" xfId="0" applyNumberFormat="1" applyFont="1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2" fontId="5" fillId="0" borderId="0" xfId="0" applyNumberFormat="1" applyFont="1"/>
    <xf numFmtId="166" fontId="5" fillId="0" borderId="0" xfId="0" applyNumberFormat="1" applyFont="1"/>
    <xf numFmtId="0" fontId="21" fillId="0" borderId="0" xfId="0" applyFont="1"/>
    <xf numFmtId="9" fontId="20" fillId="0" borderId="0" xfId="0" applyNumberFormat="1" applyFont="1"/>
    <xf numFmtId="0" fontId="5" fillId="0" borderId="0" xfId="0" applyFont="1" applyAlignment="1">
      <alignment horizontal="left" indent="7"/>
    </xf>
    <xf numFmtId="1" fontId="5" fillId="0" borderId="0" xfId="0" applyNumberFormat="1" applyFont="1"/>
    <xf numFmtId="0" fontId="10" fillId="7" borderId="25" xfId="0" applyFont="1" applyFill="1" applyBorder="1"/>
    <xf numFmtId="0" fontId="5" fillId="7" borderId="15" xfId="0" applyFont="1" applyFill="1" applyBorder="1"/>
    <xf numFmtId="0" fontId="5" fillId="7" borderId="26" xfId="0" applyFont="1" applyFill="1" applyBorder="1"/>
    <xf numFmtId="3" fontId="5" fillId="7" borderId="15" xfId="0" applyNumberFormat="1" applyFont="1" applyFill="1" applyBorder="1"/>
    <xf numFmtId="3" fontId="5" fillId="7" borderId="16" xfId="0" applyNumberFormat="1" applyFont="1" applyFill="1" applyBorder="1"/>
    <xf numFmtId="3" fontId="4" fillId="0" borderId="0" xfId="0" applyNumberFormat="1" applyFont="1"/>
    <xf numFmtId="8" fontId="5" fillId="0" borderId="0" xfId="0" applyNumberFormat="1" applyFont="1"/>
    <xf numFmtId="0" fontId="10" fillId="7" borderId="48" xfId="0" applyFont="1" applyFill="1" applyBorder="1"/>
    <xf numFmtId="0" fontId="5" fillId="7" borderId="10" xfId="0" applyFont="1" applyFill="1" applyBorder="1"/>
    <xf numFmtId="3" fontId="5" fillId="7" borderId="10" xfId="0" applyNumberFormat="1" applyFont="1" applyFill="1" applyBorder="1"/>
    <xf numFmtId="3" fontId="5" fillId="7" borderId="11" xfId="0" applyNumberFormat="1" applyFont="1" applyFill="1" applyBorder="1"/>
    <xf numFmtId="0" fontId="10" fillId="7" borderId="14" xfId="0" applyFont="1" applyFill="1" applyBorder="1"/>
    <xf numFmtId="0" fontId="4" fillId="8" borderId="1" xfId="0" applyFont="1" applyFill="1" applyBorder="1" applyAlignment="1">
      <alignment horizontal="centerContinuous"/>
    </xf>
    <xf numFmtId="0" fontId="4" fillId="8" borderId="2" xfId="0" applyFont="1" applyFill="1" applyBorder="1" applyAlignment="1">
      <alignment horizontal="centerContinuous"/>
    </xf>
    <xf numFmtId="0" fontId="4" fillId="8" borderId="3" xfId="0" applyFont="1" applyFill="1" applyBorder="1" applyAlignment="1">
      <alignment horizontal="centerContinuous"/>
    </xf>
    <xf numFmtId="10" fontId="5" fillId="0" borderId="0" xfId="0" applyNumberFormat="1" applyFont="1"/>
    <xf numFmtId="165" fontId="5" fillId="0" borderId="50" xfId="0" applyNumberFormat="1" applyFont="1" applyBorder="1"/>
    <xf numFmtId="167" fontId="5" fillId="0" borderId="0" xfId="0" applyNumberFormat="1" applyFont="1"/>
    <xf numFmtId="0" fontId="4" fillId="8" borderId="35" xfId="0" applyFont="1" applyFill="1" applyBorder="1" applyAlignment="1">
      <alignment horizontal="centerContinuous"/>
    </xf>
    <xf numFmtId="0" fontId="4" fillId="8" borderId="36" xfId="0" applyFont="1" applyFill="1" applyBorder="1" applyAlignment="1">
      <alignment horizontal="centerContinuous"/>
    </xf>
    <xf numFmtId="0" fontId="4" fillId="8" borderId="37" xfId="0" applyFont="1" applyFill="1" applyBorder="1" applyAlignment="1">
      <alignment horizontal="centerContinuous"/>
    </xf>
    <xf numFmtId="170" fontId="13" fillId="0" borderId="0" xfId="0" applyNumberFormat="1" applyFont="1"/>
    <xf numFmtId="172" fontId="5" fillId="0" borderId="0" xfId="0" applyNumberFormat="1" applyFont="1"/>
    <xf numFmtId="0" fontId="19" fillId="0" borderId="0" xfId="0" applyFont="1"/>
    <xf numFmtId="0" fontId="28" fillId="8" borderId="1" xfId="0" applyFont="1" applyFill="1" applyBorder="1" applyAlignment="1">
      <alignment horizontal="centerContinuous"/>
    </xf>
    <xf numFmtId="0" fontId="16" fillId="8" borderId="2" xfId="0" applyFont="1" applyFill="1" applyBorder="1" applyAlignment="1">
      <alignment horizontal="centerContinuous"/>
    </xf>
    <xf numFmtId="0" fontId="16" fillId="8" borderId="51" xfId="0" applyFont="1" applyFill="1" applyBorder="1" applyAlignment="1">
      <alignment horizontal="centerContinuous"/>
    </xf>
    <xf numFmtId="0" fontId="16" fillId="8" borderId="52" xfId="0" applyFont="1" applyFill="1" applyBorder="1" applyAlignment="1">
      <alignment horizontal="centerContinuous"/>
    </xf>
    <xf numFmtId="0" fontId="4" fillId="0" borderId="53" xfId="0" applyFont="1" applyBorder="1"/>
    <xf numFmtId="0" fontId="12" fillId="0" borderId="54" xfId="0" applyFont="1" applyBorder="1"/>
    <xf numFmtId="43" fontId="13" fillId="0" borderId="0" xfId="1" applyFont="1" applyBorder="1"/>
    <xf numFmtId="0" fontId="10" fillId="7" borderId="55" xfId="0" applyFont="1" applyFill="1" applyBorder="1"/>
    <xf numFmtId="0" fontId="5" fillId="7" borderId="56" xfId="0" applyFont="1" applyFill="1" applyBorder="1"/>
    <xf numFmtId="3" fontId="5" fillId="7" borderId="56" xfId="0" applyNumberFormat="1" applyFont="1" applyFill="1" applyBorder="1"/>
    <xf numFmtId="0" fontId="10" fillId="7" borderId="57" xfId="0" applyFont="1" applyFill="1" applyBorder="1"/>
    <xf numFmtId="43" fontId="5" fillId="0" borderId="17" xfId="0" applyNumberFormat="1" applyFont="1" applyBorder="1"/>
    <xf numFmtId="165" fontId="27" fillId="6" borderId="0" xfId="2" applyNumberForma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5" fillId="0" borderId="21" xfId="0" applyNumberFormat="1" applyFont="1" applyBorder="1" applyAlignment="1"/>
    <xf numFmtId="165" fontId="5" fillId="0" borderId="24" xfId="0" applyNumberFormat="1" applyFont="1" applyBorder="1" applyAlignment="1"/>
    <xf numFmtId="0" fontId="5" fillId="0" borderId="20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7" fontId="15" fillId="0" borderId="0" xfId="0" applyNumberFormat="1" applyFo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X125"/>
  <sheetViews>
    <sheetView tabSelected="1" topLeftCell="K1" zoomScale="92" zoomScaleNormal="70" workbookViewId="0">
      <selection activeCell="I46" sqref="I46"/>
    </sheetView>
  </sheetViews>
  <sheetFormatPr defaultRowHeight="15"/>
  <cols>
    <col min="1" max="1" width="25.42578125" bestFit="1" customWidth="1"/>
    <col min="2" max="2" width="10.28515625" bestFit="1" customWidth="1"/>
    <col min="3" max="3" width="16.5703125" bestFit="1" customWidth="1"/>
    <col min="4" max="4" width="26.140625" customWidth="1"/>
    <col min="6" max="6" width="28.5703125" customWidth="1"/>
    <col min="7" max="8" width="11" bestFit="1" customWidth="1"/>
    <col min="9" max="9" width="12" customWidth="1"/>
    <col min="10" max="12" width="13.85546875" bestFit="1" customWidth="1"/>
    <col min="13" max="13" width="12.85546875" customWidth="1"/>
    <col min="14" max="14" width="11" bestFit="1" customWidth="1"/>
    <col min="15" max="16" width="10" customWidth="1"/>
    <col min="17" max="17" width="39.5703125" bestFit="1" customWidth="1"/>
    <col min="18" max="18" width="12.5703125" bestFit="1" customWidth="1"/>
    <col min="19" max="19" width="13.5703125" bestFit="1" customWidth="1"/>
    <col min="20" max="22" width="14.140625" bestFit="1" customWidth="1"/>
    <col min="23" max="23" width="13.7109375" bestFit="1" customWidth="1"/>
    <col min="24" max="24" width="13" bestFit="1" customWidth="1"/>
    <col min="25" max="25" width="11.5703125" customWidth="1"/>
    <col min="26" max="26" width="12.140625" bestFit="1" customWidth="1"/>
    <col min="27" max="27" width="10.28515625" bestFit="1" customWidth="1"/>
    <col min="28" max="28" width="13.42578125" bestFit="1" customWidth="1"/>
    <col min="29" max="29" width="10.28515625" bestFit="1" customWidth="1"/>
    <col min="30" max="30" width="13.42578125" bestFit="1" customWidth="1"/>
    <col min="31" max="31" width="10.28515625" bestFit="1" customWidth="1"/>
    <col min="32" max="32" width="5.140625" bestFit="1" customWidth="1"/>
    <col min="33" max="33" width="21.42578125" bestFit="1" customWidth="1"/>
    <col min="34" max="34" width="12.28515625" bestFit="1" customWidth="1"/>
    <col min="35" max="36" width="13.5703125" bestFit="1" customWidth="1"/>
    <col min="37" max="37" width="13.42578125" bestFit="1" customWidth="1"/>
    <col min="38" max="38" width="10.28515625" bestFit="1" customWidth="1"/>
    <col min="39" max="39" width="13.42578125" bestFit="1" customWidth="1"/>
    <col min="42" max="49" width="10" bestFit="1" customWidth="1"/>
  </cols>
  <sheetData>
    <row r="1" spans="1:50" ht="18.75">
      <c r="A1" s="231" t="s">
        <v>0</v>
      </c>
      <c r="B1" s="232"/>
      <c r="C1" s="232"/>
      <c r="D1" s="233"/>
      <c r="F1" s="172" t="s">
        <v>1</v>
      </c>
      <c r="G1" s="173"/>
      <c r="H1" s="173"/>
      <c r="I1" s="173"/>
      <c r="J1" s="173"/>
      <c r="K1" s="173"/>
      <c r="L1" s="173"/>
      <c r="M1" s="173"/>
      <c r="N1" s="174"/>
      <c r="Q1" s="1" t="s">
        <v>2</v>
      </c>
      <c r="R1" s="2"/>
      <c r="S1" s="2"/>
      <c r="T1" s="2"/>
      <c r="U1" s="2"/>
      <c r="V1" s="2"/>
      <c r="W1" s="2"/>
      <c r="X1" s="3"/>
      <c r="AW1" s="142" cm="1">
        <f t="array" ref="AW1">INDEX(R2:X2, MATCH(TRUE, INDEX(R23:X23&gt; 0, 0), 0)) - 1 +
   (ABS(INDEX(R23:X23, MATCH(TRUE, INDEX(R23:X23 &gt; 0, 0), 0) - 1)) /
   (INDEX(R23:X23, MATCH(TRUE, INDEX(R23:X23 &gt; 0, 0), 0)) -
   INDEX(R23:X23, MATCH(TRUE, INDEX(R23:X23 &gt; 0, 0), 0) - 1)))</f>
        <v>5.0324203328170389</v>
      </c>
    </row>
    <row r="2" spans="1:50" ht="15.75">
      <c r="A2" s="4" t="s">
        <v>3</v>
      </c>
      <c r="B2" s="5" t="s">
        <v>4</v>
      </c>
      <c r="C2" s="5" t="s">
        <v>5</v>
      </c>
      <c r="D2" s="6" t="s">
        <v>6</v>
      </c>
      <c r="F2" s="7" t="s">
        <v>7</v>
      </c>
      <c r="G2" s="136"/>
      <c r="H2" s="8">
        <v>0</v>
      </c>
      <c r="I2" s="8">
        <v>1</v>
      </c>
      <c r="J2" s="8">
        <v>2</v>
      </c>
      <c r="K2" s="8">
        <v>3</v>
      </c>
      <c r="L2" s="8">
        <v>4</v>
      </c>
      <c r="M2" s="8">
        <v>5</v>
      </c>
      <c r="N2" s="171">
        <v>6</v>
      </c>
      <c r="Q2" s="162" t="s">
        <v>7</v>
      </c>
      <c r="R2" s="9">
        <v>0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10">
        <v>6</v>
      </c>
      <c r="AW2" s="142" cm="1">
        <f t="array" ref="AW2">INDEX($R$2:$X$2, MATCH(TRUE, INDEX(R26:X26&gt; 0, 0), 0)) - 1 +
   (ABS(INDEX(R26:X26, MATCH(TRUE, INDEX(R26:X26 &gt; 0, 0), 0) - 1)) /
   (INDEX(R26:X26, MATCH(TRUE, INDEX(R26:X26 &gt; 0, 0), 0)) -
   INDEX(R26:X26, MATCH(TRUE, INDEX(R26:X26 &gt; 0, 0), 0) - 1)))</f>
        <v>5.9162053908370353</v>
      </c>
    </row>
    <row r="3" spans="1:50" ht="15.75">
      <c r="A3" s="11" t="s">
        <v>8</v>
      </c>
      <c r="B3" s="12"/>
      <c r="C3" s="12"/>
      <c r="D3" s="13"/>
      <c r="F3" s="14" t="s">
        <v>9</v>
      </c>
      <c r="G3" s="12"/>
      <c r="H3" s="188">
        <v>1</v>
      </c>
      <c r="I3" s="188">
        <f>(1+$B$14)^I2</f>
        <v>1.05</v>
      </c>
      <c r="J3" s="188">
        <f>(1+$B$14)^J2</f>
        <v>1.1025</v>
      </c>
      <c r="K3" s="188">
        <f t="shared" ref="K3:N3" si="0">(1+$B$14)^K2</f>
        <v>1.1576250000000001</v>
      </c>
      <c r="L3" s="188">
        <f t="shared" si="0"/>
        <v>1.21550625</v>
      </c>
      <c r="M3" s="15">
        <f t="shared" si="0"/>
        <v>1.2762815625000001</v>
      </c>
      <c r="N3" s="16">
        <f t="shared" si="0"/>
        <v>1.340095640625</v>
      </c>
      <c r="Q3" s="17" t="s">
        <v>10</v>
      </c>
      <c r="R3" s="18"/>
      <c r="S3" s="19"/>
      <c r="T3" s="18"/>
      <c r="U3" s="18"/>
      <c r="V3" s="18"/>
      <c r="W3" s="18"/>
      <c r="X3" s="20"/>
      <c r="AW3" s="142" cm="1">
        <f t="array" ref="AW3">INDEX($R$2:$X$2, MATCH(TRUE, INDEX(R56:X56&gt; 0, 0), 0)) - 1 +
   (ABS(INDEX(R56:X56, MATCH(TRUE, INDEX(R56:X56 &gt; 0, 0), 0) - 1)) /
   (INDEX(R56:X56, MATCH(TRUE, INDEX(R56:X56 &gt; 0, 0), 0)) -
   INDEX(R56:X56, MATCH(TRUE, INDEX(R56:X56 &gt; 0, 0), 0) - 1)))</f>
        <v>5.2634997474249392</v>
      </c>
    </row>
    <row r="4" spans="1:50" ht="15.75">
      <c r="A4" s="14" t="s">
        <v>11</v>
      </c>
      <c r="B4" s="21">
        <v>60000</v>
      </c>
      <c r="C4" s="12" t="s">
        <v>12</v>
      </c>
      <c r="D4" s="13" t="s">
        <v>13</v>
      </c>
      <c r="F4" s="14" t="s">
        <v>14</v>
      </c>
      <c r="G4" s="12"/>
      <c r="H4" s="188">
        <v>1</v>
      </c>
      <c r="I4" s="188">
        <f>(1+$B$15)^I2</f>
        <v>1.01</v>
      </c>
      <c r="J4" s="188">
        <f t="shared" ref="J4:N4" si="1">(1+$B$15)^J2</f>
        <v>1.0201</v>
      </c>
      <c r="K4" s="188">
        <f t="shared" si="1"/>
        <v>1.0303009999999999</v>
      </c>
      <c r="L4" s="188">
        <f t="shared" si="1"/>
        <v>1.04060401</v>
      </c>
      <c r="M4" s="188">
        <f t="shared" si="1"/>
        <v>1.0510100500999999</v>
      </c>
      <c r="N4" s="22">
        <f t="shared" si="1"/>
        <v>1.0615201506010001</v>
      </c>
      <c r="Q4" s="14" t="s">
        <v>15</v>
      </c>
      <c r="R4" s="189"/>
      <c r="S4" s="118">
        <f t="shared" ref="S4:X4" si="2">I14</f>
        <v>24000</v>
      </c>
      <c r="T4" s="118">
        <f t="shared" si="2"/>
        <v>25680</v>
      </c>
      <c r="U4" s="118">
        <f t="shared" si="2"/>
        <v>27477.600000000002</v>
      </c>
      <c r="V4" s="118">
        <f t="shared" si="2"/>
        <v>29401.032000000003</v>
      </c>
      <c r="W4" s="118">
        <f t="shared" si="2"/>
        <v>31459.104240000004</v>
      </c>
      <c r="X4" s="163">
        <f t="shared" si="2"/>
        <v>0</v>
      </c>
      <c r="AW4" s="142" cm="1">
        <f t="array" ref="AW4">INDEX($R$2:$X$2, MATCH(TRUE, INDEX(R59:X59&gt; 0, 0), 0)) - 1 +
   (ABS(INDEX(R59:X59, MATCH(TRUE, INDEX(R59:X59 &gt; 0, 0), 0) - 1)) /
   (INDEX(R59:X59, MATCH(TRUE, INDEX(R59:X59 &gt; 0, 0), 0)) -
   INDEX(R59:X59, MATCH(TRUE, INDEX(R59:X59 &gt; 0, 0), 0) - 1)))</f>
        <v>5.8606333874677103</v>
      </c>
    </row>
    <row r="5" spans="1:50" ht="15.75">
      <c r="A5" s="14" t="s">
        <v>16</v>
      </c>
      <c r="B5" s="12">
        <v>10</v>
      </c>
      <c r="C5" s="12" t="s">
        <v>7</v>
      </c>
      <c r="D5" s="13"/>
      <c r="F5" s="14" t="s">
        <v>17</v>
      </c>
      <c r="G5" s="12"/>
      <c r="H5" s="188">
        <v>1</v>
      </c>
      <c r="I5" s="188">
        <f>I3/I4</f>
        <v>1.0396039603960396</v>
      </c>
      <c r="J5" s="188">
        <f t="shared" ref="J5:M5" si="3">J3/J4</f>
        <v>1.0807763944711304</v>
      </c>
      <c r="K5" s="188">
        <f t="shared" si="3"/>
        <v>1.1235794199947395</v>
      </c>
      <c r="L5" s="188">
        <f t="shared" si="3"/>
        <v>1.1680776148460161</v>
      </c>
      <c r="M5" s="188">
        <f t="shared" si="3"/>
        <v>1.2143381144438785</v>
      </c>
      <c r="N5" s="22">
        <f>N3/N4</f>
        <v>1.2624307130357149</v>
      </c>
      <c r="Q5" s="14" t="s">
        <v>18</v>
      </c>
      <c r="R5" s="189"/>
      <c r="S5" s="189">
        <f t="shared" ref="S5:X5" si="4">I53</f>
        <v>-2400</v>
      </c>
      <c r="T5" s="189">
        <f t="shared" si="4"/>
        <v>-168</v>
      </c>
      <c r="U5" s="189">
        <f t="shared" si="4"/>
        <v>-179.76000000000022</v>
      </c>
      <c r="V5" s="189">
        <f t="shared" si="4"/>
        <v>-192.34320000000025</v>
      </c>
      <c r="W5" s="189">
        <f t="shared" si="4"/>
        <v>-205.80722400000013</v>
      </c>
      <c r="X5" s="163">
        <f t="shared" si="4"/>
        <v>3145.9104240000006</v>
      </c>
      <c r="AW5" s="142" cm="1">
        <f t="array" ref="AW5">INDEX($R$2:$X$2, MATCH(TRUE, INDEX(R88:X88&gt; 0, 0), 0)) - 1 +
   (ABS(INDEX(R88:X88, MATCH(TRUE, INDEX(R88:X88 &gt; 0, 0), 0) - 1)) /
   (INDEX(R88:X88, MATCH(TRUE, INDEX(R88:X88 &gt; 0, 0), 0)) -
   INDEX(R88:X88, MATCH(TRUE, INDEX(R88:X88 &gt; 0, 0), 0) - 1)))</f>
        <v>4.47865109478367</v>
      </c>
    </row>
    <row r="6" spans="1:50" ht="16.5" thickBot="1">
      <c r="A6" s="14" t="s">
        <v>19</v>
      </c>
      <c r="B6" s="12">
        <v>5</v>
      </c>
      <c r="C6" s="12" t="s">
        <v>7</v>
      </c>
      <c r="D6" s="13" t="s">
        <v>20</v>
      </c>
      <c r="F6" s="24" t="s">
        <v>21</v>
      </c>
      <c r="G6" s="44"/>
      <c r="H6" s="25">
        <f>B16</f>
        <v>23000</v>
      </c>
      <c r="I6" s="25">
        <f>$H$6*I5</f>
        <v>23910.891089108911</v>
      </c>
      <c r="J6" s="25">
        <f t="shared" ref="J6:N6" si="5">$H$6*J5</f>
        <v>24857.857072835999</v>
      </c>
      <c r="K6" s="25">
        <f t="shared" si="5"/>
        <v>25842.326659879011</v>
      </c>
      <c r="L6" s="25">
        <f t="shared" si="5"/>
        <v>26865.785141458371</v>
      </c>
      <c r="M6" s="25">
        <f t="shared" si="5"/>
        <v>27929.776632209207</v>
      </c>
      <c r="N6" s="26">
        <f t="shared" si="5"/>
        <v>29035.906399821441</v>
      </c>
      <c r="Q6" s="14" t="s">
        <v>22</v>
      </c>
      <c r="R6" s="189"/>
      <c r="S6" s="189"/>
      <c r="T6" s="189"/>
      <c r="U6" s="189"/>
      <c r="V6" s="189"/>
      <c r="W6" s="189"/>
      <c r="X6" s="138">
        <f>M77</f>
        <v>24000</v>
      </c>
      <c r="Z6" s="27" t="s">
        <v>23</v>
      </c>
      <c r="AA6" s="28"/>
      <c r="AB6" s="29"/>
      <c r="AC6" s="29"/>
      <c r="AD6" s="29"/>
      <c r="AE6" s="28"/>
      <c r="AG6" s="27" t="s">
        <v>24</v>
      </c>
      <c r="AH6" s="28"/>
      <c r="AI6" s="29"/>
      <c r="AJ6" s="29"/>
      <c r="AK6" s="27"/>
      <c r="AL6" s="28"/>
      <c r="AW6" s="142" cm="1">
        <f t="array" ref="AW6">INDEX($R$2:$X$2, MATCH(TRUE, INDEX(R91:X91&gt; 0, 0), 0)) - 1 +
   (ABS(INDEX(R91:X91, MATCH(TRUE, INDEX(R91:X91 &gt; 0, 0), 0) - 1)) /
   (INDEX(R91:X91, MATCH(TRUE, INDEX(R91:X91 &gt; 0, 0), 0)) -
   INDEX(R91:X91, MATCH(TRUE, INDEX(R91:X91 &gt; 0, 0), 0) - 1)))</f>
        <v>5.9162053908370327</v>
      </c>
    </row>
    <row r="7" spans="1:50" ht="16.5" thickBot="1">
      <c r="A7" s="14" t="s">
        <v>25</v>
      </c>
      <c r="B7" s="30">
        <v>0.2</v>
      </c>
      <c r="C7" s="12" t="s">
        <v>26</v>
      </c>
      <c r="D7" s="13" t="s">
        <v>27</v>
      </c>
      <c r="G7" s="12"/>
      <c r="H7" s="12"/>
      <c r="I7" s="12"/>
      <c r="J7" s="12"/>
      <c r="K7" s="12"/>
      <c r="L7" s="12"/>
      <c r="M7" s="31"/>
      <c r="Q7" s="11" t="s">
        <v>28</v>
      </c>
      <c r="R7" s="134"/>
      <c r="S7" s="134">
        <f t="shared" ref="S7:X7" si="6">SUM(S4:S6)</f>
        <v>21600</v>
      </c>
      <c r="T7" s="134">
        <f t="shared" si="6"/>
        <v>25512</v>
      </c>
      <c r="U7" s="134">
        <f t="shared" si="6"/>
        <v>27297.840000000004</v>
      </c>
      <c r="V7" s="134">
        <f t="shared" si="6"/>
        <v>29208.688800000004</v>
      </c>
      <c r="W7" s="134">
        <f t="shared" si="6"/>
        <v>31253.297016000004</v>
      </c>
      <c r="X7" s="164">
        <f t="shared" si="6"/>
        <v>27145.910424000002</v>
      </c>
      <c r="Z7" s="12"/>
      <c r="AA7" s="23"/>
      <c r="AX7" s="142" cm="1">
        <f t="array" ref="AX7">INDEX($R$2:$X$2, MATCH(TRUE, INDEX(R120:X120&gt; 0, 0), 0)) - 1 +
   (ABS(INDEX(R120:X120, MATCH(TRUE, INDEX(R120:X120 &gt; 0, 0), 0) - 1)) /
   (INDEX(R120:X120, MATCH(TRUE, INDEX(R120:X120 &gt; 0, 0), 0)) -
   INDEX(R120:X120, MATCH(TRUE, INDEX(R120:X120 &gt; 0, 0), 0) - 1)))</f>
        <v>5.0731561332397348</v>
      </c>
    </row>
    <row r="8" spans="1:50" ht="15.75">
      <c r="A8" s="11" t="s">
        <v>29</v>
      </c>
      <c r="B8" s="12"/>
      <c r="C8" s="12"/>
      <c r="D8" s="13"/>
      <c r="F8" s="175" t="s">
        <v>15</v>
      </c>
      <c r="G8" s="176"/>
      <c r="H8" s="176"/>
      <c r="I8" s="176"/>
      <c r="J8" s="176"/>
      <c r="K8" s="176"/>
      <c r="L8" s="176"/>
      <c r="M8" s="179"/>
      <c r="Q8" s="17" t="s">
        <v>10</v>
      </c>
      <c r="R8" s="72"/>
      <c r="S8" s="116"/>
      <c r="T8" s="72"/>
      <c r="U8" s="72"/>
      <c r="V8" s="72"/>
      <c r="W8" s="72"/>
      <c r="X8" s="117"/>
      <c r="Z8" s="175" t="s">
        <v>183</v>
      </c>
      <c r="AA8" s="186"/>
      <c r="AB8" s="176"/>
      <c r="AC8" s="176"/>
      <c r="AD8" s="176"/>
      <c r="AE8" s="187"/>
      <c r="AG8" s="238" t="s">
        <v>15</v>
      </c>
      <c r="AH8" s="239"/>
      <c r="AI8" s="5">
        <v>60</v>
      </c>
      <c r="AJ8" s="5">
        <v>70</v>
      </c>
      <c r="AK8" s="5">
        <v>80</v>
      </c>
      <c r="AL8" s="5">
        <v>90</v>
      </c>
      <c r="AM8" s="34">
        <v>100</v>
      </c>
      <c r="AN8" s="38"/>
      <c r="AX8" s="142" cm="1">
        <f t="array" ref="AX8">INDEX($R$2:$X$2, MATCH(TRUE, INDEX(R123:X123&gt; 0, 0), 0)) - 1 +
   (ABS(INDEX(R123:X123, MATCH(TRUE, INDEX(R123:X123 &gt; 0, 0), 0) - 1)) /
   (INDEX(R123:X123, MATCH(TRUE, INDEX(R123:X123 &gt; 0, 0), 0)) -
   INDEX(R123:X123, MATCH(TRUE, INDEX(R123:X123 &gt; 0, 0), 0) - 1)))</f>
        <v>5.8606333874677095</v>
      </c>
    </row>
    <row r="9" spans="1:50" ht="15.75">
      <c r="A9" s="14" t="s">
        <v>31</v>
      </c>
      <c r="B9" s="190">
        <v>80</v>
      </c>
      <c r="C9" s="12" t="s">
        <v>32</v>
      </c>
      <c r="D9" s="13" t="s">
        <v>33</v>
      </c>
      <c r="F9" s="4" t="s">
        <v>7</v>
      </c>
      <c r="G9" s="5"/>
      <c r="H9" s="5">
        <v>0</v>
      </c>
      <c r="I9" s="5">
        <v>1</v>
      </c>
      <c r="J9" s="5">
        <v>2</v>
      </c>
      <c r="K9" s="5">
        <v>3</v>
      </c>
      <c r="L9" s="5">
        <v>4</v>
      </c>
      <c r="M9" s="6">
        <v>5</v>
      </c>
      <c r="Q9" s="14" t="s">
        <v>34</v>
      </c>
      <c r="R9" s="21">
        <f>H64</f>
        <v>60000</v>
      </c>
      <c r="S9" s="12"/>
      <c r="T9" s="12"/>
      <c r="U9" s="12"/>
      <c r="V9" s="12"/>
      <c r="W9" s="12"/>
      <c r="X9" s="13"/>
      <c r="Z9" s="181">
        <f>R18</f>
        <v>-58148.14843804641</v>
      </c>
      <c r="AA9">
        <v>60</v>
      </c>
      <c r="AB9">
        <v>70</v>
      </c>
      <c r="AC9">
        <v>80</v>
      </c>
      <c r="AD9">
        <v>90</v>
      </c>
      <c r="AE9" s="40">
        <v>100</v>
      </c>
      <c r="AG9" s="236" t="s">
        <v>30</v>
      </c>
      <c r="AH9" s="234">
        <f>R18</f>
        <v>-58148.14843804641</v>
      </c>
      <c r="AI9" s="37">
        <v>-58461.84438221599</v>
      </c>
      <c r="AJ9" s="118">
        <v>-58165.575990500278</v>
      </c>
      <c r="AK9" s="37">
        <v>-57869.307598784559</v>
      </c>
      <c r="AL9" s="118">
        <v>-57573.039207068839</v>
      </c>
      <c r="AM9" s="144">
        <v>-57276.770815353128</v>
      </c>
    </row>
    <row r="10" spans="1:50" ht="15.75">
      <c r="A10" s="14" t="s">
        <v>36</v>
      </c>
      <c r="B10" s="191">
        <v>0.02</v>
      </c>
      <c r="C10" s="12" t="s">
        <v>37</v>
      </c>
      <c r="D10" s="13" t="s">
        <v>38</v>
      </c>
      <c r="F10" s="14" t="s">
        <v>39</v>
      </c>
      <c r="G10" s="12">
        <f>B9</f>
        <v>80</v>
      </c>
      <c r="H10" s="12"/>
      <c r="I10" s="12"/>
      <c r="J10" s="12"/>
      <c r="K10" s="12"/>
      <c r="L10" s="12"/>
      <c r="M10" s="40"/>
      <c r="N10" s="192"/>
      <c r="Q10" s="14" t="s">
        <v>40</v>
      </c>
      <c r="R10" s="12" t="s">
        <v>199</v>
      </c>
      <c r="S10" s="21">
        <f t="shared" ref="S10:X11" si="7">I19</f>
        <v>3000</v>
      </c>
      <c r="T10" s="21">
        <f t="shared" si="7"/>
        <v>3000</v>
      </c>
      <c r="U10" s="21">
        <f t="shared" si="7"/>
        <v>3000</v>
      </c>
      <c r="V10" s="21">
        <f t="shared" si="7"/>
        <v>3000</v>
      </c>
      <c r="W10" s="21">
        <f t="shared" si="7"/>
        <v>3000</v>
      </c>
      <c r="X10" s="163">
        <f t="shared" si="7"/>
        <v>0</v>
      </c>
      <c r="Z10" s="182">
        <v>26</v>
      </c>
      <c r="AA10" s="118">
        <v>-58880.10564110877</v>
      </c>
      <c r="AB10" s="37">
        <v>-58653.547459208516</v>
      </c>
      <c r="AC10" s="118">
        <v>-58426.989277308261</v>
      </c>
      <c r="AD10" s="37">
        <v>-58200.431095408007</v>
      </c>
      <c r="AE10" s="138">
        <v>-57973.872913507752</v>
      </c>
      <c r="AG10" s="237" t="s">
        <v>35</v>
      </c>
      <c r="AH10" s="235">
        <f>R51</f>
        <v>2115.651910036082</v>
      </c>
      <c r="AI10" s="145">
        <v>-5447.7839767732039</v>
      </c>
      <c r="AJ10" s="143">
        <v>1695.4610274355728</v>
      </c>
      <c r="AK10" s="145">
        <v>8838.706031644324</v>
      </c>
      <c r="AL10" s="143">
        <v>15981.951035853082</v>
      </c>
      <c r="AM10" s="146">
        <v>23125.196040061855</v>
      </c>
    </row>
    <row r="11" spans="1:50" ht="15.75">
      <c r="A11" s="14" t="s">
        <v>41</v>
      </c>
      <c r="B11" s="190">
        <v>30</v>
      </c>
      <c r="C11" s="12" t="s">
        <v>42</v>
      </c>
      <c r="D11" s="13"/>
      <c r="F11" s="14" t="s">
        <v>43</v>
      </c>
      <c r="G11" s="30">
        <f>B10</f>
        <v>0.02</v>
      </c>
      <c r="H11" s="12"/>
      <c r="I11" s="12"/>
      <c r="J11" s="12"/>
      <c r="K11" s="12"/>
      <c r="L11" s="12"/>
      <c r="M11" s="13"/>
      <c r="Q11" s="14" t="s">
        <v>44</v>
      </c>
      <c r="R11" s="12"/>
      <c r="S11" s="21">
        <f t="shared" si="7"/>
        <v>9360</v>
      </c>
      <c r="T11" s="21">
        <f t="shared" si="7"/>
        <v>10015.200000000001</v>
      </c>
      <c r="U11" s="21">
        <f t="shared" si="7"/>
        <v>10716.264000000001</v>
      </c>
      <c r="V11" s="21">
        <f t="shared" si="7"/>
        <v>11466.402480000001</v>
      </c>
      <c r="W11" s="21">
        <f t="shared" si="7"/>
        <v>12269.050653600001</v>
      </c>
      <c r="X11" s="163">
        <f t="shared" si="7"/>
        <v>0</v>
      </c>
      <c r="Z11" s="182">
        <v>28</v>
      </c>
      <c r="AA11" s="118">
        <v>-58775.54032638557</v>
      </c>
      <c r="AB11" s="37">
        <v>-58531.554592031454</v>
      </c>
      <c r="AC11" s="118">
        <v>-58287.568857677332</v>
      </c>
      <c r="AD11" s="37">
        <v>-58043.583123323217</v>
      </c>
      <c r="AE11" s="138">
        <v>-57799.597388969094</v>
      </c>
    </row>
    <row r="12" spans="1:50" ht="15.75">
      <c r="A12" s="14" t="s">
        <v>45</v>
      </c>
      <c r="B12" s="30">
        <v>0.05</v>
      </c>
      <c r="C12" s="12" t="s">
        <v>46</v>
      </c>
      <c r="D12" s="13" t="s">
        <v>38</v>
      </c>
      <c r="F12" s="14" t="s">
        <v>47</v>
      </c>
      <c r="G12" s="193">
        <f>B11</f>
        <v>30</v>
      </c>
      <c r="H12" s="12"/>
      <c r="I12" s="12"/>
      <c r="J12" s="12"/>
      <c r="K12" s="12"/>
      <c r="L12" s="12"/>
      <c r="M12" s="13"/>
      <c r="Q12" s="14" t="s">
        <v>48</v>
      </c>
      <c r="R12" s="12"/>
      <c r="S12" s="189">
        <f>I57</f>
        <v>-1920</v>
      </c>
      <c r="T12" s="189">
        <f t="shared" ref="T12:X12" si="8">J57</f>
        <v>-134.40000000000009</v>
      </c>
      <c r="U12" s="189">
        <f t="shared" si="8"/>
        <v>-143.80799999999999</v>
      </c>
      <c r="V12" s="189">
        <f t="shared" si="8"/>
        <v>-153.8745600000002</v>
      </c>
      <c r="W12" s="189">
        <f t="shared" si="8"/>
        <v>-164.64577920000011</v>
      </c>
      <c r="X12" s="41">
        <f t="shared" si="8"/>
        <v>2516.7283392000004</v>
      </c>
      <c r="Z12" s="182">
        <v>30</v>
      </c>
      <c r="AA12" s="118">
        <v>-58670.975011662376</v>
      </c>
      <c r="AB12" s="37">
        <v>-58409.561724854393</v>
      </c>
      <c r="AC12" s="118">
        <v>-58148.14843804641</v>
      </c>
      <c r="AD12" s="37">
        <v>-57886.735151238427</v>
      </c>
      <c r="AE12" s="138">
        <v>-57625.321864430443</v>
      </c>
      <c r="AF12" s="42"/>
    </row>
    <row r="13" spans="1:50" ht="15.75">
      <c r="A13" s="11" t="s">
        <v>50</v>
      </c>
      <c r="B13" s="12"/>
      <c r="C13" s="12"/>
      <c r="D13" s="13"/>
      <c r="F13" s="14" t="s">
        <v>51</v>
      </c>
      <c r="G13" s="30">
        <f>B12</f>
        <v>0.05</v>
      </c>
      <c r="H13" s="12"/>
      <c r="I13" s="12"/>
      <c r="J13" s="12"/>
      <c r="K13" s="12"/>
      <c r="L13" s="12"/>
      <c r="M13" s="13"/>
      <c r="Q13" s="14" t="s">
        <v>52</v>
      </c>
      <c r="R13" s="12"/>
      <c r="S13" s="21">
        <f t="shared" ref="S13:X13" si="9">I50</f>
        <v>1200</v>
      </c>
      <c r="T13" s="21">
        <f t="shared" si="9"/>
        <v>84</v>
      </c>
      <c r="U13" s="21">
        <f t="shared" si="9"/>
        <v>89.880000000000109</v>
      </c>
      <c r="V13" s="21">
        <f t="shared" si="9"/>
        <v>96.171600000000126</v>
      </c>
      <c r="W13" s="21">
        <f t="shared" si="9"/>
        <v>102.90361200000007</v>
      </c>
      <c r="X13" s="163">
        <f t="shared" si="9"/>
        <v>-1572.9552120000003</v>
      </c>
      <c r="Z13" s="182">
        <v>32</v>
      </c>
      <c r="AA13" s="118">
        <v>-58566.409696939183</v>
      </c>
      <c r="AB13" s="37">
        <v>-58287.568857677332</v>
      </c>
      <c r="AC13" s="118">
        <v>-58008.728018415488</v>
      </c>
      <c r="AD13" s="37">
        <v>-57729.887179153637</v>
      </c>
      <c r="AE13" s="138">
        <v>-57451.046339891785</v>
      </c>
    </row>
    <row r="14" spans="1:50" ht="16.5" thickBot="1">
      <c r="A14" s="14" t="s">
        <v>53</v>
      </c>
      <c r="B14" s="30">
        <v>0.05</v>
      </c>
      <c r="C14" s="12" t="s">
        <v>26</v>
      </c>
      <c r="D14" s="13" t="s">
        <v>54</v>
      </c>
      <c r="F14" s="24" t="s">
        <v>55</v>
      </c>
      <c r="G14" s="43">
        <f>G10*10</f>
        <v>800</v>
      </c>
      <c r="H14" s="44"/>
      <c r="I14" s="25">
        <f>G14*G12</f>
        <v>24000</v>
      </c>
      <c r="J14" s="25">
        <f>I14*(1+$G$11+$G$13)</f>
        <v>25680</v>
      </c>
      <c r="K14" s="25">
        <f t="shared" ref="K14:L14" si="10">J14*(1+$G$11+$G$13)</f>
        <v>27477.600000000002</v>
      </c>
      <c r="L14" s="25">
        <f t="shared" si="10"/>
        <v>29401.032000000003</v>
      </c>
      <c r="M14" s="26">
        <f>L14*(1+$G$11+$G$13)</f>
        <v>31459.104240000004</v>
      </c>
      <c r="Q14" s="14" t="s">
        <v>56</v>
      </c>
      <c r="R14" s="12"/>
      <c r="S14" s="21">
        <f t="shared" ref="S14:X14" si="11">I92</f>
        <v>1128</v>
      </c>
      <c r="T14" s="21">
        <f t="shared" si="11"/>
        <v>1332.96</v>
      </c>
      <c r="U14" s="21">
        <f t="shared" si="11"/>
        <v>1552.2672</v>
      </c>
      <c r="V14" s="21">
        <f t="shared" si="11"/>
        <v>1786.9259040000006</v>
      </c>
      <c r="W14" s="21">
        <f>M92</f>
        <v>2038.0107172800003</v>
      </c>
      <c r="X14" s="163">
        <f t="shared" si="11"/>
        <v>0</v>
      </c>
      <c r="Z14" s="183">
        <v>34</v>
      </c>
      <c r="AA14" s="184">
        <v>-58461.84438221599</v>
      </c>
      <c r="AB14" s="141">
        <v>-58165.575990500278</v>
      </c>
      <c r="AC14" s="184">
        <v>-57869.307598784559</v>
      </c>
      <c r="AD14" s="141">
        <v>-57573.039207068839</v>
      </c>
      <c r="AE14" s="185">
        <v>-57276.770815353128</v>
      </c>
    </row>
    <row r="15" spans="1:50" ht="16.5" thickBot="1">
      <c r="A15" s="14" t="s">
        <v>58</v>
      </c>
      <c r="B15" s="30">
        <v>0.01</v>
      </c>
      <c r="C15" s="12" t="s">
        <v>26</v>
      </c>
      <c r="D15" s="13" t="s">
        <v>54</v>
      </c>
      <c r="F15" s="194" t="s">
        <v>59</v>
      </c>
      <c r="G15" s="195"/>
      <c r="H15" s="196"/>
      <c r="I15" s="197">
        <f>I14*I3</f>
        <v>25200</v>
      </c>
      <c r="J15" s="197">
        <f>J14*J3</f>
        <v>28312.2</v>
      </c>
      <c r="K15" s="197">
        <f>K14*K3</f>
        <v>31808.756700000005</v>
      </c>
      <c r="L15" s="197">
        <f>L14*L3</f>
        <v>35737.138152450003</v>
      </c>
      <c r="M15" s="198">
        <f>M14*M3</f>
        <v>40150.674714277586</v>
      </c>
      <c r="Q15" s="11" t="s">
        <v>60</v>
      </c>
      <c r="R15" s="199">
        <f>SUM(R9:R14)</f>
        <v>60000</v>
      </c>
      <c r="S15" s="199">
        <f>SUM(S9:S14)</f>
        <v>12768</v>
      </c>
      <c r="T15" s="199">
        <f t="shared" ref="T15:W15" si="12">SUM(T9:T14)</f>
        <v>14297.760000000002</v>
      </c>
      <c r="U15" s="199">
        <f t="shared" si="12"/>
        <v>15214.603200000003</v>
      </c>
      <c r="V15" s="199">
        <f t="shared" si="12"/>
        <v>16195.625424000002</v>
      </c>
      <c r="W15" s="199">
        <f t="shared" si="12"/>
        <v>17245.319203680003</v>
      </c>
      <c r="X15" s="165">
        <f>SUM(X9:X14)</f>
        <v>943.77312720000009</v>
      </c>
    </row>
    <row r="16" spans="1:50" ht="16.5" thickBot="1">
      <c r="A16" s="14" t="s">
        <v>64</v>
      </c>
      <c r="B16" s="21">
        <v>23000</v>
      </c>
      <c r="C16" s="12" t="s">
        <v>65</v>
      </c>
      <c r="D16" s="13" t="s">
        <v>66</v>
      </c>
      <c r="F16" s="46"/>
      <c r="G16" s="44"/>
      <c r="H16" s="12"/>
      <c r="I16" s="12"/>
      <c r="J16" s="12"/>
      <c r="K16" s="12"/>
      <c r="L16" s="12"/>
      <c r="M16" s="12"/>
      <c r="Q16" s="166" t="s">
        <v>67</v>
      </c>
      <c r="R16" s="47">
        <f>R7-R15</f>
        <v>-60000</v>
      </c>
      <c r="S16" s="21">
        <f>S7-S15</f>
        <v>8832</v>
      </c>
      <c r="T16" s="21">
        <f t="shared" ref="T16:X16" si="13">T7-T15</f>
        <v>11214.239999999998</v>
      </c>
      <c r="U16" s="21">
        <f t="shared" si="13"/>
        <v>12083.236800000001</v>
      </c>
      <c r="V16" s="21">
        <f t="shared" si="13"/>
        <v>13013.063376000002</v>
      </c>
      <c r="W16" s="21">
        <f t="shared" si="13"/>
        <v>14007.977812320001</v>
      </c>
      <c r="X16" s="41">
        <f t="shared" si="13"/>
        <v>26202.1372968</v>
      </c>
      <c r="Z16" s="175" t="s">
        <v>184</v>
      </c>
      <c r="AA16" s="186"/>
      <c r="AB16" s="176"/>
      <c r="AC16" s="176"/>
      <c r="AD16" s="176"/>
      <c r="AE16" s="187"/>
      <c r="AG16" s="27" t="s">
        <v>57</v>
      </c>
      <c r="AH16" s="28"/>
      <c r="AI16" s="29"/>
      <c r="AJ16" s="29"/>
    </row>
    <row r="17" spans="1:36" ht="15.75">
      <c r="A17" s="11" t="s">
        <v>68</v>
      </c>
      <c r="B17" s="12"/>
      <c r="C17" s="12"/>
      <c r="D17" s="13"/>
      <c r="F17" s="175" t="s">
        <v>69</v>
      </c>
      <c r="G17" s="176"/>
      <c r="H17" s="176"/>
      <c r="I17" s="176"/>
      <c r="J17" s="176"/>
      <c r="K17" s="176"/>
      <c r="L17" s="176"/>
      <c r="M17" s="179"/>
      <c r="Q17" s="14" t="s">
        <v>70</v>
      </c>
      <c r="R17" s="118">
        <f t="shared" ref="R17:X17" si="14">PV($B$40,R2,,-R16)</f>
        <v>-60000</v>
      </c>
      <c r="S17" s="21">
        <f t="shared" si="14"/>
        <v>8120.4903677758311</v>
      </c>
      <c r="T17" s="21">
        <f t="shared" si="14"/>
        <v>9480.172432301455</v>
      </c>
      <c r="U17" s="21">
        <f t="shared" si="14"/>
        <v>9391.887290630144</v>
      </c>
      <c r="V17" s="21">
        <f t="shared" si="14"/>
        <v>9299.7725208084339</v>
      </c>
      <c r="W17" s="21">
        <f t="shared" si="14"/>
        <v>9204.3138945008195</v>
      </c>
      <c r="X17" s="41">
        <f t="shared" si="14"/>
        <v>15829.816806396657</v>
      </c>
      <c r="Z17" s="181">
        <f>R51</f>
        <v>2115.651910036082</v>
      </c>
      <c r="AA17">
        <v>60</v>
      </c>
      <c r="AB17">
        <v>70</v>
      </c>
      <c r="AC17">
        <v>80</v>
      </c>
      <c r="AD17">
        <v>90</v>
      </c>
      <c r="AE17" s="40">
        <v>100</v>
      </c>
      <c r="AG17" s="35"/>
      <c r="AH17" s="45" t="s">
        <v>61</v>
      </c>
      <c r="AI17" s="45" t="s">
        <v>62</v>
      </c>
      <c r="AJ17" s="45" t="s">
        <v>63</v>
      </c>
    </row>
    <row r="18" spans="1:36" ht="15.75">
      <c r="A18" s="14" t="s">
        <v>71</v>
      </c>
      <c r="B18" s="12">
        <v>0</v>
      </c>
      <c r="C18" s="12"/>
      <c r="D18" s="13"/>
      <c r="F18" s="4" t="s">
        <v>7</v>
      </c>
      <c r="G18" s="50"/>
      <c r="H18" s="5">
        <v>0</v>
      </c>
      <c r="I18" s="9">
        <v>1</v>
      </c>
      <c r="J18" s="9">
        <v>2</v>
      </c>
      <c r="K18" s="9">
        <v>3</v>
      </c>
      <c r="L18" s="9">
        <v>4</v>
      </c>
      <c r="M18" s="10">
        <v>5</v>
      </c>
      <c r="Q18" s="135" t="s">
        <v>49</v>
      </c>
      <c r="R18" s="133">
        <f>NPV(B6,S16:X16)+R16</f>
        <v>-58148.14843804641</v>
      </c>
      <c r="S18" s="200"/>
      <c r="T18" s="12"/>
      <c r="U18" s="12"/>
      <c r="V18" s="12"/>
      <c r="W18" s="12"/>
      <c r="X18" s="13"/>
      <c r="Z18" s="182">
        <v>26</v>
      </c>
      <c r="AA18" s="118">
        <v>-15532.365159185585</v>
      </c>
      <c r="AB18" s="37">
        <v>-10069.883685378889</v>
      </c>
      <c r="AC18" s="118">
        <v>-4607.4022115721709</v>
      </c>
      <c r="AD18" s="37">
        <v>855.07926223453615</v>
      </c>
      <c r="AE18" s="138">
        <v>6317.5607360412396</v>
      </c>
      <c r="AG18" s="48" t="s">
        <v>39</v>
      </c>
      <c r="AH18" s="45">
        <v>80</v>
      </c>
      <c r="AI18" s="45">
        <v>60</v>
      </c>
      <c r="AJ18" s="45">
        <v>40</v>
      </c>
    </row>
    <row r="19" spans="1:36" ht="15.75">
      <c r="A19" s="14" t="s">
        <v>72</v>
      </c>
      <c r="B19" s="12">
        <v>5</v>
      </c>
      <c r="C19" s="12" t="s">
        <v>7</v>
      </c>
      <c r="D19" s="13"/>
      <c r="F19" s="14" t="s">
        <v>40</v>
      </c>
      <c r="G19" s="21">
        <f>B22</f>
        <v>3000</v>
      </c>
      <c r="H19" s="12"/>
      <c r="I19" s="51">
        <f>G19</f>
        <v>3000</v>
      </c>
      <c r="J19" s="51">
        <f>I19</f>
        <v>3000</v>
      </c>
      <c r="K19" s="51">
        <f t="shared" ref="K19:M19" si="15">J19</f>
        <v>3000</v>
      </c>
      <c r="L19" s="51">
        <f t="shared" si="15"/>
        <v>3000</v>
      </c>
      <c r="M19" s="52">
        <f t="shared" si="15"/>
        <v>3000</v>
      </c>
      <c r="Q19" s="135" t="s">
        <v>73</v>
      </c>
      <c r="R19" s="89">
        <f>IRR(R16:X16)</f>
        <v>9.3899296382388364E-2</v>
      </c>
      <c r="S19" s="12"/>
      <c r="T19" s="12"/>
      <c r="U19" s="12"/>
      <c r="V19" s="12"/>
      <c r="W19" s="12"/>
      <c r="X19" s="13"/>
      <c r="Z19" s="182">
        <v>28</v>
      </c>
      <c r="AA19" s="118">
        <v>-13011.21986358249</v>
      </c>
      <c r="AB19" s="37">
        <v>-7128.5475071752771</v>
      </c>
      <c r="AC19" s="118">
        <v>-1245.8751507680536</v>
      </c>
      <c r="AD19" s="37">
        <v>4636.7972056391736</v>
      </c>
      <c r="AE19" s="138">
        <v>10519.46956204639</v>
      </c>
      <c r="AG19" s="49" t="s">
        <v>41</v>
      </c>
      <c r="AH19" s="45">
        <v>34</v>
      </c>
      <c r="AI19" s="45">
        <v>30</v>
      </c>
      <c r="AJ19" s="45">
        <v>26</v>
      </c>
    </row>
    <row r="20" spans="1:36" ht="15.75">
      <c r="A20" s="14" t="s">
        <v>74</v>
      </c>
      <c r="B20" s="12">
        <v>6</v>
      </c>
      <c r="C20" s="12"/>
      <c r="D20" s="13" t="s">
        <v>75</v>
      </c>
      <c r="F20" s="14" t="s">
        <v>76</v>
      </c>
      <c r="G20" s="53">
        <f>B23</f>
        <v>0.39</v>
      </c>
      <c r="H20" s="12"/>
      <c r="I20" s="21">
        <f>$G$20*I14</f>
        <v>9360</v>
      </c>
      <c r="J20" s="21">
        <f t="shared" ref="J20:M20" si="16">$G$20*J14</f>
        <v>10015.200000000001</v>
      </c>
      <c r="K20" s="21">
        <f t="shared" si="16"/>
        <v>10716.264000000001</v>
      </c>
      <c r="L20" s="21">
        <f t="shared" si="16"/>
        <v>11466.402480000001</v>
      </c>
      <c r="M20" s="41">
        <f t="shared" si="16"/>
        <v>12269.050653600001</v>
      </c>
      <c r="Q20" s="14" t="s">
        <v>77</v>
      </c>
      <c r="R20" s="47">
        <f>NPV(B40,S7:X7)</f>
        <v>120454.38987027032</v>
      </c>
      <c r="S20" s="12"/>
      <c r="T20" s="37"/>
      <c r="U20" s="12"/>
      <c r="V20" s="12"/>
      <c r="W20" s="12"/>
      <c r="X20" s="13"/>
      <c r="Z20" s="182">
        <v>30</v>
      </c>
      <c r="AA20" s="118">
        <v>-10490.074567979398</v>
      </c>
      <c r="AB20" s="37">
        <v>-4187.2113289716617</v>
      </c>
      <c r="AC20" s="118">
        <v>2115.651910036082</v>
      </c>
      <c r="AD20" s="37">
        <v>8418.5151490438075</v>
      </c>
      <c r="AE20" s="138">
        <v>14721.378388051555</v>
      </c>
      <c r="AG20" s="35" t="s">
        <v>197</v>
      </c>
      <c r="AH20" s="229">
        <f>'Scenario Summary'!E9</f>
        <v>-57869.307598784602</v>
      </c>
      <c r="AI20" s="229">
        <f>'Scenario Summary'!F9</f>
        <v>-58670.975011662398</v>
      </c>
      <c r="AJ20" s="229">
        <f>'Scenario Summary'!G9</f>
        <v>-59333.222004909301</v>
      </c>
    </row>
    <row r="21" spans="1:36" ht="15.75">
      <c r="A21" s="11" t="s">
        <v>78</v>
      </c>
      <c r="B21" s="12"/>
      <c r="C21" s="12"/>
      <c r="D21" s="13" t="s">
        <v>79</v>
      </c>
      <c r="F21" s="14" t="s">
        <v>80</v>
      </c>
      <c r="G21" s="53">
        <f>B24</f>
        <v>0.01</v>
      </c>
      <c r="H21" s="12"/>
      <c r="I21" s="21">
        <f>$G$21*I14</f>
        <v>240</v>
      </c>
      <c r="J21" s="21">
        <f t="shared" ref="J21:M21" si="17">$G$21*J14</f>
        <v>256.8</v>
      </c>
      <c r="K21" s="21">
        <f t="shared" si="17"/>
        <v>274.77600000000001</v>
      </c>
      <c r="L21" s="21">
        <f t="shared" si="17"/>
        <v>294.01032000000004</v>
      </c>
      <c r="M21" s="41">
        <f t="shared" si="17"/>
        <v>314.59104240000005</v>
      </c>
      <c r="Q21" s="14" t="s">
        <v>81</v>
      </c>
      <c r="R21" s="47">
        <f>NPV(B40,S15:X15)+R15</f>
        <v>119127.93655785697</v>
      </c>
      <c r="S21" s="12"/>
      <c r="T21" s="37"/>
      <c r="U21" s="12"/>
      <c r="V21" s="12"/>
      <c r="W21" s="12"/>
      <c r="X21" s="139"/>
      <c r="Z21" s="182">
        <v>32</v>
      </c>
      <c r="AA21" s="118">
        <v>-7968.9292723763065</v>
      </c>
      <c r="AB21" s="37">
        <v>-1245.8751507680536</v>
      </c>
      <c r="AC21" s="118">
        <v>5477.1789708402066</v>
      </c>
      <c r="AD21" s="37">
        <v>12200.233092448456</v>
      </c>
      <c r="AE21" s="138">
        <v>18923.287214056698</v>
      </c>
      <c r="AG21" s="35" t="s">
        <v>198</v>
      </c>
      <c r="AH21" s="229">
        <f>'Scenario Summary'!E10</f>
        <v>8838.7060316443203</v>
      </c>
      <c r="AI21" s="229">
        <f>'Scenario Summary'!F10</f>
        <v>-10490.0745679794</v>
      </c>
      <c r="AJ21" s="229">
        <f>'Scenario Summary'!G10</f>
        <v>-26457.328106798999</v>
      </c>
    </row>
    <row r="22" spans="1:36" ht="16.5" thickBot="1">
      <c r="A22" s="14" t="s">
        <v>40</v>
      </c>
      <c r="B22" s="21">
        <v>3000</v>
      </c>
      <c r="C22" s="12" t="s">
        <v>12</v>
      </c>
      <c r="D22" s="13" t="s">
        <v>82</v>
      </c>
      <c r="F22" s="14" t="s">
        <v>83</v>
      </c>
      <c r="G22" s="30">
        <f t="shared" ref="G22:G25" si="18">B25</f>
        <v>0.02</v>
      </c>
      <c r="I22" s="21">
        <f>$G$22*I14</f>
        <v>480</v>
      </c>
      <c r="J22" s="21">
        <f t="shared" ref="J22:M22" si="19">$G$22*J14</f>
        <v>513.6</v>
      </c>
      <c r="K22" s="21">
        <f t="shared" si="19"/>
        <v>549.55200000000002</v>
      </c>
      <c r="L22" s="21">
        <f t="shared" si="19"/>
        <v>588.02064000000007</v>
      </c>
      <c r="M22" s="41">
        <f t="shared" si="19"/>
        <v>629.1820848000001</v>
      </c>
      <c r="Q22" s="135" t="s">
        <v>84</v>
      </c>
      <c r="R22" s="89">
        <f>R20/R21</f>
        <v>1.0111346956116303</v>
      </c>
      <c r="S22" s="12"/>
      <c r="T22" s="12"/>
      <c r="U22" s="12"/>
      <c r="V22" s="12"/>
      <c r="W22" s="12"/>
      <c r="X22" s="139"/>
      <c r="Z22" s="183">
        <v>34</v>
      </c>
      <c r="AA22" s="184">
        <v>-5447.7839767732039</v>
      </c>
      <c r="AB22" s="141">
        <v>1695.4610274355728</v>
      </c>
      <c r="AC22" s="184">
        <v>8838.706031644324</v>
      </c>
      <c r="AD22" s="141">
        <v>15981.951035853082</v>
      </c>
      <c r="AE22" s="185">
        <v>23125.196040061855</v>
      </c>
    </row>
    <row r="23" spans="1:36" ht="15.75">
      <c r="A23" s="14" t="s">
        <v>85</v>
      </c>
      <c r="B23" s="30">
        <v>0.39</v>
      </c>
      <c r="C23" s="12" t="s">
        <v>86</v>
      </c>
      <c r="D23" s="13"/>
      <c r="F23" s="14" t="s">
        <v>87</v>
      </c>
      <c r="G23" s="30">
        <f t="shared" si="18"/>
        <v>0.14000000000000001</v>
      </c>
      <c r="H23" s="12"/>
      <c r="I23" s="21">
        <f>$G$23*I14</f>
        <v>3360.0000000000005</v>
      </c>
      <c r="J23" s="21">
        <f t="shared" ref="J23:M23" si="20">$G$23*J14</f>
        <v>3595.2000000000003</v>
      </c>
      <c r="K23" s="21">
        <f t="shared" si="20"/>
        <v>3846.8640000000005</v>
      </c>
      <c r="L23" s="21">
        <f t="shared" si="20"/>
        <v>4116.1444800000008</v>
      </c>
      <c r="M23" s="41">
        <f t="shared" si="20"/>
        <v>4404.274593600001</v>
      </c>
      <c r="Q23" s="14" t="s">
        <v>88</v>
      </c>
      <c r="R23" s="47">
        <f>R17</f>
        <v>-60000</v>
      </c>
      <c r="S23" s="118">
        <f>R23+S16</f>
        <v>-51168</v>
      </c>
      <c r="T23" s="118">
        <f>S23+T16</f>
        <v>-39953.760000000002</v>
      </c>
      <c r="U23" s="118">
        <f t="shared" ref="U23:X23" si="21">T23+U16</f>
        <v>-27870.523200000003</v>
      </c>
      <c r="V23" s="118">
        <f t="shared" si="21"/>
        <v>-14857.459824000001</v>
      </c>
      <c r="W23" s="118">
        <f t="shared" si="21"/>
        <v>-849.48201168000014</v>
      </c>
      <c r="X23" s="138">
        <f t="shared" si="21"/>
        <v>25352.655285119999</v>
      </c>
    </row>
    <row r="24" spans="1:36" ht="15.75">
      <c r="A24" s="14" t="s">
        <v>80</v>
      </c>
      <c r="B24" s="30">
        <v>0.01</v>
      </c>
      <c r="C24" s="12" t="s">
        <v>86</v>
      </c>
      <c r="D24" s="13"/>
      <c r="F24" s="14" t="s">
        <v>89</v>
      </c>
      <c r="G24" s="30">
        <f t="shared" si="18"/>
        <v>0.02</v>
      </c>
      <c r="H24" s="12"/>
      <c r="I24" s="21">
        <f>$G$24*I14</f>
        <v>480</v>
      </c>
      <c r="J24" s="21">
        <f t="shared" ref="J24:M24" si="22">$G$24*J14</f>
        <v>513.6</v>
      </c>
      <c r="K24" s="21">
        <f t="shared" si="22"/>
        <v>549.55200000000002</v>
      </c>
      <c r="L24" s="21">
        <f t="shared" si="22"/>
        <v>588.02064000000007</v>
      </c>
      <c r="M24" s="41">
        <f t="shared" si="22"/>
        <v>629.1820848000001</v>
      </c>
      <c r="Q24" s="14"/>
      <c r="R24" s="12"/>
      <c r="V24" s="189">
        <f>MOD(W24,1)*30</f>
        <v>11.67131981413395</v>
      </c>
      <c r="W24" s="37">
        <f>-W23/X24</f>
        <v>0.38904399380446503</v>
      </c>
      <c r="X24" s="139">
        <f>(-W23+X23)/12</f>
        <v>2183.5114414</v>
      </c>
    </row>
    <row r="25" spans="1:36" ht="15.75">
      <c r="A25" s="14" t="s">
        <v>90</v>
      </c>
      <c r="B25" s="30">
        <v>0.02</v>
      </c>
      <c r="C25" s="12" t="s">
        <v>86</v>
      </c>
      <c r="D25" s="13"/>
      <c r="F25" s="14" t="s">
        <v>91</v>
      </c>
      <c r="G25" s="30">
        <f t="shared" si="18"/>
        <v>0.2</v>
      </c>
      <c r="H25" s="12"/>
      <c r="I25" s="21">
        <f>$G$25*I14</f>
        <v>4800</v>
      </c>
      <c r="J25" s="21">
        <f t="shared" ref="J25:M25" si="23">$G$25*J14</f>
        <v>5136</v>
      </c>
      <c r="K25" s="21">
        <f t="shared" si="23"/>
        <v>5495.52</v>
      </c>
      <c r="L25" s="21">
        <f t="shared" si="23"/>
        <v>5880.2064000000009</v>
      </c>
      <c r="M25" s="41">
        <f t="shared" si="23"/>
        <v>6291.8208480000012</v>
      </c>
      <c r="Q25" s="14" t="s">
        <v>92</v>
      </c>
      <c r="R25" s="46" t="str">
        <f>IF(ISNA(AW1), "Lỗ liên tục qua 6 năm", INT(AW1)&amp;"Y"&amp;INT((AW1-INT(AW1))*12)&amp;"M"&amp;ROUND((((AW1-INT(AW1))*12)-INT((AW1-INT(AW1))*12))*30, 0)&amp;"D")</f>
        <v>5Y0M12D</v>
      </c>
      <c r="T25" s="37"/>
      <c r="U25" s="188"/>
      <c r="V25" s="12"/>
      <c r="W25" s="12"/>
      <c r="X25" s="13"/>
    </row>
    <row r="26" spans="1:36" ht="15.75">
      <c r="A26" s="14" t="s">
        <v>87</v>
      </c>
      <c r="B26" s="30">
        <v>0.14000000000000001</v>
      </c>
      <c r="C26" s="12" t="s">
        <v>93</v>
      </c>
      <c r="D26" s="13"/>
      <c r="F26" s="201" t="s">
        <v>94</v>
      </c>
      <c r="G26" s="202"/>
      <c r="H26" s="202"/>
      <c r="I26" s="203">
        <f>I19*I3</f>
        <v>3150</v>
      </c>
      <c r="J26" s="203">
        <f>J19*J3</f>
        <v>3307.5</v>
      </c>
      <c r="K26" s="203">
        <f>K19*K3</f>
        <v>3472.8750000000005</v>
      </c>
      <c r="L26" s="203">
        <f>L19*L3</f>
        <v>3646.5187500000002</v>
      </c>
      <c r="M26" s="204">
        <f>M19*M3</f>
        <v>3828.8446875000004</v>
      </c>
      <c r="Q26" s="14" t="s">
        <v>95</v>
      </c>
      <c r="R26" s="47">
        <f>R17</f>
        <v>-60000</v>
      </c>
      <c r="S26" s="118">
        <f>R26+S17</f>
        <v>-51879.509632224166</v>
      </c>
      <c r="T26" s="118">
        <f>S26+T17</f>
        <v>-42399.337199922709</v>
      </c>
      <c r="U26" s="118">
        <f t="shared" ref="U26:V26" si="24">T26+U17</f>
        <v>-33007.449909292569</v>
      </c>
      <c r="V26" s="118">
        <f t="shared" si="24"/>
        <v>-23707.677388484135</v>
      </c>
      <c r="W26" s="118">
        <f>V26+W17</f>
        <v>-14503.363493983315</v>
      </c>
      <c r="X26" s="138">
        <f>W26+X17</f>
        <v>1326.4533124133413</v>
      </c>
    </row>
    <row r="27" spans="1:36" ht="16.5" thickBot="1">
      <c r="A27" s="14" t="s">
        <v>89</v>
      </c>
      <c r="B27" s="30">
        <v>0.02</v>
      </c>
      <c r="C27" s="12" t="s">
        <v>93</v>
      </c>
      <c r="D27" s="13"/>
      <c r="F27" s="205" t="s">
        <v>96</v>
      </c>
      <c r="G27" s="195"/>
      <c r="H27" s="195"/>
      <c r="I27" s="197">
        <f>I20*I3</f>
        <v>9828</v>
      </c>
      <c r="J27" s="197">
        <f>J20*J3</f>
        <v>11041.758000000002</v>
      </c>
      <c r="K27" s="197">
        <f>K20*K3</f>
        <v>12405.415113000003</v>
      </c>
      <c r="L27" s="197">
        <f>L20*L3</f>
        <v>13937.483879455502</v>
      </c>
      <c r="M27" s="198">
        <f>M20*M3</f>
        <v>15658.763138568258</v>
      </c>
      <c r="Q27" s="14"/>
      <c r="R27" s="12"/>
      <c r="S27" s="37"/>
      <c r="T27" s="37"/>
      <c r="U27" s="37"/>
      <c r="V27" s="189">
        <f>MOD(W27,1)*30</f>
        <v>29.833940701332615</v>
      </c>
      <c r="W27" s="37">
        <f>-W26/X27</f>
        <v>10.994464690044421</v>
      </c>
      <c r="X27" s="139">
        <f>(-W26+X26)/12</f>
        <v>1319.1514005330548</v>
      </c>
    </row>
    <row r="28" spans="1:36" ht="16.5" thickBot="1">
      <c r="A28" s="14" t="s">
        <v>91</v>
      </c>
      <c r="B28" s="30">
        <v>0.2</v>
      </c>
      <c r="C28" s="12" t="s">
        <v>93</v>
      </c>
      <c r="D28" s="13"/>
      <c r="G28" s="32"/>
      <c r="H28" s="12"/>
      <c r="I28" s="12"/>
      <c r="J28" s="12"/>
      <c r="K28" s="12"/>
      <c r="L28" s="12"/>
      <c r="M28" s="12"/>
      <c r="Q28" s="24" t="s">
        <v>97</v>
      </c>
      <c r="R28" s="180" t="str">
        <f>IF(ISNA(AW2), "Lỗ liên tục qua 6 năm", INT(AW2)&amp;"Y"&amp;INT((AW2-INT(AW2))*12)&amp;"M"&amp;ROUND((((AW2-INT(AW2))*12)-INT((AW2-INT(AW2))*12))*30, 0)&amp;"D")</f>
        <v>5Y10M30D</v>
      </c>
      <c r="S28" s="167"/>
      <c r="T28" s="168"/>
      <c r="U28" s="141"/>
      <c r="V28" s="44"/>
      <c r="W28" s="44"/>
      <c r="X28" s="169"/>
    </row>
    <row r="29" spans="1:36" ht="15.75">
      <c r="A29" s="11" t="s">
        <v>98</v>
      </c>
      <c r="B29" s="12"/>
      <c r="C29" s="12"/>
      <c r="D29" s="13" t="s">
        <v>99</v>
      </c>
      <c r="F29" s="175" t="s">
        <v>100</v>
      </c>
      <c r="G29" s="176"/>
      <c r="H29" s="176"/>
      <c r="I29" s="176"/>
      <c r="J29" s="176"/>
      <c r="K29" s="176"/>
      <c r="L29" s="176"/>
      <c r="M29" s="176"/>
      <c r="Q29" s="55" t="s">
        <v>101</v>
      </c>
    </row>
    <row r="30" spans="1:36" ht="15.75">
      <c r="A30" s="14" t="s">
        <v>102</v>
      </c>
      <c r="B30" s="30">
        <v>0.05</v>
      </c>
      <c r="C30" s="12" t="s">
        <v>26</v>
      </c>
      <c r="D30" s="13" t="s">
        <v>103</v>
      </c>
      <c r="F30" s="121" t="s">
        <v>7</v>
      </c>
      <c r="G30" s="31"/>
      <c r="H30" s="9">
        <v>0</v>
      </c>
      <c r="I30" s="9">
        <v>1</v>
      </c>
      <c r="J30" s="9">
        <v>2</v>
      </c>
      <c r="K30" s="9">
        <v>3</v>
      </c>
      <c r="L30" s="9">
        <v>4</v>
      </c>
      <c r="M30" s="122">
        <v>5</v>
      </c>
      <c r="R30" s="57"/>
      <c r="X30" s="58"/>
    </row>
    <row r="31" spans="1:36" ht="16.5" thickBot="1">
      <c r="A31" s="14" t="s">
        <v>104</v>
      </c>
      <c r="B31" s="30">
        <v>0.1</v>
      </c>
      <c r="C31" s="12" t="s">
        <v>26</v>
      </c>
      <c r="D31" s="13" t="s">
        <v>105</v>
      </c>
      <c r="F31" s="123" t="s">
        <v>106</v>
      </c>
      <c r="G31" s="119"/>
      <c r="H31" s="119"/>
      <c r="I31" s="119">
        <f>H36</f>
        <v>30000</v>
      </c>
      <c r="J31" s="119">
        <f>I36</f>
        <v>24886.306362994903</v>
      </c>
      <c r="K31" s="119">
        <f>J36</f>
        <v>19363.517235029398</v>
      </c>
      <c r="L31" s="119">
        <f>K36</f>
        <v>13398.904976826652</v>
      </c>
      <c r="M31" s="124">
        <f>L36</f>
        <v>6957.1237379676859</v>
      </c>
      <c r="R31" s="58"/>
      <c r="X31" s="12"/>
    </row>
    <row r="32" spans="1:36" ht="18.75">
      <c r="A32" s="14" t="s">
        <v>107</v>
      </c>
      <c r="B32" s="30">
        <v>0</v>
      </c>
      <c r="C32" s="12" t="s">
        <v>26</v>
      </c>
      <c r="D32" s="13"/>
      <c r="F32" s="123" t="s">
        <v>108</v>
      </c>
      <c r="G32" s="118"/>
      <c r="H32" s="118"/>
      <c r="I32" s="118">
        <f>I31*B37</f>
        <v>2400</v>
      </c>
      <c r="J32" s="118">
        <f>J31*B37</f>
        <v>1990.9045090395923</v>
      </c>
      <c r="K32" s="118">
        <f>K31*B37</f>
        <v>1549.0813788023518</v>
      </c>
      <c r="L32" s="118">
        <f>L31*B37</f>
        <v>1071.9123981461321</v>
      </c>
      <c r="M32" s="125">
        <f>M31*B37</f>
        <v>556.56989903741487</v>
      </c>
      <c r="Q32" s="1" t="s">
        <v>109</v>
      </c>
      <c r="R32" s="2"/>
      <c r="S32" s="2"/>
      <c r="T32" s="2"/>
      <c r="U32" s="2"/>
      <c r="V32" s="2"/>
      <c r="W32" s="2"/>
      <c r="X32" s="3"/>
    </row>
    <row r="33" spans="1:24" ht="15.75">
      <c r="A33" s="14" t="s">
        <v>110</v>
      </c>
      <c r="B33" s="30">
        <v>0.5</v>
      </c>
      <c r="C33" s="12" t="s">
        <v>26</v>
      </c>
      <c r="D33" s="13" t="s">
        <v>111</v>
      </c>
      <c r="F33" s="123" t="s">
        <v>112</v>
      </c>
      <c r="G33" s="118"/>
      <c r="H33" s="118"/>
      <c r="I33" s="118">
        <f>PMT($B$37,5,-$H$36)</f>
        <v>7513.693637005098</v>
      </c>
      <c r="J33" s="118">
        <f t="shared" ref="J33:M33" si="25">PMT($B$37,5,-$H$36)</f>
        <v>7513.693637005098</v>
      </c>
      <c r="K33" s="118">
        <f t="shared" si="25"/>
        <v>7513.693637005098</v>
      </c>
      <c r="L33" s="118">
        <f t="shared" si="25"/>
        <v>7513.693637005098</v>
      </c>
      <c r="M33" s="125">
        <f t="shared" si="25"/>
        <v>7513.693637005098</v>
      </c>
      <c r="Q33" s="59" t="s">
        <v>7</v>
      </c>
      <c r="R33" s="32">
        <v>0</v>
      </c>
      <c r="S33" s="32">
        <v>1</v>
      </c>
      <c r="T33" s="32">
        <v>2</v>
      </c>
      <c r="U33" s="32">
        <v>3</v>
      </c>
      <c r="V33" s="32">
        <v>4</v>
      </c>
      <c r="W33" s="32">
        <v>5</v>
      </c>
      <c r="X33" s="60">
        <v>6</v>
      </c>
    </row>
    <row r="34" spans="1:24" ht="15.75">
      <c r="A34" s="11" t="s">
        <v>113</v>
      </c>
      <c r="B34" s="12"/>
      <c r="C34" s="12"/>
      <c r="D34" s="13"/>
      <c r="F34" s="126" t="s">
        <v>114</v>
      </c>
      <c r="G34" s="118"/>
      <c r="H34" s="118"/>
      <c r="I34" s="118">
        <f>I33-I32</f>
        <v>5113.693637005098</v>
      </c>
      <c r="J34" s="118">
        <f>J33-J32</f>
        <v>5522.7891279655059</v>
      </c>
      <c r="K34" s="118">
        <f>K33-K32</f>
        <v>5964.6122582027465</v>
      </c>
      <c r="L34" s="118">
        <f>L33-L32</f>
        <v>6441.7812388589664</v>
      </c>
      <c r="M34" s="125">
        <f>M33-M32</f>
        <v>6957.1237379676832</v>
      </c>
      <c r="Q34" s="17" t="s">
        <v>10</v>
      </c>
      <c r="R34" s="18"/>
      <c r="S34" s="19"/>
      <c r="T34" s="18"/>
      <c r="U34" s="18"/>
      <c r="V34" s="18"/>
      <c r="W34" s="18"/>
      <c r="X34" s="20"/>
    </row>
    <row r="35" spans="1:24" ht="15.75">
      <c r="A35" s="14" t="s">
        <v>115</v>
      </c>
      <c r="B35" s="30">
        <v>0.5</v>
      </c>
      <c r="C35" s="12" t="s">
        <v>116</v>
      </c>
      <c r="D35" s="13" t="s">
        <v>117</v>
      </c>
      <c r="F35" s="123" t="s">
        <v>118</v>
      </c>
      <c r="G35" s="118"/>
      <c r="H35" s="118"/>
      <c r="I35" s="118">
        <f>I32</f>
        <v>2400</v>
      </c>
      <c r="J35" s="118">
        <f>J32</f>
        <v>1990.9045090395923</v>
      </c>
      <c r="K35" s="118">
        <f>K32</f>
        <v>1549.0813788023518</v>
      </c>
      <c r="L35" s="118">
        <f>L32</f>
        <v>1071.9123981461321</v>
      </c>
      <c r="M35" s="125">
        <f>M32</f>
        <v>556.56989903741487</v>
      </c>
      <c r="Q35" s="14" t="s">
        <v>15</v>
      </c>
      <c r="R35" s="47"/>
      <c r="S35" s="47">
        <f>I14</f>
        <v>24000</v>
      </c>
      <c r="T35" s="47">
        <f t="shared" ref="T35:X35" si="26">J14</f>
        <v>25680</v>
      </c>
      <c r="U35" s="47">
        <f t="shared" si="26"/>
        <v>27477.600000000002</v>
      </c>
      <c r="V35" s="47">
        <f t="shared" si="26"/>
        <v>29401.032000000003</v>
      </c>
      <c r="W35" s="47">
        <f t="shared" si="26"/>
        <v>31459.104240000004</v>
      </c>
      <c r="X35" s="61">
        <f t="shared" si="26"/>
        <v>0</v>
      </c>
    </row>
    <row r="36" spans="1:24" ht="16.5" thickBot="1">
      <c r="A36" s="14" t="s">
        <v>119</v>
      </c>
      <c r="B36" s="30">
        <v>0.5</v>
      </c>
      <c r="C36" s="12" t="s">
        <v>116</v>
      </c>
      <c r="D36" s="13"/>
      <c r="F36" s="127" t="s">
        <v>120</v>
      </c>
      <c r="G36" s="128"/>
      <c r="H36" s="128">
        <f>B35*B4</f>
        <v>30000</v>
      </c>
      <c r="I36" s="128">
        <f>I31-I34</f>
        <v>24886.306362994903</v>
      </c>
      <c r="J36" s="128">
        <f>J31-J34</f>
        <v>19363.517235029398</v>
      </c>
      <c r="K36" s="128">
        <f>K31-K34</f>
        <v>13398.904976826652</v>
      </c>
      <c r="L36" s="128">
        <f>L31-L34</f>
        <v>6957.1237379676859</v>
      </c>
      <c r="M36" s="129">
        <f>M31-M34</f>
        <v>0</v>
      </c>
      <c r="Q36" s="14" t="s">
        <v>115</v>
      </c>
      <c r="R36" s="47">
        <f>H66</f>
        <v>30000</v>
      </c>
      <c r="S36" s="63"/>
      <c r="T36" s="47"/>
      <c r="U36" s="47"/>
      <c r="V36" s="47"/>
      <c r="W36" s="47"/>
      <c r="X36" s="61"/>
    </row>
    <row r="37" spans="1:24" ht="16.5" thickBot="1">
      <c r="A37" s="14" t="s">
        <v>121</v>
      </c>
      <c r="B37" s="30">
        <v>0.08</v>
      </c>
      <c r="C37" s="12" t="s">
        <v>26</v>
      </c>
      <c r="D37" s="13"/>
      <c r="G37" s="32"/>
      <c r="H37" s="12"/>
      <c r="I37" s="12"/>
      <c r="J37" s="12"/>
      <c r="K37" s="12"/>
      <c r="L37" s="12"/>
      <c r="M37" s="12"/>
      <c r="Q37" s="14" t="s">
        <v>18</v>
      </c>
      <c r="R37" s="47"/>
      <c r="S37" s="63">
        <f>I53</f>
        <v>-2400</v>
      </c>
      <c r="T37" s="63">
        <f t="shared" ref="T37:X37" si="27">J53</f>
        <v>-168</v>
      </c>
      <c r="U37" s="63">
        <f t="shared" si="27"/>
        <v>-179.76000000000022</v>
      </c>
      <c r="V37" s="63">
        <f t="shared" si="27"/>
        <v>-192.34320000000025</v>
      </c>
      <c r="W37" s="63">
        <f t="shared" si="27"/>
        <v>-205.80722400000013</v>
      </c>
      <c r="X37" s="61">
        <f t="shared" si="27"/>
        <v>3145.9104240000006</v>
      </c>
    </row>
    <row r="38" spans="1:24" ht="15.75">
      <c r="A38" s="14" t="s">
        <v>122</v>
      </c>
      <c r="B38" s="30">
        <v>0.15</v>
      </c>
      <c r="C38" s="12" t="s">
        <v>26</v>
      </c>
      <c r="D38" s="13" t="s">
        <v>123</v>
      </c>
      <c r="F38" s="206" t="s">
        <v>124</v>
      </c>
      <c r="G38" s="207"/>
      <c r="H38" s="207"/>
      <c r="I38" s="207"/>
      <c r="J38" s="207"/>
      <c r="K38" s="207"/>
      <c r="L38" s="207"/>
      <c r="M38" s="208"/>
      <c r="Q38" s="14" t="s">
        <v>22</v>
      </c>
      <c r="R38" s="47"/>
      <c r="S38" s="47"/>
      <c r="T38" s="47"/>
      <c r="U38" s="47"/>
      <c r="V38" s="47"/>
      <c r="W38" s="47"/>
      <c r="X38" s="61">
        <f>M77</f>
        <v>24000</v>
      </c>
    </row>
    <row r="39" spans="1:24" ht="15.75">
      <c r="A39" s="14" t="s">
        <v>125</v>
      </c>
      <c r="B39" s="209">
        <f>(B38-B14)/(1+B14)</f>
        <v>9.5238095238095233E-2</v>
      </c>
      <c r="C39" s="12" t="s">
        <v>26</v>
      </c>
      <c r="D39" s="13" t="s">
        <v>126</v>
      </c>
      <c r="F39" s="4" t="s">
        <v>7</v>
      </c>
      <c r="G39" s="64"/>
      <c r="H39" s="5">
        <v>0</v>
      </c>
      <c r="I39" s="5">
        <v>1</v>
      </c>
      <c r="J39" s="5">
        <v>2</v>
      </c>
      <c r="K39" s="5">
        <v>3</v>
      </c>
      <c r="L39" s="5">
        <v>4</v>
      </c>
      <c r="M39" s="6">
        <v>5</v>
      </c>
      <c r="Q39" s="11" t="s">
        <v>28</v>
      </c>
      <c r="R39" s="47">
        <f>SUM(R35:R38)</f>
        <v>30000</v>
      </c>
      <c r="S39" s="47">
        <f>SUM(S35:S38)</f>
        <v>21600</v>
      </c>
      <c r="T39" s="47">
        <f t="shared" ref="T39:X39" si="28">SUM(T35:T38)</f>
        <v>25512</v>
      </c>
      <c r="U39" s="47">
        <f t="shared" si="28"/>
        <v>27297.840000000004</v>
      </c>
      <c r="V39" s="47">
        <f t="shared" si="28"/>
        <v>29208.688800000004</v>
      </c>
      <c r="W39" s="47">
        <f t="shared" si="28"/>
        <v>31253.297016000004</v>
      </c>
      <c r="X39" s="61">
        <f t="shared" si="28"/>
        <v>27145.910424000002</v>
      </c>
    </row>
    <row r="40" spans="1:24" ht="15.75">
      <c r="A40" s="14" t="s">
        <v>127</v>
      </c>
      <c r="B40" s="209">
        <f>(B36*B39)+(B35*B37)</f>
        <v>8.7619047619047624E-2</v>
      </c>
      <c r="C40" s="12"/>
      <c r="D40" s="13" t="s">
        <v>128</v>
      </c>
      <c r="F40" s="14" t="s">
        <v>102</v>
      </c>
      <c r="G40" s="30">
        <f>B30</f>
        <v>0.05</v>
      </c>
      <c r="H40" s="119"/>
      <c r="I40" s="119">
        <f>G40*I14</f>
        <v>1200</v>
      </c>
      <c r="J40" s="119">
        <f>G40*J14</f>
        <v>1284</v>
      </c>
      <c r="K40" s="119">
        <f>G40*K14</f>
        <v>1373.88</v>
      </c>
      <c r="L40" s="119">
        <f>G40*L14</f>
        <v>1470.0516000000002</v>
      </c>
      <c r="M40" s="210">
        <f>G40*M14</f>
        <v>1572.9552120000003</v>
      </c>
      <c r="Q40" s="17" t="s">
        <v>10</v>
      </c>
      <c r="R40" s="18"/>
      <c r="S40" s="19"/>
      <c r="T40" s="18"/>
      <c r="U40" s="18"/>
      <c r="V40" s="18"/>
      <c r="W40" s="18"/>
      <c r="X40" s="20"/>
    </row>
    <row r="41" spans="1:24" ht="15.75">
      <c r="A41" s="14" t="s">
        <v>129</v>
      </c>
      <c r="B41" s="211">
        <f>(B36*B38)+(B35*B43)</f>
        <v>0.14200000000000002</v>
      </c>
      <c r="C41" s="12"/>
      <c r="D41" s="13" t="s">
        <v>130</v>
      </c>
      <c r="F41" s="14" t="s">
        <v>104</v>
      </c>
      <c r="G41" s="30">
        <f>B31</f>
        <v>0.1</v>
      </c>
      <c r="H41" s="118"/>
      <c r="I41" s="118">
        <f>$G$41*I14</f>
        <v>2400</v>
      </c>
      <c r="J41" s="118">
        <f t="shared" ref="J41:M41" si="29">$G$41*J14</f>
        <v>2568</v>
      </c>
      <c r="K41" s="118">
        <f t="shared" si="29"/>
        <v>2747.76</v>
      </c>
      <c r="L41" s="118">
        <f t="shared" si="29"/>
        <v>2940.1032000000005</v>
      </c>
      <c r="M41" s="138">
        <f t="shared" si="29"/>
        <v>3145.9104240000006</v>
      </c>
      <c r="Q41" s="14" t="s">
        <v>34</v>
      </c>
      <c r="R41" s="47">
        <f>H64</f>
        <v>60000</v>
      </c>
      <c r="S41" s="47"/>
      <c r="T41" s="47"/>
      <c r="U41" s="47"/>
      <c r="V41" s="47"/>
      <c r="W41" s="47"/>
      <c r="X41" s="61"/>
    </row>
    <row r="42" spans="1:24" ht="16.5" thickBot="1">
      <c r="A42" s="65" t="s">
        <v>131</v>
      </c>
      <c r="B42" s="66">
        <v>0.2</v>
      </c>
      <c r="C42" s="44" t="s">
        <v>26</v>
      </c>
      <c r="D42" s="67"/>
      <c r="F42" s="14" t="s">
        <v>107</v>
      </c>
      <c r="G42" s="130">
        <f>B32</f>
        <v>0</v>
      </c>
      <c r="H42" s="118"/>
      <c r="I42" s="118">
        <v>0</v>
      </c>
      <c r="J42" s="118">
        <v>0</v>
      </c>
      <c r="K42" s="118">
        <v>0</v>
      </c>
      <c r="L42" s="118">
        <v>0</v>
      </c>
      <c r="M42" s="138">
        <v>0</v>
      </c>
      <c r="Q42" s="14" t="s">
        <v>40</v>
      </c>
      <c r="R42" s="47"/>
      <c r="S42" s="47">
        <f t="shared" ref="S42:X43" si="30">I19</f>
        <v>3000</v>
      </c>
      <c r="T42" s="47">
        <f t="shared" si="30"/>
        <v>3000</v>
      </c>
      <c r="U42" s="47">
        <f t="shared" si="30"/>
        <v>3000</v>
      </c>
      <c r="V42" s="47">
        <f t="shared" si="30"/>
        <v>3000</v>
      </c>
      <c r="W42" s="47">
        <f t="shared" si="30"/>
        <v>3000</v>
      </c>
      <c r="X42" s="61">
        <f t="shared" si="30"/>
        <v>0</v>
      </c>
    </row>
    <row r="43" spans="1:24" ht="15.75">
      <c r="A43" s="68" t="s">
        <v>200</v>
      </c>
      <c r="B43" s="240">
        <f>(B37+B14)+B37*B14</f>
        <v>0.13400000000000001</v>
      </c>
      <c r="C43" s="68"/>
      <c r="D43" s="68"/>
      <c r="F43" s="14" t="s">
        <v>110</v>
      </c>
      <c r="G43" s="131">
        <f>B33*(B25+B26)</f>
        <v>0.08</v>
      </c>
      <c r="H43" s="118"/>
      <c r="I43" s="118">
        <f>$G$43*I14</f>
        <v>1920</v>
      </c>
      <c r="J43" s="118">
        <f t="shared" ref="J43:M43" si="31">$G$43*J14</f>
        <v>2054.4</v>
      </c>
      <c r="K43" s="118">
        <f t="shared" si="31"/>
        <v>2198.2080000000001</v>
      </c>
      <c r="L43" s="118">
        <f t="shared" si="31"/>
        <v>2352.0825600000003</v>
      </c>
      <c r="M43" s="138">
        <f t="shared" si="31"/>
        <v>2516.7283392000004</v>
      </c>
      <c r="Q43" s="14" t="s">
        <v>44</v>
      </c>
      <c r="R43" s="47"/>
      <c r="S43" s="47">
        <f t="shared" si="30"/>
        <v>9360</v>
      </c>
      <c r="T43" s="47">
        <f t="shared" si="30"/>
        <v>10015.200000000001</v>
      </c>
      <c r="U43" s="47">
        <f t="shared" si="30"/>
        <v>10716.264000000001</v>
      </c>
      <c r="V43" s="47">
        <f t="shared" si="30"/>
        <v>11466.402480000001</v>
      </c>
      <c r="W43" s="47">
        <f t="shared" si="30"/>
        <v>12269.050653600001</v>
      </c>
      <c r="X43" s="61">
        <f t="shared" si="30"/>
        <v>0</v>
      </c>
    </row>
    <row r="44" spans="1:24" ht="15.75">
      <c r="D44" s="69"/>
      <c r="F44" s="14" t="s">
        <v>132</v>
      </c>
      <c r="G44" s="118"/>
      <c r="H44" s="118"/>
      <c r="I44" s="118">
        <f>SUM(I40:I42)-I43</f>
        <v>1680</v>
      </c>
      <c r="J44" s="118">
        <f t="shared" ref="J44:M44" si="32">SUM(J40:J42)-J43</f>
        <v>1797.6</v>
      </c>
      <c r="K44" s="118">
        <f t="shared" si="32"/>
        <v>1923.4320000000002</v>
      </c>
      <c r="L44" s="118">
        <f t="shared" si="32"/>
        <v>2058.07224</v>
      </c>
      <c r="M44" s="138">
        <f t="shared" si="32"/>
        <v>2202.1372968000001</v>
      </c>
      <c r="Q44" s="14" t="s">
        <v>133</v>
      </c>
      <c r="R44" s="47"/>
      <c r="S44" s="47">
        <f>I57</f>
        <v>-1920</v>
      </c>
      <c r="T44" s="63">
        <f t="shared" ref="T44:X44" si="33">J57</f>
        <v>-134.40000000000009</v>
      </c>
      <c r="U44" s="63">
        <f t="shared" si="33"/>
        <v>-143.80799999999999</v>
      </c>
      <c r="V44" s="63">
        <f t="shared" si="33"/>
        <v>-153.8745600000002</v>
      </c>
      <c r="W44" s="63">
        <f t="shared" si="33"/>
        <v>-164.64577920000011</v>
      </c>
      <c r="X44" s="61">
        <f t="shared" si="33"/>
        <v>2516.7283392000004</v>
      </c>
    </row>
    <row r="45" spans="1:24" ht="16.5" thickBot="1">
      <c r="F45" s="65" t="s">
        <v>134</v>
      </c>
      <c r="G45" s="184"/>
      <c r="H45" s="184"/>
      <c r="I45" s="184">
        <f>I44*I3</f>
        <v>1764</v>
      </c>
      <c r="J45" s="184">
        <f>J44*J3</f>
        <v>1981.854</v>
      </c>
      <c r="K45" s="184">
        <f>K44*K3</f>
        <v>2226.6129690000007</v>
      </c>
      <c r="L45" s="184">
        <f>L44*L3</f>
        <v>2501.5996706715</v>
      </c>
      <c r="M45" s="185">
        <f>M44*M3</f>
        <v>2810.5472299994308</v>
      </c>
      <c r="Q45" s="14" t="s">
        <v>52</v>
      </c>
      <c r="R45" s="47"/>
      <c r="S45" s="47">
        <f t="shared" ref="S45:X45" si="34">I50</f>
        <v>1200</v>
      </c>
      <c r="T45" s="70">
        <f t="shared" si="34"/>
        <v>84</v>
      </c>
      <c r="U45" s="70">
        <f t="shared" si="34"/>
        <v>89.880000000000109</v>
      </c>
      <c r="V45" s="70">
        <f t="shared" si="34"/>
        <v>96.171600000000126</v>
      </c>
      <c r="W45" s="70">
        <f t="shared" si="34"/>
        <v>102.90361200000007</v>
      </c>
      <c r="X45" s="61">
        <f t="shared" si="34"/>
        <v>-1572.9552120000003</v>
      </c>
    </row>
    <row r="46" spans="1:24" ht="16.5" thickBot="1">
      <c r="G46" s="71"/>
      <c r="M46" s="72"/>
      <c r="N46" s="71"/>
      <c r="Q46" s="14" t="s">
        <v>135</v>
      </c>
      <c r="R46" s="47"/>
      <c r="S46" s="47">
        <f>I33</f>
        <v>7513.693637005098</v>
      </c>
      <c r="T46" s="47">
        <f>J33</f>
        <v>7513.693637005098</v>
      </c>
      <c r="U46" s="47">
        <f>K33</f>
        <v>7513.693637005098</v>
      </c>
      <c r="V46" s="47">
        <f>L33</f>
        <v>7513.693637005098</v>
      </c>
      <c r="W46" s="47">
        <f>M33</f>
        <v>7513.693637005098</v>
      </c>
      <c r="X46" s="61"/>
    </row>
    <row r="47" spans="1:24" ht="15.75">
      <c r="F47" s="212" t="s">
        <v>136</v>
      </c>
      <c r="G47" s="213"/>
      <c r="H47" s="213"/>
      <c r="I47" s="213"/>
      <c r="J47" s="213"/>
      <c r="K47" s="213"/>
      <c r="L47" s="213"/>
      <c r="M47" s="214"/>
      <c r="N47" s="212"/>
      <c r="Q47" s="14" t="s">
        <v>56</v>
      </c>
      <c r="R47" s="47"/>
      <c r="S47" s="47">
        <f>I88</f>
        <v>648</v>
      </c>
      <c r="T47" s="47">
        <f>J88</f>
        <v>934.77909819208151</v>
      </c>
      <c r="U47" s="47">
        <f>K88</f>
        <v>1242.4509242395297</v>
      </c>
      <c r="V47" s="47">
        <f>L88</f>
        <v>1572.5434243707741</v>
      </c>
      <c r="W47" s="47">
        <f>M88</f>
        <v>1926.6967374725173</v>
      </c>
      <c r="X47" s="61"/>
    </row>
    <row r="48" spans="1:24" ht="15.75">
      <c r="F48" s="33" t="s">
        <v>7</v>
      </c>
      <c r="G48" s="18"/>
      <c r="H48" s="73">
        <v>0</v>
      </c>
      <c r="I48" s="73">
        <v>1</v>
      </c>
      <c r="J48" s="73">
        <v>2</v>
      </c>
      <c r="K48" s="73">
        <v>3</v>
      </c>
      <c r="L48" s="73">
        <v>4</v>
      </c>
      <c r="M48" s="73">
        <v>5</v>
      </c>
      <c r="N48" s="74">
        <v>6</v>
      </c>
      <c r="Q48" s="11" t="s">
        <v>60</v>
      </c>
      <c r="R48" s="47">
        <f>SUM(R41:R47)</f>
        <v>60000</v>
      </c>
      <c r="S48" s="47">
        <f>SUM(S41:S47)</f>
        <v>19801.693637005097</v>
      </c>
      <c r="T48" s="47">
        <f t="shared" ref="T48:X48" si="35">SUM(T41:T47)</f>
        <v>21413.272735197181</v>
      </c>
      <c r="U48" s="47">
        <f t="shared" si="35"/>
        <v>22418.480561244629</v>
      </c>
      <c r="V48" s="47">
        <f t="shared" si="35"/>
        <v>23494.936581375874</v>
      </c>
      <c r="W48" s="47">
        <f t="shared" si="35"/>
        <v>24647.698860877616</v>
      </c>
      <c r="X48" s="61">
        <f t="shared" si="35"/>
        <v>943.77312720000009</v>
      </c>
    </row>
    <row r="49" spans="5:25" ht="15.75">
      <c r="F49" s="75" t="s">
        <v>137</v>
      </c>
      <c r="G49" s="76"/>
      <c r="H49" s="47"/>
      <c r="I49" s="47">
        <f>I40</f>
        <v>1200</v>
      </c>
      <c r="J49" s="47">
        <f t="shared" ref="J49:M49" si="36">J40</f>
        <v>1284</v>
      </c>
      <c r="K49" s="47">
        <f t="shared" si="36"/>
        <v>1373.88</v>
      </c>
      <c r="L49" s="47">
        <f t="shared" si="36"/>
        <v>1470.0516000000002</v>
      </c>
      <c r="M49" s="47">
        <f t="shared" si="36"/>
        <v>1572.9552120000003</v>
      </c>
      <c r="N49" s="77">
        <f>0</f>
        <v>0</v>
      </c>
      <c r="Q49" s="14" t="s">
        <v>67</v>
      </c>
      <c r="R49" s="47">
        <f>R39-R48</f>
        <v>-30000</v>
      </c>
      <c r="S49" s="47">
        <f t="shared" ref="S49:W49" si="37">S39-S48</f>
        <v>1798.3063629949029</v>
      </c>
      <c r="T49" s="47">
        <f t="shared" si="37"/>
        <v>4098.7272648028193</v>
      </c>
      <c r="U49" s="47">
        <f t="shared" si="37"/>
        <v>4879.3594387553749</v>
      </c>
      <c r="V49" s="47">
        <f t="shared" si="37"/>
        <v>5713.7522186241295</v>
      </c>
      <c r="W49" s="47">
        <f t="shared" si="37"/>
        <v>6605.5981551223886</v>
      </c>
      <c r="X49" s="61">
        <f>X39-X48</f>
        <v>26202.1372968</v>
      </c>
      <c r="Y49" s="78"/>
    </row>
    <row r="50" spans="5:25" ht="15.75">
      <c r="F50" s="79" t="s">
        <v>138</v>
      </c>
      <c r="G50" s="80"/>
      <c r="H50" s="47"/>
      <c r="I50" s="47">
        <f>I49</f>
        <v>1200</v>
      </c>
      <c r="J50" s="70">
        <f>J49-I49</f>
        <v>84</v>
      </c>
      <c r="K50" s="70">
        <f>K49-J49</f>
        <v>89.880000000000109</v>
      </c>
      <c r="L50" s="70">
        <f>L49-K49</f>
        <v>96.171600000000126</v>
      </c>
      <c r="M50" s="70">
        <f>M49-L49</f>
        <v>102.90361200000007</v>
      </c>
      <c r="N50" s="77">
        <f>N49-M49</f>
        <v>-1572.9552120000003</v>
      </c>
      <c r="Q50" s="14" t="s">
        <v>70</v>
      </c>
      <c r="R50" s="47">
        <f>PV($B$39,R33,,-R49)</f>
        <v>-30000</v>
      </c>
      <c r="S50" s="47">
        <f t="shared" ref="S50:X50" si="38">PV($B$39,S33,,-S49)</f>
        <v>1641.9318966475198</v>
      </c>
      <c r="T50" s="47">
        <f t="shared" si="38"/>
        <v>3416.8973984462064</v>
      </c>
      <c r="U50" s="47">
        <f t="shared" si="38"/>
        <v>3713.9597075954234</v>
      </c>
      <c r="V50" s="47">
        <f t="shared" si="38"/>
        <v>3970.8843422880818</v>
      </c>
      <c r="W50" s="47">
        <f t="shared" si="38"/>
        <v>4191.4997430891253</v>
      </c>
      <c r="X50" s="61">
        <f t="shared" si="38"/>
        <v>15180.478821969724</v>
      </c>
      <c r="Y50" s="78"/>
    </row>
    <row r="51" spans="5:25" ht="15.75">
      <c r="F51" s="81" t="s">
        <v>139</v>
      </c>
      <c r="G51" s="82"/>
      <c r="H51" s="83"/>
      <c r="I51" s="83">
        <f t="shared" ref="I51:N51" si="39">-I50</f>
        <v>-1200</v>
      </c>
      <c r="J51" s="84">
        <f t="shared" si="39"/>
        <v>-84</v>
      </c>
      <c r="K51" s="84">
        <f t="shared" si="39"/>
        <v>-89.880000000000109</v>
      </c>
      <c r="L51" s="84">
        <f t="shared" si="39"/>
        <v>-96.171600000000126</v>
      </c>
      <c r="M51" s="84">
        <f t="shared" si="39"/>
        <v>-102.90361200000007</v>
      </c>
      <c r="N51" s="85">
        <f t="shared" si="39"/>
        <v>1572.9552120000003</v>
      </c>
      <c r="Q51" s="135" t="s">
        <v>49</v>
      </c>
      <c r="R51" s="133">
        <f>NPV(B39,S49:X49)+R49</f>
        <v>2115.651910036082</v>
      </c>
      <c r="S51" s="193"/>
      <c r="T51" s="193"/>
      <c r="U51" s="193"/>
      <c r="V51" s="193"/>
      <c r="W51" s="193"/>
      <c r="X51" s="137"/>
      <c r="Y51" s="78"/>
    </row>
    <row r="52" spans="5:25" ht="15.75">
      <c r="F52" s="86" t="s">
        <v>140</v>
      </c>
      <c r="G52" s="80"/>
      <c r="H52" s="87"/>
      <c r="I52" s="87">
        <f>-I41</f>
        <v>-2400</v>
      </c>
      <c r="J52" s="87">
        <f t="shared" ref="J52:N52" si="40">-J41</f>
        <v>-2568</v>
      </c>
      <c r="K52" s="87">
        <f t="shared" si="40"/>
        <v>-2747.76</v>
      </c>
      <c r="L52" s="87">
        <f t="shared" si="40"/>
        <v>-2940.1032000000005</v>
      </c>
      <c r="M52" s="87">
        <f t="shared" si="40"/>
        <v>-3145.9104240000006</v>
      </c>
      <c r="N52" s="88">
        <f t="shared" si="40"/>
        <v>0</v>
      </c>
      <c r="Q52" s="135" t="s">
        <v>73</v>
      </c>
      <c r="R52" s="89">
        <f>IRR(R49:X49)</f>
        <v>0.11167754723208367</v>
      </c>
      <c r="S52" s="193"/>
      <c r="T52" s="193"/>
      <c r="U52" s="193"/>
      <c r="V52" s="193"/>
      <c r="W52" s="193"/>
      <c r="X52" s="137"/>
      <c r="Y52" s="78"/>
    </row>
    <row r="53" spans="5:25" ht="15.75">
      <c r="E53" s="90"/>
      <c r="F53" s="79" t="s">
        <v>141</v>
      </c>
      <c r="G53" s="76"/>
      <c r="H53" s="47"/>
      <c r="I53" s="47">
        <f>I52</f>
        <v>-2400</v>
      </c>
      <c r="J53" s="70">
        <f>J52-I52</f>
        <v>-168</v>
      </c>
      <c r="K53" s="70">
        <f>K52-J52</f>
        <v>-179.76000000000022</v>
      </c>
      <c r="L53" s="70">
        <f t="shared" ref="L53:N53" si="41">L52-K52</f>
        <v>-192.34320000000025</v>
      </c>
      <c r="M53" s="70">
        <f t="shared" si="41"/>
        <v>-205.80722400000013</v>
      </c>
      <c r="N53" s="77">
        <f t="shared" si="41"/>
        <v>3145.9104240000006</v>
      </c>
      <c r="Q53" s="14" t="s">
        <v>77</v>
      </c>
      <c r="R53" s="47">
        <f>NPV(B39,S39:X39)+R39</f>
        <v>147625.52972181747</v>
      </c>
      <c r="S53" s="193"/>
      <c r="T53" s="193"/>
      <c r="U53" s="193"/>
      <c r="V53" s="193"/>
      <c r="W53" s="193"/>
      <c r="X53" s="137"/>
      <c r="Y53" s="78"/>
    </row>
    <row r="54" spans="5:25" ht="15.75">
      <c r="F54" s="79" t="s">
        <v>15</v>
      </c>
      <c r="H54" s="47"/>
      <c r="I54" s="47">
        <f>I14</f>
        <v>24000</v>
      </c>
      <c r="J54" s="47">
        <f t="shared" ref="J54:N54" si="42">J14</f>
        <v>25680</v>
      </c>
      <c r="K54" s="47">
        <f t="shared" si="42"/>
        <v>27477.600000000002</v>
      </c>
      <c r="L54" s="47">
        <f t="shared" si="42"/>
        <v>29401.032000000003</v>
      </c>
      <c r="M54" s="47">
        <f t="shared" si="42"/>
        <v>31459.104240000004</v>
      </c>
      <c r="N54" s="77">
        <f t="shared" si="42"/>
        <v>0</v>
      </c>
      <c r="Q54" s="14" t="s">
        <v>81</v>
      </c>
      <c r="R54" s="47">
        <f>NPV(B39,S48:X48)+R48</f>
        <v>145509.87781178139</v>
      </c>
      <c r="S54" s="193"/>
      <c r="T54" s="193"/>
      <c r="U54" s="193"/>
      <c r="V54" s="193"/>
      <c r="W54" s="193"/>
      <c r="X54" s="137"/>
      <c r="Y54" s="78"/>
    </row>
    <row r="55" spans="5:25" ht="15.75">
      <c r="F55" s="81" t="s">
        <v>142</v>
      </c>
      <c r="G55" s="72"/>
      <c r="H55" s="83"/>
      <c r="I55" s="83">
        <f>I54+I53</f>
        <v>21600</v>
      </c>
      <c r="J55" s="83">
        <f t="shared" ref="J55:N55" si="43">J54+J53</f>
        <v>25512</v>
      </c>
      <c r="K55" s="83">
        <f t="shared" si="43"/>
        <v>27297.840000000004</v>
      </c>
      <c r="L55" s="83">
        <f t="shared" si="43"/>
        <v>29208.688800000004</v>
      </c>
      <c r="M55" s="83">
        <f t="shared" si="43"/>
        <v>31253.297016000004</v>
      </c>
      <c r="N55" s="85">
        <f t="shared" si="43"/>
        <v>3145.9104240000006</v>
      </c>
      <c r="Q55" s="135" t="s">
        <v>84</v>
      </c>
      <c r="R55" s="215">
        <f>R53/R54</f>
        <v>1.0145395758820765</v>
      </c>
      <c r="S55" s="193"/>
      <c r="T55" s="193"/>
      <c r="U55" s="193"/>
      <c r="V55" s="193"/>
      <c r="W55" s="193"/>
      <c r="X55" s="137"/>
      <c r="Y55" s="78"/>
    </row>
    <row r="56" spans="5:25" ht="15.75">
      <c r="F56" s="91" t="s">
        <v>143</v>
      </c>
      <c r="H56" s="92"/>
      <c r="I56" s="87">
        <f>-I43</f>
        <v>-1920</v>
      </c>
      <c r="J56" s="87">
        <f t="shared" ref="J56:L56" si="44">-J43</f>
        <v>-2054.4</v>
      </c>
      <c r="K56" s="87">
        <f t="shared" si="44"/>
        <v>-2198.2080000000001</v>
      </c>
      <c r="L56" s="87">
        <f t="shared" si="44"/>
        <v>-2352.0825600000003</v>
      </c>
      <c r="M56" s="87">
        <f>-M43</f>
        <v>-2516.7283392000004</v>
      </c>
      <c r="N56" s="88">
        <f>-N43</f>
        <v>0</v>
      </c>
      <c r="Q56" s="14" t="s">
        <v>144</v>
      </c>
      <c r="R56" s="47">
        <f>R49</f>
        <v>-30000</v>
      </c>
      <c r="S56" s="118">
        <f>R56+S49</f>
        <v>-28201.693637005097</v>
      </c>
      <c r="T56" s="118">
        <f t="shared" ref="T56:X56" si="45">S56+T49</f>
        <v>-24102.966372202278</v>
      </c>
      <c r="U56" s="118">
        <f t="shared" si="45"/>
        <v>-19223.606933446903</v>
      </c>
      <c r="V56" s="118">
        <f t="shared" si="45"/>
        <v>-13509.854714822774</v>
      </c>
      <c r="W56" s="118">
        <f t="shared" si="45"/>
        <v>-6904.256559700385</v>
      </c>
      <c r="X56" s="138">
        <f t="shared" si="45"/>
        <v>19297.880737099615</v>
      </c>
      <c r="Y56" s="78"/>
    </row>
    <row r="57" spans="5:25" ht="15.75">
      <c r="F57" s="79" t="s">
        <v>145</v>
      </c>
      <c r="I57" s="47">
        <f>I56</f>
        <v>-1920</v>
      </c>
      <c r="J57" s="70">
        <f>J56-I56</f>
        <v>-134.40000000000009</v>
      </c>
      <c r="K57" s="70">
        <f>K56-J56</f>
        <v>-143.80799999999999</v>
      </c>
      <c r="L57" s="70">
        <f>L56-K56</f>
        <v>-153.8745600000002</v>
      </c>
      <c r="M57" s="70">
        <f>M56-L56</f>
        <v>-164.64577920000011</v>
      </c>
      <c r="N57" s="77">
        <f>N56-M56</f>
        <v>2516.7283392000004</v>
      </c>
      <c r="Q57" s="14"/>
      <c r="R57" s="47"/>
      <c r="S57" s="118"/>
      <c r="T57" s="118"/>
      <c r="U57" s="118"/>
      <c r="V57" s="189">
        <f>MOD(W57,1)*30</f>
        <v>4.8599090729781924</v>
      </c>
      <c r="W57" s="37">
        <f>-W56/X57</f>
        <v>3.1619969690992731</v>
      </c>
      <c r="X57" s="139">
        <f>(-W56+X56)/12</f>
        <v>2183.5114414</v>
      </c>
      <c r="Y57" s="78"/>
    </row>
    <row r="58" spans="5:25" ht="15.75">
      <c r="F58" s="79" t="s">
        <v>40</v>
      </c>
      <c r="G58" s="76"/>
      <c r="I58" s="47">
        <f t="shared" ref="I58:N59" si="46">I19</f>
        <v>3000</v>
      </c>
      <c r="J58" s="47">
        <f t="shared" si="46"/>
        <v>3000</v>
      </c>
      <c r="K58" s="47">
        <f t="shared" si="46"/>
        <v>3000</v>
      </c>
      <c r="L58" s="47">
        <f t="shared" si="46"/>
        <v>3000</v>
      </c>
      <c r="M58" s="47">
        <f t="shared" si="46"/>
        <v>3000</v>
      </c>
      <c r="N58" s="77">
        <f t="shared" si="46"/>
        <v>0</v>
      </c>
      <c r="Q58" s="14" t="s">
        <v>146</v>
      </c>
      <c r="R58" s="46" t="str">
        <f>IF(ISNA(AW3), "Lỗ liên tục qua 6 năm", INT(AW3)&amp;"Y"&amp;INT((AW3-INT(AW3))*12)&amp;"M"&amp;ROUND((((AW3-INT(AW3))*12)-INT((AW3-INT(AW3))*12))*30, 0)&amp;"D")</f>
        <v>5Y3M5D</v>
      </c>
      <c r="T58" s="216"/>
      <c r="U58" s="193"/>
      <c r="X58" s="40"/>
      <c r="Y58" s="78"/>
    </row>
    <row r="59" spans="5:25" ht="15.75">
      <c r="F59" s="79" t="s">
        <v>85</v>
      </c>
      <c r="I59" s="47">
        <f t="shared" si="46"/>
        <v>9360</v>
      </c>
      <c r="J59" s="47">
        <f t="shared" si="46"/>
        <v>10015.200000000001</v>
      </c>
      <c r="K59" s="47">
        <f t="shared" si="46"/>
        <v>10716.264000000001</v>
      </c>
      <c r="L59" s="47">
        <f t="shared" si="46"/>
        <v>11466.402480000001</v>
      </c>
      <c r="M59" s="47">
        <f t="shared" si="46"/>
        <v>12269.050653600001</v>
      </c>
      <c r="N59" s="77">
        <f t="shared" si="46"/>
        <v>0</v>
      </c>
      <c r="Q59" s="14" t="s">
        <v>147</v>
      </c>
      <c r="R59" s="47">
        <f>R50</f>
        <v>-30000</v>
      </c>
      <c r="S59" s="118">
        <f>R59+S50</f>
        <v>-28358.068103352482</v>
      </c>
      <c r="T59" s="118">
        <f t="shared" ref="T59:X59" si="47">S59+T50</f>
        <v>-24941.170704906275</v>
      </c>
      <c r="U59" s="118">
        <f t="shared" si="47"/>
        <v>-21227.210997310853</v>
      </c>
      <c r="V59" s="118">
        <f t="shared" si="47"/>
        <v>-17256.326655022771</v>
      </c>
      <c r="W59" s="118">
        <f t="shared" si="47"/>
        <v>-13064.826911933646</v>
      </c>
      <c r="X59" s="138">
        <f t="shared" si="47"/>
        <v>2115.6519100360783</v>
      </c>
    </row>
    <row r="60" spans="5:25" ht="15.75">
      <c r="F60" s="81" t="s">
        <v>149</v>
      </c>
      <c r="G60" s="72"/>
      <c r="H60" s="93"/>
      <c r="I60" s="83">
        <f>SUM(I57:I59)</f>
        <v>10440</v>
      </c>
      <c r="J60" s="83">
        <f>SUM(J57:J59)</f>
        <v>12880.800000000001</v>
      </c>
      <c r="K60" s="83">
        <f t="shared" ref="K60:N60" si="48">SUM(K57:K59)</f>
        <v>13572.456000000002</v>
      </c>
      <c r="L60" s="83">
        <f t="shared" si="48"/>
        <v>14312.52792</v>
      </c>
      <c r="M60" s="83">
        <f t="shared" si="48"/>
        <v>15104.404874400001</v>
      </c>
      <c r="N60" s="85">
        <f t="shared" si="48"/>
        <v>2516.7283392000004</v>
      </c>
      <c r="Q60" s="14"/>
      <c r="R60" s="47"/>
      <c r="S60" s="118"/>
      <c r="T60" s="118"/>
      <c r="U60" s="118"/>
      <c r="V60" s="189">
        <f>MOD(W60,1)*30</f>
        <v>9.8280194883758298</v>
      </c>
      <c r="W60" s="37">
        <f>-W59/X60</f>
        <v>10.327600649612528</v>
      </c>
      <c r="X60" s="139">
        <f>(-W59+X59)/12</f>
        <v>1265.0399018308103</v>
      </c>
    </row>
    <row r="61" spans="5:25" ht="16.5" thickBot="1">
      <c r="G61" s="97"/>
      <c r="Q61" s="24" t="s">
        <v>148</v>
      </c>
      <c r="R61" s="180" t="str">
        <f>IF(ISNA(AW4), "Lỗ liên tục qua 6 năm", INT(AW4) &amp; "Y" &amp; INT((AW4-INT(AW4))*12) &amp; "M" &amp; ROUND((((AW4-INT(AW4))*12)-INT((AW4-INT(AW4))*12))*30, 0) &amp; "D")</f>
        <v>5Y10M10D</v>
      </c>
      <c r="S61" s="140"/>
      <c r="T61" s="140"/>
      <c r="U61" s="140"/>
      <c r="V61" s="140"/>
      <c r="W61" s="140"/>
      <c r="X61" s="170"/>
    </row>
    <row r="62" spans="5:25" ht="15.75">
      <c r="F62" s="177" t="s">
        <v>151</v>
      </c>
      <c r="G62" s="178"/>
      <c r="H62" s="178"/>
      <c r="I62" s="178"/>
      <c r="J62" s="178"/>
      <c r="K62" s="178"/>
      <c r="L62" s="178"/>
      <c r="M62" s="178"/>
      <c r="N62" s="98"/>
      <c r="Q62" s="94" t="s">
        <v>150</v>
      </c>
      <c r="R62" s="95"/>
      <c r="S62" s="95"/>
      <c r="T62" s="96"/>
      <c r="U62" s="96"/>
      <c r="V62" s="95"/>
      <c r="W62" s="95"/>
      <c r="X62" s="95"/>
    </row>
    <row r="63" spans="5:25">
      <c r="F63" s="99" t="s">
        <v>7</v>
      </c>
      <c r="G63" s="100"/>
      <c r="H63" s="97">
        <v>0</v>
      </c>
      <c r="I63" s="97">
        <v>1</v>
      </c>
      <c r="J63" s="97">
        <v>2</v>
      </c>
      <c r="K63" s="97">
        <v>3</v>
      </c>
      <c r="L63" s="97">
        <v>4</v>
      </c>
      <c r="M63" s="97">
        <v>5</v>
      </c>
      <c r="N63" s="98"/>
    </row>
    <row r="64" spans="5:25" ht="15.75">
      <c r="F64" s="79" t="s">
        <v>152</v>
      </c>
      <c r="G64" s="47"/>
      <c r="H64" s="47">
        <f>B4</f>
        <v>60000</v>
      </c>
      <c r="I64" s="47"/>
      <c r="J64" s="47"/>
      <c r="K64" s="47"/>
      <c r="L64" s="47"/>
      <c r="M64" s="47"/>
      <c r="N64" s="98"/>
    </row>
    <row r="65" spans="6:25" ht="16.5" thickBot="1">
      <c r="F65" s="79" t="s">
        <v>153</v>
      </c>
      <c r="G65" s="47"/>
      <c r="H65" s="47">
        <f>B36*H64</f>
        <v>30000</v>
      </c>
      <c r="I65" s="47"/>
      <c r="J65" s="47"/>
      <c r="K65" s="47"/>
      <c r="L65" s="47"/>
      <c r="M65" s="47"/>
      <c r="N65" s="98"/>
    </row>
    <row r="66" spans="6:25" ht="18.75">
      <c r="F66" s="79" t="s">
        <v>154</v>
      </c>
      <c r="G66" s="47"/>
      <c r="H66" s="47">
        <f>B35*H64</f>
        <v>30000</v>
      </c>
      <c r="I66" s="47"/>
      <c r="J66" s="47"/>
      <c r="K66" s="47"/>
      <c r="L66" s="47"/>
      <c r="M66" s="47"/>
      <c r="N66" s="98"/>
      <c r="Q66" s="1" t="s">
        <v>159</v>
      </c>
      <c r="R66" s="2"/>
      <c r="S66" s="2"/>
      <c r="T66" s="2"/>
      <c r="U66" s="2"/>
      <c r="V66" s="2"/>
      <c r="W66" s="2"/>
      <c r="X66" s="3"/>
    </row>
    <row r="67" spans="6:25" ht="15.75">
      <c r="F67" s="101"/>
      <c r="G67" s="50"/>
      <c r="H67" s="82"/>
      <c r="I67" s="82"/>
      <c r="J67" s="82"/>
      <c r="K67" s="82"/>
      <c r="L67" s="82"/>
      <c r="M67" s="82"/>
      <c r="N67" s="98"/>
      <c r="Q67" s="59" t="s">
        <v>7</v>
      </c>
      <c r="R67" s="32">
        <v>0</v>
      </c>
      <c r="S67" s="32">
        <v>1</v>
      </c>
      <c r="T67" s="32">
        <v>2</v>
      </c>
      <c r="U67" s="32">
        <v>3</v>
      </c>
      <c r="V67" s="32">
        <v>4</v>
      </c>
      <c r="W67" s="32">
        <v>5</v>
      </c>
      <c r="X67" s="60">
        <v>6</v>
      </c>
    </row>
    <row r="68" spans="6:25" ht="15.75">
      <c r="G68" s="5"/>
      <c r="N68" s="102"/>
      <c r="Q68" s="17" t="s">
        <v>10</v>
      </c>
      <c r="R68" s="18"/>
      <c r="S68" s="19"/>
      <c r="T68" s="18"/>
      <c r="U68" s="18"/>
      <c r="V68" s="18"/>
      <c r="W68" s="18"/>
      <c r="X68" s="20"/>
      <c r="Y68" s="57"/>
    </row>
    <row r="69" spans="6:25" ht="15.75">
      <c r="F69" s="177" t="s">
        <v>156</v>
      </c>
      <c r="G69" s="178"/>
      <c r="H69" s="178"/>
      <c r="I69" s="178"/>
      <c r="J69" s="178"/>
      <c r="K69" s="178"/>
      <c r="L69" s="178"/>
      <c r="M69" s="178"/>
      <c r="N69" s="177"/>
      <c r="Q69" s="14" t="s">
        <v>15</v>
      </c>
      <c r="R69" s="47"/>
      <c r="S69" s="47">
        <f>I14</f>
        <v>24000</v>
      </c>
      <c r="T69" s="47">
        <f>J14</f>
        <v>25680</v>
      </c>
      <c r="U69" s="47">
        <f>K14</f>
        <v>27477.600000000002</v>
      </c>
      <c r="V69" s="47">
        <f>L14</f>
        <v>29401.032000000003</v>
      </c>
      <c r="W69" s="47">
        <f>M14</f>
        <v>31459.104240000004</v>
      </c>
      <c r="X69" s="61">
        <f>N14</f>
        <v>0</v>
      </c>
    </row>
    <row r="70" spans="6:25" ht="15.75">
      <c r="F70" s="33" t="s">
        <v>7</v>
      </c>
      <c r="G70" s="56"/>
      <c r="H70" s="5">
        <v>0</v>
      </c>
      <c r="I70" s="5">
        <v>1</v>
      </c>
      <c r="J70" s="5">
        <v>2</v>
      </c>
      <c r="K70" s="5">
        <v>3</v>
      </c>
      <c r="L70" s="5">
        <v>4</v>
      </c>
      <c r="M70" s="5">
        <v>5</v>
      </c>
      <c r="N70" s="34">
        <v>6</v>
      </c>
      <c r="Q70" s="14" t="s">
        <v>18</v>
      </c>
      <c r="R70" s="47"/>
      <c r="S70" s="47">
        <f>I53</f>
        <v>-2400</v>
      </c>
      <c r="T70" s="47">
        <f>J53</f>
        <v>-168</v>
      </c>
      <c r="U70" s="47">
        <f>K53</f>
        <v>-179.76000000000022</v>
      </c>
      <c r="V70" s="47">
        <f>L53</f>
        <v>-192.34320000000025</v>
      </c>
      <c r="W70" s="47">
        <f>M53</f>
        <v>-205.80722400000013</v>
      </c>
      <c r="X70" s="61">
        <f>N53</f>
        <v>3145.9104240000006</v>
      </c>
    </row>
    <row r="71" spans="6:25" ht="15.75">
      <c r="F71" s="103" t="s">
        <v>158</v>
      </c>
      <c r="G71" s="47"/>
      <c r="H71" s="47"/>
      <c r="I71" s="47"/>
      <c r="J71" s="47"/>
      <c r="K71" s="47"/>
      <c r="L71" s="47"/>
      <c r="M71" s="47"/>
      <c r="N71" s="77"/>
      <c r="Q71" s="14" t="s">
        <v>22</v>
      </c>
      <c r="R71" s="47"/>
      <c r="S71" s="47"/>
      <c r="T71" s="47"/>
      <c r="U71" s="47"/>
      <c r="V71" s="47"/>
      <c r="W71" s="47"/>
      <c r="X71" s="61">
        <f>M77</f>
        <v>24000</v>
      </c>
    </row>
    <row r="72" spans="6:25" ht="15.75">
      <c r="F72" s="36" t="s">
        <v>160</v>
      </c>
      <c r="G72" s="47"/>
      <c r="H72" s="47">
        <f>B4</f>
        <v>60000</v>
      </c>
      <c r="I72" s="47"/>
      <c r="J72" s="47"/>
      <c r="K72" s="47"/>
      <c r="L72" s="47"/>
      <c r="M72" s="47"/>
      <c r="N72" s="77"/>
      <c r="Q72" s="11" t="s">
        <v>28</v>
      </c>
      <c r="R72" s="47"/>
      <c r="S72" s="47">
        <f>SUM(S69:S71)*I3</f>
        <v>22680</v>
      </c>
      <c r="T72" s="47">
        <f>SUM(T69:T71)*J3</f>
        <v>28126.98</v>
      </c>
      <c r="U72" s="47">
        <f>SUM(U69:U71)*K3</f>
        <v>31600.662030000007</v>
      </c>
      <c r="V72" s="47">
        <f>SUM(V69:V71)*L3</f>
        <v>35503.343790705003</v>
      </c>
      <c r="W72" s="47">
        <f>SUM(W69:W71)*M3</f>
        <v>39888.006748857078</v>
      </c>
      <c r="X72" s="61">
        <f>SUM(X69:X71)*N3</f>
        <v>36378.116219999145</v>
      </c>
    </row>
    <row r="73" spans="6:25" ht="15.75">
      <c r="F73" s="36" t="s">
        <v>161</v>
      </c>
      <c r="G73" s="47"/>
      <c r="H73" s="47"/>
      <c r="I73" s="47">
        <f>H72/10</f>
        <v>6000</v>
      </c>
      <c r="J73" s="47">
        <f>H72/10</f>
        <v>6000</v>
      </c>
      <c r="K73" s="47">
        <f>H72/10</f>
        <v>6000</v>
      </c>
      <c r="L73" s="47">
        <f>H72/10</f>
        <v>6000</v>
      </c>
      <c r="M73" s="47">
        <f>H72/10</f>
        <v>6000</v>
      </c>
      <c r="N73" s="77"/>
      <c r="Q73" s="104" t="s">
        <v>167</v>
      </c>
      <c r="R73" s="105"/>
      <c r="S73" s="105"/>
      <c r="T73" s="105"/>
      <c r="U73" s="105"/>
      <c r="V73" s="105"/>
      <c r="W73" s="105"/>
      <c r="X73" s="106"/>
    </row>
    <row r="74" spans="6:25" ht="15.75">
      <c r="F74" s="36" t="s">
        <v>162</v>
      </c>
      <c r="G74" s="47"/>
      <c r="H74" s="47"/>
      <c r="I74" s="47">
        <f>I73</f>
        <v>6000</v>
      </c>
      <c r="J74" s="47">
        <f>I74+J73</f>
        <v>12000</v>
      </c>
      <c r="K74" s="47">
        <f t="shared" ref="K74:M74" si="49">J74+K73</f>
        <v>18000</v>
      </c>
      <c r="L74" s="47">
        <f t="shared" si="49"/>
        <v>24000</v>
      </c>
      <c r="M74" s="47">
        <f t="shared" si="49"/>
        <v>30000</v>
      </c>
      <c r="N74" s="77"/>
      <c r="Q74" s="14" t="s">
        <v>34</v>
      </c>
      <c r="R74" s="47">
        <f>H64</f>
        <v>60000</v>
      </c>
      <c r="S74" s="47"/>
      <c r="T74" s="47"/>
      <c r="U74" s="47"/>
      <c r="V74" s="47"/>
      <c r="W74" s="47"/>
      <c r="X74" s="61"/>
    </row>
    <row r="75" spans="6:25" ht="15.75">
      <c r="F75" s="36" t="s">
        <v>25</v>
      </c>
      <c r="G75" s="47"/>
      <c r="H75" s="47"/>
      <c r="I75" s="47"/>
      <c r="J75" s="47"/>
      <c r="K75" s="47"/>
      <c r="L75" s="47"/>
      <c r="M75" s="47">
        <f>M76*B7</f>
        <v>6000</v>
      </c>
      <c r="N75" s="77"/>
      <c r="Q75" s="14" t="s">
        <v>40</v>
      </c>
      <c r="R75" s="47"/>
      <c r="S75" s="47">
        <f>I19</f>
        <v>3000</v>
      </c>
      <c r="T75" s="47">
        <f>J19</f>
        <v>3000</v>
      </c>
      <c r="U75" s="47">
        <f>K19</f>
        <v>3000</v>
      </c>
      <c r="V75" s="47">
        <f>L19</f>
        <v>3000</v>
      </c>
      <c r="W75" s="47">
        <f>M19</f>
        <v>3000</v>
      </c>
      <c r="X75" s="61">
        <f>N19</f>
        <v>0</v>
      </c>
    </row>
    <row r="76" spans="6:25" ht="15.75">
      <c r="F76" s="36" t="s">
        <v>163</v>
      </c>
      <c r="G76" s="47"/>
      <c r="H76" s="47"/>
      <c r="I76" s="47"/>
      <c r="J76" s="47"/>
      <c r="K76" s="47"/>
      <c r="L76" s="47"/>
      <c r="M76" s="47">
        <f>H72-M74</f>
        <v>30000</v>
      </c>
      <c r="N76" s="77" t="s">
        <v>164</v>
      </c>
      <c r="Q76" s="14" t="s">
        <v>44</v>
      </c>
      <c r="R76" s="47"/>
      <c r="S76" s="47">
        <f>I20</f>
        <v>9360</v>
      </c>
      <c r="T76" s="47">
        <f>J20</f>
        <v>10015.200000000001</v>
      </c>
      <c r="U76" s="47">
        <f>K20</f>
        <v>10716.264000000001</v>
      </c>
      <c r="V76" s="47">
        <f>L20</f>
        <v>11466.402480000001</v>
      </c>
      <c r="W76" s="47">
        <f>M20</f>
        <v>12269.050653600001</v>
      </c>
      <c r="X76" s="61">
        <f>N20</f>
        <v>0</v>
      </c>
    </row>
    <row r="77" spans="6:25" ht="15.75">
      <c r="F77" s="39" t="s">
        <v>165</v>
      </c>
      <c r="G77" s="83"/>
      <c r="H77" s="83"/>
      <c r="I77" s="83"/>
      <c r="J77" s="83"/>
      <c r="K77" s="83"/>
      <c r="L77" s="83"/>
      <c r="M77" s="83">
        <f>M76-M75</f>
        <v>24000</v>
      </c>
      <c r="N77" s="85">
        <f>M77*(1+B14)^M70</f>
        <v>30630.757500000003</v>
      </c>
      <c r="Q77" s="14" t="s">
        <v>133</v>
      </c>
      <c r="R77" s="47"/>
      <c r="S77" s="47">
        <f>I57</f>
        <v>-1920</v>
      </c>
      <c r="T77" s="47">
        <f>J57</f>
        <v>-134.40000000000009</v>
      </c>
      <c r="U77" s="47">
        <f>K57</f>
        <v>-143.80799999999999</v>
      </c>
      <c r="V77" s="47">
        <f>L57</f>
        <v>-153.8745600000002</v>
      </c>
      <c r="W77" s="47">
        <f>M57</f>
        <v>-164.64577920000011</v>
      </c>
      <c r="X77" s="61">
        <f>N57</f>
        <v>2516.7283392000004</v>
      </c>
    </row>
    <row r="78" spans="6:25" ht="16.5" thickBot="1">
      <c r="Q78" s="14" t="s">
        <v>138</v>
      </c>
      <c r="R78" s="47"/>
      <c r="S78" s="47">
        <f>I50</f>
        <v>1200</v>
      </c>
      <c r="T78" s="47">
        <f>J50</f>
        <v>84</v>
      </c>
      <c r="U78" s="47">
        <f>K50</f>
        <v>89.880000000000109</v>
      </c>
      <c r="V78" s="47">
        <f>L50</f>
        <v>96.171600000000126</v>
      </c>
      <c r="W78" s="47">
        <f>M50</f>
        <v>102.90361200000007</v>
      </c>
      <c r="X78" s="61">
        <f>N50</f>
        <v>-1572.9552120000003</v>
      </c>
    </row>
    <row r="79" spans="6:25" ht="16.5" thickBot="1">
      <c r="F79" s="218" t="s">
        <v>166</v>
      </c>
      <c r="G79" s="219"/>
      <c r="H79" s="219"/>
      <c r="I79" s="219"/>
      <c r="J79" s="219"/>
      <c r="K79" s="219"/>
      <c r="L79" s="219"/>
      <c r="M79" s="220"/>
      <c r="N79" s="221"/>
      <c r="Q79" s="14" t="s">
        <v>169</v>
      </c>
      <c r="R79" s="47"/>
      <c r="S79" s="47">
        <f>I92</f>
        <v>1128</v>
      </c>
      <c r="T79" s="47">
        <f>J92</f>
        <v>1332.96</v>
      </c>
      <c r="U79" s="47">
        <f>K92</f>
        <v>1552.2672</v>
      </c>
      <c r="V79" s="47">
        <f>L92</f>
        <v>1786.9259040000006</v>
      </c>
      <c r="W79" s="47">
        <f>M92</f>
        <v>2038.0107172800003</v>
      </c>
      <c r="X79" s="61">
        <f>N92</f>
        <v>0</v>
      </c>
    </row>
    <row r="80" spans="6:25" ht="15.75">
      <c r="F80" s="222" t="s">
        <v>7</v>
      </c>
      <c r="G80" s="120"/>
      <c r="H80" s="120">
        <v>0</v>
      </c>
      <c r="I80" s="120">
        <v>1</v>
      </c>
      <c r="J80" s="120">
        <v>2</v>
      </c>
      <c r="K80" s="120">
        <v>3</v>
      </c>
      <c r="L80" s="120">
        <v>4</v>
      </c>
      <c r="M80" s="120">
        <v>5</v>
      </c>
      <c r="N80" s="223">
        <v>6</v>
      </c>
      <c r="Q80" s="11" t="s">
        <v>60</v>
      </c>
      <c r="R80" s="47">
        <f>SUM(R74:R79)*H3</f>
        <v>60000</v>
      </c>
      <c r="S80" s="47">
        <f>SUM(S74:S79)*I3</f>
        <v>13406.400000000001</v>
      </c>
      <c r="T80" s="47">
        <f>SUM(T74:T79)*J3</f>
        <v>15763.280400000003</v>
      </c>
      <c r="U80" s="47">
        <f>SUM(U74:U79)*K3</f>
        <v>17612.805029400006</v>
      </c>
      <c r="V80" s="47">
        <f>SUM(V74:V79)*L3</f>
        <v>19685.883925530903</v>
      </c>
      <c r="W80" s="47">
        <f>SUM(W74:W79)*M3</f>
        <v>22009.882939083971</v>
      </c>
      <c r="X80" s="61">
        <f>SUM(X74:X79)*N3</f>
        <v>1264.7462534997437</v>
      </c>
    </row>
    <row r="81" spans="6:24" ht="15.75">
      <c r="F81" s="14" t="s">
        <v>15</v>
      </c>
      <c r="G81" s="80"/>
      <c r="H81" s="47"/>
      <c r="I81" s="47">
        <f t="shared" ref="I81:N81" si="50">I14</f>
        <v>24000</v>
      </c>
      <c r="J81" s="47">
        <f t="shared" si="50"/>
        <v>25680</v>
      </c>
      <c r="K81" s="47">
        <f t="shared" si="50"/>
        <v>27477.600000000002</v>
      </c>
      <c r="L81" s="47">
        <f t="shared" si="50"/>
        <v>29401.032000000003</v>
      </c>
      <c r="M81" s="47">
        <f t="shared" si="50"/>
        <v>31459.104240000004</v>
      </c>
      <c r="N81" s="61">
        <f t="shared" si="50"/>
        <v>0</v>
      </c>
      <c r="Q81" s="14" t="s">
        <v>172</v>
      </c>
      <c r="R81" s="47">
        <f>R72-R80</f>
        <v>-60000</v>
      </c>
      <c r="S81" s="47">
        <f t="shared" ref="S81:X81" si="51">S72-S80</f>
        <v>9273.5999999999985</v>
      </c>
      <c r="T81" s="47">
        <f t="shared" si="51"/>
        <v>12363.699599999996</v>
      </c>
      <c r="U81" s="47">
        <f t="shared" si="51"/>
        <v>13987.857000600001</v>
      </c>
      <c r="V81" s="47">
        <f t="shared" si="51"/>
        <v>15817.4598651741</v>
      </c>
      <c r="W81" s="47">
        <f t="shared" si="51"/>
        <v>17878.123809773107</v>
      </c>
      <c r="X81" s="61">
        <f t="shared" si="51"/>
        <v>35113.369966499398</v>
      </c>
    </row>
    <row r="82" spans="6:24" ht="15.75">
      <c r="F82" s="14" t="s">
        <v>40</v>
      </c>
      <c r="G82" s="80"/>
      <c r="H82" s="47"/>
      <c r="I82" s="47">
        <f t="shared" ref="I82:N83" si="52">I19</f>
        <v>3000</v>
      </c>
      <c r="J82" s="47">
        <f t="shared" si="52"/>
        <v>3000</v>
      </c>
      <c r="K82" s="47">
        <f t="shared" si="52"/>
        <v>3000</v>
      </c>
      <c r="L82" s="47">
        <f t="shared" si="52"/>
        <v>3000</v>
      </c>
      <c r="M82" s="47">
        <f t="shared" si="52"/>
        <v>3000</v>
      </c>
      <c r="N82" s="61">
        <f t="shared" si="52"/>
        <v>0</v>
      </c>
      <c r="Q82" s="14" t="s">
        <v>70</v>
      </c>
      <c r="R82" s="47">
        <f>PV($B$41,R67,,-R81)</f>
        <v>-60000</v>
      </c>
      <c r="S82" s="47">
        <f t="shared" ref="S82:X82" si="53">PV($B$41,S67,,-S81)</f>
        <v>8120.4903677758311</v>
      </c>
      <c r="T82" s="47">
        <f t="shared" si="53"/>
        <v>9480.1724323014569</v>
      </c>
      <c r="U82" s="47">
        <f t="shared" si="53"/>
        <v>9391.8872906301476</v>
      </c>
      <c r="V82" s="47">
        <f t="shared" si="53"/>
        <v>9299.7725208084394</v>
      </c>
      <c r="W82" s="47">
        <f t="shared" si="53"/>
        <v>9204.3138945008304</v>
      </c>
      <c r="X82" s="61">
        <f t="shared" si="53"/>
        <v>15829.816806396671</v>
      </c>
    </row>
    <row r="83" spans="6:24" ht="15.75">
      <c r="F83" s="14" t="s">
        <v>44</v>
      </c>
      <c r="G83" s="80"/>
      <c r="H83" s="47"/>
      <c r="I83" s="47">
        <f>I20</f>
        <v>9360</v>
      </c>
      <c r="J83" s="47">
        <f t="shared" si="52"/>
        <v>10015.200000000001</v>
      </c>
      <c r="K83" s="47">
        <f t="shared" si="52"/>
        <v>10716.264000000001</v>
      </c>
      <c r="L83" s="47">
        <f t="shared" si="52"/>
        <v>11466.402480000001</v>
      </c>
      <c r="M83" s="47">
        <f t="shared" si="52"/>
        <v>12269.050653600001</v>
      </c>
      <c r="N83" s="61">
        <f t="shared" si="52"/>
        <v>0</v>
      </c>
      <c r="Q83" s="135" t="s">
        <v>49</v>
      </c>
      <c r="R83" s="133">
        <f>NPV(B41,S81:X81)+R81</f>
        <v>1326.4533124133814</v>
      </c>
      <c r="S83" s="47"/>
      <c r="T83" s="47"/>
      <c r="U83" s="47"/>
      <c r="V83" s="47"/>
      <c r="W83" s="47"/>
      <c r="X83" s="61"/>
    </row>
    <row r="84" spans="6:24" ht="15.75">
      <c r="F84" s="14" t="s">
        <v>168</v>
      </c>
      <c r="G84" s="80"/>
      <c r="H84" s="47"/>
      <c r="I84" s="47">
        <f>I73</f>
        <v>6000</v>
      </c>
      <c r="J84" s="47">
        <f t="shared" ref="J84:M84" si="54">J73</f>
        <v>6000</v>
      </c>
      <c r="K84" s="47">
        <f t="shared" si="54"/>
        <v>6000</v>
      </c>
      <c r="L84" s="47">
        <f t="shared" si="54"/>
        <v>6000</v>
      </c>
      <c r="M84" s="47">
        <f t="shared" si="54"/>
        <v>6000</v>
      </c>
      <c r="N84" s="61"/>
      <c r="Q84" s="135" t="s">
        <v>73</v>
      </c>
      <c r="R84" s="224">
        <f>IRR(R81:X81)</f>
        <v>0.14859426120150521</v>
      </c>
      <c r="S84" s="47"/>
      <c r="T84" s="47"/>
      <c r="U84" s="47"/>
      <c r="V84" s="47"/>
      <c r="W84" s="47"/>
      <c r="X84" s="61"/>
    </row>
    <row r="85" spans="6:24" ht="15.75">
      <c r="F85" s="14" t="s">
        <v>170</v>
      </c>
      <c r="G85" s="80"/>
      <c r="H85" s="47"/>
      <c r="I85" s="47">
        <f>I81-SUM(I82:I84)</f>
        <v>5640</v>
      </c>
      <c r="J85" s="47">
        <f t="shared" ref="J85:N85" si="55">J81-SUM(J82:J84)</f>
        <v>6664.7999999999993</v>
      </c>
      <c r="K85" s="47">
        <f t="shared" si="55"/>
        <v>7761.3359999999993</v>
      </c>
      <c r="L85" s="47">
        <f t="shared" si="55"/>
        <v>8934.6295200000022</v>
      </c>
      <c r="M85" s="47">
        <f t="shared" si="55"/>
        <v>10190.053586400001</v>
      </c>
      <c r="N85" s="61">
        <f t="shared" si="55"/>
        <v>0</v>
      </c>
      <c r="Q85" s="14" t="s">
        <v>77</v>
      </c>
      <c r="R85" s="47">
        <f>NPV(B41,S72:X72)</f>
        <v>120454.38987027039</v>
      </c>
      <c r="S85" s="47"/>
      <c r="T85" s="47"/>
      <c r="U85" s="47"/>
      <c r="V85" s="47"/>
      <c r="W85" s="47"/>
      <c r="X85" s="61"/>
    </row>
    <row r="86" spans="6:24" ht="15.75">
      <c r="F86" s="14" t="s">
        <v>171</v>
      </c>
      <c r="G86" s="80"/>
      <c r="H86" s="47"/>
      <c r="I86" s="47">
        <f>I32</f>
        <v>2400</v>
      </c>
      <c r="J86" s="47">
        <f t="shared" ref="J86:N86" si="56">J32</f>
        <v>1990.9045090395923</v>
      </c>
      <c r="K86" s="47">
        <f t="shared" si="56"/>
        <v>1549.0813788023518</v>
      </c>
      <c r="L86" s="47">
        <f t="shared" si="56"/>
        <v>1071.9123981461321</v>
      </c>
      <c r="M86" s="47">
        <f t="shared" si="56"/>
        <v>556.56989903741487</v>
      </c>
      <c r="N86" s="61">
        <f t="shared" si="56"/>
        <v>0</v>
      </c>
      <c r="Q86" s="14" t="s">
        <v>81</v>
      </c>
      <c r="R86" s="47">
        <f>NPV(B41,S80:X80)+R80</f>
        <v>119127.936557857</v>
      </c>
      <c r="S86" s="47"/>
      <c r="T86" s="47"/>
      <c r="U86" s="47"/>
      <c r="V86" s="47"/>
      <c r="W86" s="47"/>
      <c r="X86" s="61"/>
    </row>
    <row r="87" spans="6:24" ht="15.75">
      <c r="F87" s="14" t="s">
        <v>173</v>
      </c>
      <c r="G87" s="80"/>
      <c r="H87" s="47"/>
      <c r="I87" s="47">
        <f>I85-I86</f>
        <v>3240</v>
      </c>
      <c r="J87" s="47">
        <f t="shared" ref="J87:N87" si="57">J85-J86</f>
        <v>4673.8954909604072</v>
      </c>
      <c r="K87" s="47">
        <f t="shared" si="57"/>
        <v>6212.2546211976478</v>
      </c>
      <c r="L87" s="47">
        <f t="shared" si="57"/>
        <v>7862.7171218538697</v>
      </c>
      <c r="M87" s="47">
        <f t="shared" si="57"/>
        <v>9633.4836873625864</v>
      </c>
      <c r="N87" s="61">
        <f t="shared" si="57"/>
        <v>0</v>
      </c>
      <c r="Q87" s="135" t="s">
        <v>84</v>
      </c>
      <c r="R87" s="89">
        <f>R85/R86</f>
        <v>1.0111346956116307</v>
      </c>
      <c r="S87" s="47"/>
      <c r="T87" s="47"/>
      <c r="U87" s="47"/>
      <c r="V87" s="47"/>
      <c r="W87" s="47"/>
      <c r="X87" s="61"/>
    </row>
    <row r="88" spans="6:24" ht="15.75">
      <c r="F88" s="14" t="s">
        <v>56</v>
      </c>
      <c r="G88" s="80"/>
      <c r="H88" s="47"/>
      <c r="I88" s="47">
        <f>I87*$B$42</f>
        <v>648</v>
      </c>
      <c r="J88" s="47">
        <f t="shared" ref="J88:N88" si="58">J87*$B$42</f>
        <v>934.77909819208151</v>
      </c>
      <c r="K88" s="47">
        <f t="shared" si="58"/>
        <v>1242.4509242395297</v>
      </c>
      <c r="L88" s="47">
        <f t="shared" si="58"/>
        <v>1572.5434243707741</v>
      </c>
      <c r="M88" s="47">
        <f t="shared" si="58"/>
        <v>1926.6967374725173</v>
      </c>
      <c r="N88" s="61">
        <f t="shared" si="58"/>
        <v>0</v>
      </c>
      <c r="Q88" s="14" t="s">
        <v>178</v>
      </c>
      <c r="R88" s="47">
        <f>R81</f>
        <v>-60000</v>
      </c>
      <c r="S88" s="118">
        <f>R88+S81</f>
        <v>-50726.400000000001</v>
      </c>
      <c r="T88" s="118">
        <f t="shared" ref="T88:X88" si="59">S88+T81</f>
        <v>-38362.700400000002</v>
      </c>
      <c r="U88" s="118">
        <f t="shared" si="59"/>
        <v>-24374.843399400001</v>
      </c>
      <c r="V88" s="118">
        <f t="shared" si="59"/>
        <v>-8557.3835342259008</v>
      </c>
      <c r="W88" s="118">
        <f t="shared" si="59"/>
        <v>9320.7402755472067</v>
      </c>
      <c r="X88" s="138">
        <f t="shared" si="59"/>
        <v>44434.110242046605</v>
      </c>
    </row>
    <row r="89" spans="6:24" ht="15.75">
      <c r="F89" s="14" t="s">
        <v>174</v>
      </c>
      <c r="G89" s="80"/>
      <c r="H89" s="47"/>
      <c r="I89" s="47">
        <f>I87-I88</f>
        <v>2592</v>
      </c>
      <c r="J89" s="47">
        <f t="shared" ref="J89:N89" si="60">J87-J88</f>
        <v>3739.1163927683256</v>
      </c>
      <c r="K89" s="47">
        <f t="shared" si="60"/>
        <v>4969.8036969581181</v>
      </c>
      <c r="L89" s="47">
        <f t="shared" si="60"/>
        <v>6290.1736974830956</v>
      </c>
      <c r="M89" s="47">
        <f t="shared" si="60"/>
        <v>7706.7869498900691</v>
      </c>
      <c r="N89" s="61">
        <f t="shared" si="60"/>
        <v>0</v>
      </c>
      <c r="Q89" s="14"/>
      <c r="R89" s="47"/>
      <c r="S89" s="47"/>
      <c r="T89" s="132"/>
      <c r="V89" s="189">
        <f>MOD(W89,1)*30</f>
        <v>22.314394122121321</v>
      </c>
      <c r="W89" s="37">
        <f>-V88/X89</f>
        <v>5.743813137404044</v>
      </c>
      <c r="X89" s="139">
        <f>(-V88+W88)/12</f>
        <v>1489.8436508144257</v>
      </c>
    </row>
    <row r="90" spans="6:24" ht="15.75">
      <c r="F90" s="14" t="s">
        <v>175</v>
      </c>
      <c r="H90" s="47"/>
      <c r="I90" s="47"/>
      <c r="J90" s="47"/>
      <c r="K90" s="47"/>
      <c r="L90" s="47"/>
      <c r="M90" s="47"/>
      <c r="N90" s="61">
        <f>M77</f>
        <v>24000</v>
      </c>
      <c r="Q90" s="14" t="s">
        <v>146</v>
      </c>
      <c r="R90" s="46" t="str">
        <f>IF(ISNA(AW5), "Lỗ liên tục qua 6 năm",INT(AW5) &amp; "Y" &amp; INT((AW5-INT(AW5))*12) &amp; "M" &amp; ROUND((((AW5-INT(AW5))*12)-INT((AW5-INT(AW5))*12))*30, 0) &amp; "D")</f>
        <v>4Y5M22D</v>
      </c>
      <c r="T90" s="47"/>
      <c r="U90" s="47"/>
      <c r="V90" s="47"/>
      <c r="W90" s="47"/>
      <c r="X90" s="61"/>
    </row>
    <row r="91" spans="6:24" ht="15.75">
      <c r="F91" s="14" t="s">
        <v>176</v>
      </c>
      <c r="H91" s="47"/>
      <c r="I91" s="47">
        <f>I89+I90+I84</f>
        <v>8592</v>
      </c>
      <c r="J91" s="47">
        <f t="shared" ref="J91:N91" si="61">J89+J90+J84</f>
        <v>9739.1163927683265</v>
      </c>
      <c r="K91" s="47">
        <f t="shared" si="61"/>
        <v>10969.803696958119</v>
      </c>
      <c r="L91" s="47">
        <f t="shared" si="61"/>
        <v>12290.173697483096</v>
      </c>
      <c r="M91" s="47">
        <f t="shared" si="61"/>
        <v>13706.786949890069</v>
      </c>
      <c r="N91" s="61">
        <f t="shared" si="61"/>
        <v>24000</v>
      </c>
      <c r="Q91" s="14" t="s">
        <v>179</v>
      </c>
      <c r="R91" s="47">
        <f>R82</f>
        <v>-60000</v>
      </c>
      <c r="S91" s="118">
        <f>R91+S82</f>
        <v>-51879.509632224166</v>
      </c>
      <c r="T91" s="118">
        <f t="shared" ref="T91:X91" si="62">S91+T82</f>
        <v>-42399.337199922709</v>
      </c>
      <c r="U91" s="118">
        <f t="shared" si="62"/>
        <v>-33007.449909292562</v>
      </c>
      <c r="V91" s="118">
        <f t="shared" si="62"/>
        <v>-23707.677388484124</v>
      </c>
      <c r="W91" s="118">
        <f t="shared" si="62"/>
        <v>-14503.363493983294</v>
      </c>
      <c r="X91" s="138">
        <f t="shared" si="62"/>
        <v>1326.4533124133777</v>
      </c>
    </row>
    <row r="92" spans="6:24" ht="16.5" thickBot="1">
      <c r="F92" s="225" t="s">
        <v>177</v>
      </c>
      <c r="G92" s="226"/>
      <c r="H92" s="226"/>
      <c r="I92" s="227">
        <f>I85*$B$42</f>
        <v>1128</v>
      </c>
      <c r="J92" s="227">
        <f t="shared" ref="J92:M92" si="63">J85*$B$42</f>
        <v>1332.96</v>
      </c>
      <c r="K92" s="227">
        <f t="shared" si="63"/>
        <v>1552.2672</v>
      </c>
      <c r="L92" s="227">
        <f t="shared" si="63"/>
        <v>1786.9259040000006</v>
      </c>
      <c r="M92" s="227">
        <f t="shared" si="63"/>
        <v>2038.0107172800003</v>
      </c>
      <c r="N92" s="228">
        <f>N85*$B$42</f>
        <v>0</v>
      </c>
      <c r="Q92" s="14"/>
      <c r="R92" s="47"/>
      <c r="S92" s="47"/>
      <c r="T92" s="216"/>
      <c r="U92" s="193"/>
      <c r="V92" s="189">
        <f>MOD(W92,1)*30</f>
        <v>29.833940701331816</v>
      </c>
      <c r="W92" s="37">
        <f>-W91/X92</f>
        <v>10.994464690044394</v>
      </c>
      <c r="X92" s="139">
        <f>(-W91+X91)/12</f>
        <v>1319.1514005330559</v>
      </c>
    </row>
    <row r="93" spans="6:24" ht="16.5" thickBot="1">
      <c r="G93" s="80"/>
      <c r="I93" s="54"/>
      <c r="J93" s="54"/>
      <c r="K93" s="54"/>
      <c r="L93" s="54"/>
      <c r="M93" s="54"/>
      <c r="N93" s="80"/>
      <c r="Q93" s="24" t="s">
        <v>148</v>
      </c>
      <c r="R93" s="180" t="str">
        <f>IF(ISNA(AW6), "Lỗ liên tục qua 6 năm",INT(AW6) &amp; "Y" &amp; INT((AW6-INT(AW6))*12) &amp; "M" &amp; ROUND((((AW6-INT(AW6))*12)-INT((AW6-INT(AW6))*12))*30, 0) &amp; "D")</f>
        <v>5Y10M30D</v>
      </c>
      <c r="S93" s="167"/>
      <c r="T93" s="62"/>
      <c r="U93" s="62"/>
      <c r="V93" s="62"/>
      <c r="W93" s="62"/>
      <c r="X93" s="110"/>
    </row>
    <row r="94" spans="6:24" ht="15.75">
      <c r="F94" s="107"/>
      <c r="G94" s="80"/>
      <c r="I94" s="80"/>
      <c r="J94" s="80"/>
      <c r="K94" s="80"/>
      <c r="L94" s="80"/>
      <c r="M94" s="80"/>
    </row>
    <row r="95" spans="6:24" ht="16.5" thickBot="1">
      <c r="F95" s="12"/>
      <c r="G95" s="80"/>
      <c r="H95" s="80"/>
      <c r="I95" s="108"/>
      <c r="J95" s="108"/>
      <c r="K95" s="108"/>
      <c r="L95" s="108"/>
      <c r="M95" s="108"/>
    </row>
    <row r="96" spans="6:24" ht="18.75">
      <c r="F96" s="12"/>
      <c r="G96" s="80"/>
      <c r="H96" s="80"/>
      <c r="I96" s="80"/>
      <c r="J96" s="80"/>
      <c r="K96" s="80"/>
      <c r="L96" s="80"/>
      <c r="M96" s="80"/>
      <c r="Q96" s="111" t="s">
        <v>180</v>
      </c>
      <c r="R96" s="112"/>
      <c r="S96" s="112"/>
      <c r="T96" s="112"/>
      <c r="U96" s="112"/>
      <c r="V96" s="112"/>
      <c r="W96" s="112"/>
      <c r="X96" s="113"/>
    </row>
    <row r="97" spans="6:24" ht="15.75">
      <c r="F97" s="12"/>
      <c r="G97" s="80"/>
      <c r="H97" s="80"/>
      <c r="I97" s="108"/>
      <c r="J97" s="108"/>
      <c r="K97" s="108"/>
      <c r="L97" s="108"/>
      <c r="M97" s="108"/>
      <c r="Q97" s="114" t="s">
        <v>7</v>
      </c>
      <c r="R97" s="5">
        <v>0</v>
      </c>
      <c r="S97" s="5">
        <v>1</v>
      </c>
      <c r="T97" s="5">
        <v>2</v>
      </c>
      <c r="U97" s="5">
        <v>3</v>
      </c>
      <c r="V97" s="5">
        <v>4</v>
      </c>
      <c r="W97" s="5">
        <v>5</v>
      </c>
      <c r="X97" s="6">
        <v>6</v>
      </c>
    </row>
    <row r="98" spans="6:24" ht="15.75">
      <c r="F98" s="12"/>
      <c r="G98" s="80"/>
      <c r="H98" s="80"/>
      <c r="I98" s="109"/>
      <c r="J98" s="109"/>
      <c r="K98" s="109"/>
      <c r="L98" s="109"/>
      <c r="M98" s="109"/>
      <c r="Q98" s="115" t="s">
        <v>10</v>
      </c>
      <c r="R98" s="72"/>
      <c r="S98" s="116"/>
      <c r="T98" s="72"/>
      <c r="U98" s="72"/>
      <c r="V98" s="72"/>
      <c r="W98" s="72"/>
      <c r="X98" s="117"/>
    </row>
    <row r="99" spans="6:24" ht="15.75">
      <c r="F99" s="12"/>
      <c r="G99" s="80"/>
      <c r="H99" s="80"/>
      <c r="Q99" s="14" t="s">
        <v>15</v>
      </c>
      <c r="R99" s="47"/>
      <c r="S99" s="47">
        <f>I14</f>
        <v>24000</v>
      </c>
      <c r="T99" s="47">
        <f>J14</f>
        <v>25680</v>
      </c>
      <c r="U99" s="47">
        <f>K14</f>
        <v>27477.600000000002</v>
      </c>
      <c r="V99" s="47">
        <f>L14</f>
        <v>29401.032000000003</v>
      </c>
      <c r="W99" s="47">
        <f>M14</f>
        <v>31459.104240000004</v>
      </c>
      <c r="X99" s="61">
        <f>N14</f>
        <v>0</v>
      </c>
    </row>
    <row r="100" spans="6:24" ht="15.75">
      <c r="F100" s="12"/>
      <c r="H100" s="80"/>
      <c r="Q100" s="14" t="s">
        <v>115</v>
      </c>
      <c r="R100" s="47">
        <f>H36</f>
        <v>30000</v>
      </c>
      <c r="S100" s="47"/>
      <c r="T100" s="47"/>
      <c r="U100" s="47"/>
      <c r="V100" s="47"/>
      <c r="W100" s="47"/>
      <c r="X100" s="61"/>
    </row>
    <row r="101" spans="6:24" ht="15.75">
      <c r="F101" s="12"/>
      <c r="H101" s="80"/>
      <c r="Q101" s="14" t="s">
        <v>18</v>
      </c>
      <c r="R101" s="47"/>
      <c r="S101" s="47">
        <f>I53</f>
        <v>-2400</v>
      </c>
      <c r="T101" s="47">
        <f>J53</f>
        <v>-168</v>
      </c>
      <c r="U101" s="47">
        <f>K53</f>
        <v>-179.76000000000022</v>
      </c>
      <c r="V101" s="47">
        <f>L53</f>
        <v>-192.34320000000025</v>
      </c>
      <c r="W101" s="47">
        <f>M53</f>
        <v>-205.80722400000013</v>
      </c>
      <c r="X101" s="61">
        <f>N53</f>
        <v>3145.9104240000006</v>
      </c>
    </row>
    <row r="102" spans="6:24" ht="15.75">
      <c r="Q102" s="14" t="s">
        <v>22</v>
      </c>
      <c r="R102" s="47"/>
      <c r="S102" s="47"/>
      <c r="T102" s="47"/>
      <c r="U102" s="47"/>
      <c r="V102" s="47"/>
      <c r="W102" s="47"/>
      <c r="X102" s="61">
        <f>M77</f>
        <v>24000</v>
      </c>
    </row>
    <row r="103" spans="6:24" ht="15.75">
      <c r="Q103" s="11" t="s">
        <v>28</v>
      </c>
      <c r="R103" s="47">
        <f>SUM(R99:R102)*H3</f>
        <v>30000</v>
      </c>
      <c r="S103" s="47">
        <f>SUM(S99:S102)*I3</f>
        <v>22680</v>
      </c>
      <c r="T103" s="47">
        <f>SUM(T99:T102)*J3</f>
        <v>28126.98</v>
      </c>
      <c r="U103" s="47">
        <f>SUM(U99:U102)*K3</f>
        <v>31600.662030000007</v>
      </c>
      <c r="V103" s="47">
        <f>SUM(V99:V102)*L3</f>
        <v>35503.343790705003</v>
      </c>
      <c r="W103" s="47">
        <f>SUM(W99:W102)*M3</f>
        <v>39888.006748857078</v>
      </c>
      <c r="X103" s="61">
        <f>SUM(X99:X102)*N3</f>
        <v>36378.116219999145</v>
      </c>
    </row>
    <row r="104" spans="6:24">
      <c r="Q104" s="17" t="s">
        <v>10</v>
      </c>
      <c r="R104" s="18"/>
      <c r="S104" s="19"/>
      <c r="T104" s="18"/>
      <c r="U104" s="18"/>
      <c r="V104" s="18"/>
      <c r="W104" s="18"/>
      <c r="X104" s="20"/>
    </row>
    <row r="105" spans="6:24" ht="15.75">
      <c r="Q105" s="14" t="s">
        <v>34</v>
      </c>
      <c r="R105" s="47">
        <f>H64</f>
        <v>60000</v>
      </c>
      <c r="S105" s="47"/>
      <c r="T105" s="47"/>
      <c r="U105" s="47"/>
      <c r="V105" s="47"/>
      <c r="W105" s="47"/>
      <c r="X105" s="61"/>
    </row>
    <row r="106" spans="6:24" ht="15.75">
      <c r="Q106" s="14" t="s">
        <v>40</v>
      </c>
      <c r="R106" s="47"/>
      <c r="S106" s="47">
        <f>I19</f>
        <v>3000</v>
      </c>
      <c r="T106" s="47">
        <f>J19</f>
        <v>3000</v>
      </c>
      <c r="U106" s="47">
        <f>K19</f>
        <v>3000</v>
      </c>
      <c r="V106" s="47">
        <f>L19</f>
        <v>3000</v>
      </c>
      <c r="W106" s="47">
        <f>M19</f>
        <v>3000</v>
      </c>
      <c r="X106" s="61">
        <f>N19</f>
        <v>0</v>
      </c>
    </row>
    <row r="107" spans="6:24" ht="15.75">
      <c r="Q107" s="14" t="s">
        <v>44</v>
      </c>
      <c r="R107" s="47"/>
      <c r="S107" s="47">
        <f>I20</f>
        <v>9360</v>
      </c>
      <c r="T107" s="47">
        <f>J20</f>
        <v>10015.200000000001</v>
      </c>
      <c r="U107" s="47">
        <f>K20</f>
        <v>10716.264000000001</v>
      </c>
      <c r="V107" s="47">
        <f>L20</f>
        <v>11466.402480000001</v>
      </c>
      <c r="W107" s="47">
        <f>M20</f>
        <v>12269.050653600001</v>
      </c>
      <c r="X107" s="61">
        <f>N20</f>
        <v>0</v>
      </c>
    </row>
    <row r="108" spans="6:24" ht="15.75">
      <c r="Q108" s="14" t="s">
        <v>133</v>
      </c>
      <c r="R108" s="47"/>
      <c r="S108" s="47">
        <f>I57</f>
        <v>-1920</v>
      </c>
      <c r="T108" s="47">
        <f>J57</f>
        <v>-134.40000000000009</v>
      </c>
      <c r="U108" s="47">
        <f>K57</f>
        <v>-143.80799999999999</v>
      </c>
      <c r="V108" s="47">
        <f>L57</f>
        <v>-153.8745600000002</v>
      </c>
      <c r="W108" s="47">
        <f>M57</f>
        <v>-164.64577920000011</v>
      </c>
      <c r="X108" s="61">
        <f>N57</f>
        <v>2516.7283392000004</v>
      </c>
    </row>
    <row r="109" spans="6:24" ht="15.75">
      <c r="Q109" s="14" t="s">
        <v>138</v>
      </c>
      <c r="R109" s="47"/>
      <c r="S109" s="47">
        <f>I50</f>
        <v>1200</v>
      </c>
      <c r="T109" s="47">
        <f>J50</f>
        <v>84</v>
      </c>
      <c r="U109" s="47">
        <f>K50</f>
        <v>89.880000000000109</v>
      </c>
      <c r="V109" s="47">
        <f>L50</f>
        <v>96.171600000000126</v>
      </c>
      <c r="W109" s="47">
        <f>M50</f>
        <v>102.90361200000007</v>
      </c>
      <c r="X109" s="61">
        <f>N50</f>
        <v>-1572.9552120000003</v>
      </c>
    </row>
    <row r="110" spans="6:24" ht="15.75">
      <c r="Q110" s="14" t="s">
        <v>181</v>
      </c>
      <c r="R110" s="47"/>
      <c r="S110" s="47">
        <f>I33</f>
        <v>7513.693637005098</v>
      </c>
      <c r="T110" s="47">
        <f>J33</f>
        <v>7513.693637005098</v>
      </c>
      <c r="U110" s="47">
        <f>K33</f>
        <v>7513.693637005098</v>
      </c>
      <c r="V110" s="47">
        <f>L33</f>
        <v>7513.693637005098</v>
      </c>
      <c r="W110" s="47">
        <f>M33</f>
        <v>7513.693637005098</v>
      </c>
      <c r="X110" s="61"/>
    </row>
    <row r="111" spans="6:24" ht="15.75">
      <c r="Q111" s="14" t="s">
        <v>169</v>
      </c>
      <c r="R111" s="47"/>
      <c r="S111" s="47">
        <f>I88</f>
        <v>648</v>
      </c>
      <c r="T111" s="47">
        <f>J88</f>
        <v>934.77909819208151</v>
      </c>
      <c r="U111" s="47">
        <f>K88</f>
        <v>1242.4509242395297</v>
      </c>
      <c r="V111" s="47">
        <f>L88</f>
        <v>1572.5434243707741</v>
      </c>
      <c r="W111" s="47">
        <f>M88</f>
        <v>1926.6967374725173</v>
      </c>
      <c r="X111" s="61"/>
    </row>
    <row r="112" spans="6:24" ht="15.75">
      <c r="Q112" s="11" t="s">
        <v>60</v>
      </c>
      <c r="R112" s="47">
        <f>SUM(R105:R111)*H3</f>
        <v>60000</v>
      </c>
      <c r="S112" s="47">
        <f>SUM(S105:S111)*I3</f>
        <v>20791.778318855351</v>
      </c>
      <c r="T112" s="47">
        <f>SUM(T105:T111)*J3</f>
        <v>23608.133190554894</v>
      </c>
      <c r="U112" s="47">
        <f>SUM(U105:U111)*K3</f>
        <v>25952.193559710817</v>
      </c>
      <c r="V112" s="47">
        <f>SUM(V105:V111)*L3</f>
        <v>28558.242258016009</v>
      </c>
      <c r="W112" s="47">
        <f>SUM(W105:W111)*M3</f>
        <v>31457.403614190356</v>
      </c>
      <c r="X112" s="61">
        <f>SUM(X105:X111)*N3</f>
        <v>1264.7462534997437</v>
      </c>
    </row>
    <row r="113" spans="17:24" ht="15.75">
      <c r="Q113" s="14" t="s">
        <v>172</v>
      </c>
      <c r="R113" s="47">
        <f>R103-R112</f>
        <v>-30000</v>
      </c>
      <c r="S113" s="47">
        <f t="shared" ref="S113:X113" si="64">S103-S112</f>
        <v>1888.2216811446488</v>
      </c>
      <c r="T113" s="47">
        <f t="shared" si="64"/>
        <v>4518.8468094451055</v>
      </c>
      <c r="U113" s="47">
        <f t="shared" si="64"/>
        <v>5648.46847028919</v>
      </c>
      <c r="V113" s="47">
        <f t="shared" si="64"/>
        <v>6945.1015326889938</v>
      </c>
      <c r="W113" s="47">
        <f t="shared" si="64"/>
        <v>8430.6031346667223</v>
      </c>
      <c r="X113" s="61">
        <f t="shared" si="64"/>
        <v>35113.369966499398</v>
      </c>
    </row>
    <row r="114" spans="17:24" ht="15.75">
      <c r="Q114" s="14" t="s">
        <v>182</v>
      </c>
      <c r="R114" s="47">
        <f>PV($B$38,R97,,-R113)</f>
        <v>-30000</v>
      </c>
      <c r="S114" s="47">
        <f t="shared" ref="S114:X114" si="65">PV($B$38,S97,,-S113)</f>
        <v>1641.9318966475207</v>
      </c>
      <c r="T114" s="47">
        <f t="shared" si="65"/>
        <v>3416.897398446205</v>
      </c>
      <c r="U114" s="47">
        <f t="shared" si="65"/>
        <v>3713.9597075954248</v>
      </c>
      <c r="V114" s="47">
        <f t="shared" si="65"/>
        <v>3970.8843422880827</v>
      </c>
      <c r="W114" s="47">
        <f t="shared" si="65"/>
        <v>4191.4997430891299</v>
      </c>
      <c r="X114" s="61">
        <f t="shared" si="65"/>
        <v>15180.478821969735</v>
      </c>
    </row>
    <row r="115" spans="17:24" ht="15.75">
      <c r="Q115" s="135" t="s">
        <v>49</v>
      </c>
      <c r="R115" s="133">
        <f>NPV(B38,S113:X113)+R113</f>
        <v>2115.6519100361002</v>
      </c>
      <c r="S115" s="47"/>
      <c r="T115" s="47"/>
      <c r="U115" s="47"/>
      <c r="V115" s="47"/>
      <c r="W115" s="47"/>
      <c r="X115" s="61"/>
    </row>
    <row r="116" spans="17:24" ht="15.75">
      <c r="Q116" s="135" t="s">
        <v>73</v>
      </c>
      <c r="R116" s="224">
        <f>IRR(R113:X113)</f>
        <v>0.16726142459304083</v>
      </c>
      <c r="S116" s="47"/>
      <c r="T116" s="47"/>
      <c r="U116" s="47"/>
      <c r="V116" s="47"/>
      <c r="W116" s="47"/>
      <c r="X116" s="61"/>
    </row>
    <row r="117" spans="17:24" ht="15.75">
      <c r="Q117" s="14" t="s">
        <v>77</v>
      </c>
      <c r="R117" s="47">
        <f>NPV(B38,S103:X103)+R103</f>
        <v>147625.52972181758</v>
      </c>
      <c r="S117" s="47"/>
      <c r="T117" s="47"/>
      <c r="U117" s="47"/>
      <c r="V117" s="47"/>
      <c r="W117" s="47"/>
      <c r="X117" s="61"/>
    </row>
    <row r="118" spans="17:24" ht="15.75">
      <c r="Q118" s="14" t="s">
        <v>81</v>
      </c>
      <c r="R118" s="47">
        <f>NPV(B38,S112:X112)+R112</f>
        <v>145509.87781178148</v>
      </c>
      <c r="S118" s="47"/>
      <c r="T118" s="47"/>
      <c r="U118" s="47"/>
      <c r="V118" s="47"/>
      <c r="W118" s="47"/>
      <c r="X118" s="61"/>
    </row>
    <row r="119" spans="17:24" ht="15.75">
      <c r="Q119" s="135" t="s">
        <v>84</v>
      </c>
      <c r="R119" s="224">
        <f>R117/R118</f>
        <v>1.0145395758820768</v>
      </c>
      <c r="S119" s="47"/>
      <c r="T119" s="47"/>
      <c r="U119" s="47"/>
      <c r="V119" s="47"/>
      <c r="W119" s="47"/>
      <c r="X119" s="61"/>
    </row>
    <row r="120" spans="17:24" ht="15.75">
      <c r="Q120" s="14" t="s">
        <v>178</v>
      </c>
      <c r="R120" s="47">
        <f>R113</f>
        <v>-30000</v>
      </c>
      <c r="S120" s="118">
        <f>R120+S113</f>
        <v>-28111.778318855351</v>
      </c>
      <c r="T120" s="118">
        <f t="shared" ref="T120:X120" si="66">S120+T113</f>
        <v>-23592.931509410246</v>
      </c>
      <c r="U120" s="118">
        <f t="shared" si="66"/>
        <v>-17944.463039121056</v>
      </c>
      <c r="V120" s="118">
        <f t="shared" si="66"/>
        <v>-10999.361506432062</v>
      </c>
      <c r="W120" s="118">
        <f t="shared" si="66"/>
        <v>-2568.7583717653397</v>
      </c>
      <c r="X120" s="138">
        <f t="shared" si="66"/>
        <v>32544.611594734059</v>
      </c>
    </row>
    <row r="121" spans="17:24" ht="15.75">
      <c r="Q121" s="14"/>
      <c r="R121" s="47"/>
      <c r="S121" s="47"/>
      <c r="T121" s="216"/>
      <c r="U121" s="193"/>
      <c r="V121" s="189">
        <f>MOD(W121,1)*30</f>
        <v>26.336207966304606</v>
      </c>
      <c r="W121" s="37">
        <f>-W120/X121</f>
        <v>0.87787359887682015</v>
      </c>
      <c r="X121" s="139">
        <f>(-W120+X120)/12</f>
        <v>2926.11416387495</v>
      </c>
    </row>
    <row r="122" spans="17:24" ht="15.75">
      <c r="Q122" s="14" t="s">
        <v>146</v>
      </c>
      <c r="R122" s="46" t="str">
        <f>IF(ISNA(AX7), "Lỗ liên tục qua 6 năm",INT(AX7) &amp; "Y" &amp; INT((AX7-INT(AX7))*12) &amp; "M" &amp; ROUND((((AX7-INT(AX7))*12)-INT((AX7-INT(AX7))*12))*30, 0) &amp; "D")</f>
        <v>5Y0M26D</v>
      </c>
      <c r="T122" s="47"/>
      <c r="U122" s="47"/>
      <c r="V122" s="47"/>
      <c r="W122" s="47"/>
      <c r="X122" s="61"/>
    </row>
    <row r="123" spans="17:24" ht="15.75">
      <c r="Q123" s="14" t="s">
        <v>179</v>
      </c>
      <c r="R123" s="47">
        <f>R114</f>
        <v>-30000</v>
      </c>
      <c r="S123" s="118">
        <f>R123+S114</f>
        <v>-28358.068103352478</v>
      </c>
      <c r="T123" s="118">
        <f t="shared" ref="T123:X123" si="67">S123+T114</f>
        <v>-24941.170704906272</v>
      </c>
      <c r="U123" s="118">
        <f t="shared" si="67"/>
        <v>-21227.210997310845</v>
      </c>
      <c r="V123" s="118">
        <f t="shared" si="67"/>
        <v>-17256.326655022764</v>
      </c>
      <c r="W123" s="118">
        <f t="shared" si="67"/>
        <v>-13064.826911933633</v>
      </c>
      <c r="X123" s="138">
        <f t="shared" si="67"/>
        <v>2115.651910036102</v>
      </c>
    </row>
    <row r="124" spans="17:24" ht="15.75">
      <c r="Q124" s="14"/>
      <c r="R124" s="47"/>
      <c r="S124" s="47"/>
      <c r="T124" s="216"/>
      <c r="U124" s="193"/>
      <c r="V124" s="189">
        <f>MOD(W124,1)*30</f>
        <v>9.8280194883752969</v>
      </c>
      <c r="W124" s="37">
        <f>-W123/X124</f>
        <v>10.32760064961251</v>
      </c>
      <c r="X124" s="139">
        <f>(-W123+X123)/12</f>
        <v>1265.0399018308112</v>
      </c>
    </row>
    <row r="125" spans="17:24" ht="16.5" thickBot="1">
      <c r="Q125" s="24" t="s">
        <v>148</v>
      </c>
      <c r="R125" s="180" t="str">
        <f>IF(ISNA(AX8), "Lỗ liên tục qua 6 năm", INT(AX8) &amp; "Y" &amp; INT((AX8-INT(AX8))*12) &amp; "M" &amp; ROUND((((AX8-INT(AX8))*12)-INT((AX8-INT(AX8))*12))*30, 0) &amp; "D")</f>
        <v>5Y10M10D</v>
      </c>
      <c r="S125" s="167"/>
      <c r="T125" s="62"/>
      <c r="U125" s="62"/>
      <c r="V125" s="62"/>
      <c r="W125" s="62"/>
      <c r="X125" s="110"/>
    </row>
  </sheetData>
  <scenarios current="0" show="0" sqref="R51">
    <scenario name="Tốt " locked="1" count="2" user="VAQ" comment="Created by VAQ on 17-07-2025">
      <inputCells r="B9" val="80"/>
      <inputCells r="B11" val="34"/>
    </scenario>
    <scenario name="Trung bình" locked="1" count="2" user="VAQ" comment="Created by VAQ on 17-07-2025">
      <inputCells r="B9" val="60"/>
      <inputCells r="B11" val="30"/>
    </scenario>
    <scenario name="Xấu" locked="1" count="2" user="VAQ" comment="Created by VAQ on 17-07-2025">
      <inputCells r="B9" val="40"/>
      <inputCells r="B11" val="26"/>
    </scenario>
  </scenarios>
  <mergeCells count="2">
    <mergeCell ref="A1:D1"/>
    <mergeCell ref="AG8:AH8"/>
  </mergeCells>
  <conditionalFormatting sqref="AA10:AE14">
    <cfRule type="colorScale" priority="2">
      <colorScale>
        <cfvo type="num" val="$AA$10"/>
        <cfvo type="percentile" val="50"/>
        <cfvo type="num" val="$AE$22"/>
        <color rgb="FFF8696B"/>
        <color rgb="FFFFEB84"/>
        <color rgb="FF63BE7B"/>
      </colorScale>
    </cfRule>
  </conditionalFormatting>
  <conditionalFormatting sqref="AA18:AE22">
    <cfRule type="colorScale" priority="1">
      <colorScale>
        <cfvo type="num" val="$AA$10"/>
        <cfvo type="percentile" val="50"/>
        <cfvo type="num" val="$AE$22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A77430D9-82FA-4D8B-9AF6-07AA7DE8545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R23:X23</xm:sqref>
        </x14:conditionalFormatting>
        <x14:conditionalFormatting xmlns:xm="http://schemas.microsoft.com/office/excel/2006/main">
          <x14:cfRule type="iconSet" priority="9" id="{682B0609-7419-4C80-9D59-6A73D17B80F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R26:X26</xm:sqref>
        </x14:conditionalFormatting>
        <x14:conditionalFormatting xmlns:xm="http://schemas.microsoft.com/office/excel/2006/main">
          <x14:cfRule type="iconSet" priority="8" id="{0897A808-53A0-41C0-8AE2-AB3C6F05044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R56:X56 R57:U57</xm:sqref>
        </x14:conditionalFormatting>
        <x14:conditionalFormatting xmlns:xm="http://schemas.microsoft.com/office/excel/2006/main">
          <x14:cfRule type="iconSet" priority="7" id="{41D74083-1378-4C56-A636-82B2428980A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R59:X59 R60:U60</xm:sqref>
        </x14:conditionalFormatting>
        <x14:conditionalFormatting xmlns:xm="http://schemas.microsoft.com/office/excel/2006/main">
          <x14:cfRule type="iconSet" priority="6" id="{86D019CE-54EA-43C1-A014-F8F4A924281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R88:X88</xm:sqref>
        </x14:conditionalFormatting>
        <x14:conditionalFormatting xmlns:xm="http://schemas.microsoft.com/office/excel/2006/main">
          <x14:cfRule type="iconSet" priority="5" id="{269DCEAC-EACA-43BB-89F9-14539A64136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R91:X91</xm:sqref>
        </x14:conditionalFormatting>
        <x14:conditionalFormatting xmlns:xm="http://schemas.microsoft.com/office/excel/2006/main">
          <x14:cfRule type="iconSet" priority="4" id="{423833FE-7DBE-41C5-A9E5-7AA4B89D21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R120:X120</xm:sqref>
        </x14:conditionalFormatting>
        <x14:conditionalFormatting xmlns:xm="http://schemas.microsoft.com/office/excel/2006/main">
          <x14:cfRule type="iconSet" priority="3" id="{566309C1-930F-4C5F-9AB4-AFA500954C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R123:X123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048D-B180-43BC-9C8B-DD773BEA90F9}">
  <sheetPr codeName="Sheet1">
    <outlinePr summaryBelow="0"/>
  </sheetPr>
  <dimension ref="B1:G12"/>
  <sheetViews>
    <sheetView showGridLines="0" workbookViewId="0">
      <selection activeCell="E9" sqref="E9"/>
    </sheetView>
  </sheetViews>
  <sheetFormatPr defaultRowHeight="15" outlineLevelRow="1" outlineLevelCol="1"/>
  <cols>
    <col min="3" max="3" width="6.140625" bestFit="1" customWidth="1"/>
    <col min="4" max="7" width="13.140625" bestFit="1" customWidth="1" outlineLevel="1"/>
  </cols>
  <sheetData>
    <row r="1" spans="2:7" ht="15.75" thickBot="1"/>
    <row r="2" spans="2:7" ht="15.75">
      <c r="B2" s="149" t="s">
        <v>190</v>
      </c>
      <c r="C2" s="149"/>
      <c r="D2" s="153"/>
      <c r="E2" s="153"/>
      <c r="F2" s="153"/>
      <c r="G2" s="153"/>
    </row>
    <row r="3" spans="2:7" ht="15.75" collapsed="1">
      <c r="B3" s="148"/>
      <c r="C3" s="148"/>
      <c r="D3" s="154" t="s">
        <v>192</v>
      </c>
      <c r="E3" s="154" t="s">
        <v>188</v>
      </c>
      <c r="F3" s="154" t="s">
        <v>62</v>
      </c>
      <c r="G3" s="154" t="s">
        <v>63</v>
      </c>
    </row>
    <row r="4" spans="2:7" ht="22.5" hidden="1" outlineLevel="1">
      <c r="B4" s="151"/>
      <c r="C4" s="151"/>
      <c r="D4" s="147"/>
      <c r="E4" s="156" t="s">
        <v>189</v>
      </c>
      <c r="F4" s="156" t="s">
        <v>189</v>
      </c>
      <c r="G4" s="156" t="s">
        <v>189</v>
      </c>
    </row>
    <row r="5" spans="2:7">
      <c r="B5" s="152" t="s">
        <v>191</v>
      </c>
      <c r="C5" s="152"/>
      <c r="D5" s="150"/>
      <c r="E5" s="150"/>
      <c r="F5" s="150"/>
      <c r="G5" s="150"/>
    </row>
    <row r="6" spans="2:7" outlineLevel="1">
      <c r="B6" s="151"/>
      <c r="C6" s="151" t="s">
        <v>185</v>
      </c>
      <c r="D6" s="147">
        <v>80</v>
      </c>
      <c r="E6" s="155">
        <v>80</v>
      </c>
      <c r="F6" s="155">
        <v>60</v>
      </c>
      <c r="G6" s="155">
        <v>40</v>
      </c>
    </row>
    <row r="7" spans="2:7" outlineLevel="1">
      <c r="B7" s="151"/>
      <c r="C7" s="151" t="s">
        <v>186</v>
      </c>
      <c r="D7" s="147">
        <v>34</v>
      </c>
      <c r="E7" s="155">
        <v>34</v>
      </c>
      <c r="F7" s="155">
        <v>30</v>
      </c>
      <c r="G7" s="155">
        <v>26</v>
      </c>
    </row>
    <row r="8" spans="2:7">
      <c r="B8" s="157" t="s">
        <v>193</v>
      </c>
      <c r="C8" s="157"/>
      <c r="D8" s="158"/>
      <c r="E8" s="158"/>
      <c r="F8" s="158"/>
      <c r="G8" s="158"/>
    </row>
    <row r="9" spans="2:7" outlineLevel="1">
      <c r="B9" s="160"/>
      <c r="C9" s="151" t="s">
        <v>187</v>
      </c>
      <c r="D9" s="159">
        <v>-57869.307598784602</v>
      </c>
      <c r="E9" s="159">
        <v>-57869.307598784602</v>
      </c>
      <c r="F9" s="159">
        <v>-58670.975011662398</v>
      </c>
      <c r="G9" s="159">
        <v>-59333.222004909301</v>
      </c>
    </row>
    <row r="10" spans="2:7">
      <c r="B10" s="160"/>
      <c r="C10" s="160" t="s">
        <v>196</v>
      </c>
      <c r="D10" s="161">
        <v>8838.7060316443203</v>
      </c>
      <c r="E10" s="161">
        <v>8838.7060316443203</v>
      </c>
      <c r="F10" s="161">
        <v>-10490.0745679794</v>
      </c>
      <c r="G10" s="161">
        <v>-26457.328106798999</v>
      </c>
    </row>
    <row r="11" spans="2:7">
      <c r="B11" t="s">
        <v>194</v>
      </c>
    </row>
    <row r="12" spans="2:7">
      <c r="B12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6B0-03A8-4C4F-8711-01817C0B4D61}">
  <sheetPr codeName="Sheet3"/>
  <dimension ref="A1:AX132"/>
  <sheetViews>
    <sheetView topLeftCell="N1" zoomScale="70" zoomScaleNormal="70" workbookViewId="0">
      <selection activeCell="AE14" sqref="AA10:AE14"/>
    </sheetView>
  </sheetViews>
  <sheetFormatPr defaultRowHeight="15"/>
  <cols>
    <col min="1" max="1" width="25.42578125" bestFit="1" customWidth="1"/>
    <col min="3" max="3" width="16.5703125" bestFit="1" customWidth="1"/>
    <col min="4" max="4" width="26.140625" customWidth="1"/>
    <col min="6" max="6" width="28.5703125" customWidth="1"/>
    <col min="7" max="8" width="11" bestFit="1" customWidth="1"/>
    <col min="9" max="9" width="12" customWidth="1"/>
    <col min="10" max="12" width="13.85546875" bestFit="1" customWidth="1"/>
    <col min="13" max="13" width="12.85546875" customWidth="1"/>
    <col min="14" max="14" width="11" bestFit="1" customWidth="1"/>
    <col min="15" max="16" width="10" customWidth="1"/>
    <col min="17" max="17" width="39.5703125" bestFit="1" customWidth="1"/>
    <col min="18" max="18" width="12.5703125" bestFit="1" customWidth="1"/>
    <col min="19" max="19" width="13.5703125" bestFit="1" customWidth="1"/>
    <col min="20" max="22" width="14.140625" bestFit="1" customWidth="1"/>
    <col min="23" max="23" width="13.7109375" bestFit="1" customWidth="1"/>
    <col min="24" max="24" width="13" bestFit="1" customWidth="1"/>
    <col min="25" max="25" width="11.5703125" customWidth="1"/>
    <col min="26" max="26" width="12.140625" bestFit="1" customWidth="1"/>
    <col min="27" max="27" width="10.28515625" bestFit="1" customWidth="1"/>
    <col min="28" max="28" width="13.42578125" bestFit="1" customWidth="1"/>
    <col min="29" max="29" width="10.28515625" bestFit="1" customWidth="1"/>
    <col min="30" max="30" width="13.42578125" bestFit="1" customWidth="1"/>
    <col min="31" max="31" width="10.28515625" bestFit="1" customWidth="1"/>
    <col min="32" max="32" width="5.140625" bestFit="1" customWidth="1"/>
    <col min="33" max="33" width="21.42578125" bestFit="1" customWidth="1"/>
    <col min="34" max="36" width="13.5703125" bestFit="1" customWidth="1"/>
    <col min="37" max="37" width="13.42578125" bestFit="1" customWidth="1"/>
    <col min="38" max="38" width="10.28515625" bestFit="1" customWidth="1"/>
    <col min="39" max="39" width="13.42578125" bestFit="1" customWidth="1"/>
    <col min="42" max="49" width="10" bestFit="1" customWidth="1"/>
  </cols>
  <sheetData>
    <row r="1" spans="1:50" ht="18.75">
      <c r="A1" s="231" t="s">
        <v>0</v>
      </c>
      <c r="B1" s="232"/>
      <c r="C1" s="232"/>
      <c r="D1" s="233"/>
      <c r="F1" s="172" t="s">
        <v>1</v>
      </c>
      <c r="G1" s="173"/>
      <c r="H1" s="173"/>
      <c r="I1" s="173"/>
      <c r="J1" s="173"/>
      <c r="K1" s="173"/>
      <c r="L1" s="173"/>
      <c r="M1" s="173"/>
      <c r="N1" s="174"/>
      <c r="Q1" s="1" t="s">
        <v>2</v>
      </c>
      <c r="R1" s="2"/>
      <c r="S1" s="2"/>
      <c r="T1" s="2"/>
      <c r="U1" s="2"/>
      <c r="V1" s="2"/>
      <c r="W1" s="2"/>
      <c r="X1" s="3"/>
      <c r="AW1" s="142" cm="1">
        <f t="array" ref="AW1">INDEX(R2:X2, MATCH(TRUE, INDEX(R23:X23&gt; 0, 0), 0)) - 1 +
   (ABS(INDEX(R23:X23, MATCH(TRUE, INDEX(R23:X23 &gt; 0, 0), 0) - 1)) /
   (INDEX(R23:X23, MATCH(TRUE, INDEX(R23:X23 &gt; 0, 0), 0)) -
   INDEX(R23:X23, MATCH(TRUE, INDEX(R23:X23 &gt; 0, 0), 0) - 1)))</f>
        <v>4.5112623883798957</v>
      </c>
    </row>
    <row r="2" spans="1:50" ht="15.75">
      <c r="A2" s="4" t="s">
        <v>3</v>
      </c>
      <c r="B2" s="5" t="s">
        <v>4</v>
      </c>
      <c r="C2" s="5" t="s">
        <v>5</v>
      </c>
      <c r="D2" s="6" t="s">
        <v>6</v>
      </c>
      <c r="F2" s="7" t="s">
        <v>7</v>
      </c>
      <c r="G2" s="136"/>
      <c r="H2" s="8">
        <v>0</v>
      </c>
      <c r="I2" s="8">
        <v>1</v>
      </c>
      <c r="J2" s="8">
        <v>2</v>
      </c>
      <c r="K2" s="8">
        <v>3</v>
      </c>
      <c r="L2" s="8">
        <v>4</v>
      </c>
      <c r="M2" s="8">
        <v>5</v>
      </c>
      <c r="N2" s="171">
        <v>6</v>
      </c>
      <c r="Q2" s="162" t="s">
        <v>7</v>
      </c>
      <c r="R2" s="9">
        <v>0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10">
        <v>6</v>
      </c>
      <c r="AW2" s="142" cm="1">
        <f t="array" ref="AW2">INDEX($R$2:$X$2, MATCH(TRUE, INDEX(R26:X26&gt; 0, 0), 0)) - 1 +
   (ABS(INDEX(R26:X26, MATCH(TRUE, INDEX(R26:X26 &gt; 0, 0), 0) - 1)) /
   (INDEX(R26:X26, MATCH(TRUE, INDEX(R26:X26 &gt; 0, 0), 0)) -
   INDEX(R26:X26, MATCH(TRUE, INDEX(R26:X26 &gt; 0, 0), 0) - 1)))</f>
        <v>5.4879638734943059</v>
      </c>
    </row>
    <row r="3" spans="1:50" ht="15.75">
      <c r="A3" s="11" t="s">
        <v>8</v>
      </c>
      <c r="B3" s="12"/>
      <c r="C3" s="12"/>
      <c r="D3" s="13"/>
      <c r="F3" s="14" t="s">
        <v>9</v>
      </c>
      <c r="G3" s="12"/>
      <c r="H3" s="188">
        <v>1</v>
      </c>
      <c r="I3" s="188">
        <f>(1+$B$14)^I2</f>
        <v>1.05</v>
      </c>
      <c r="J3" s="188">
        <f>(1+$B$14)^J2</f>
        <v>1.1025</v>
      </c>
      <c r="K3" s="188">
        <f t="shared" ref="K3:N3" si="0">(1+$B$14)^K2</f>
        <v>1.1576250000000001</v>
      </c>
      <c r="L3" s="188">
        <f t="shared" si="0"/>
        <v>1.21550625</v>
      </c>
      <c r="M3" s="15">
        <f t="shared" si="0"/>
        <v>1.2762815625000001</v>
      </c>
      <c r="N3" s="16">
        <f t="shared" si="0"/>
        <v>1.340095640625</v>
      </c>
      <c r="Q3" s="17" t="s">
        <v>10</v>
      </c>
      <c r="R3" s="18"/>
      <c r="S3" s="19"/>
      <c r="T3" s="18"/>
      <c r="U3" s="18"/>
      <c r="V3" s="18"/>
      <c r="W3" s="18"/>
      <c r="X3" s="20"/>
      <c r="AW3" s="142" cm="1">
        <f t="array" ref="AW3">INDEX($R$2:$X$2, MATCH(TRUE, INDEX(R56:X56&gt; 0, 0), 0)) - 1 +
   (ABS(INDEX(R56:X56, MATCH(TRUE, INDEX(R56:X56 &gt; 0, 0), 0) - 1)) /
   (INDEX(R56:X56, MATCH(TRUE, INDEX(R56:X56 &gt; 0, 0), 0)) -
   INDEX(R56:X56, MATCH(TRUE, INDEX(R56:X56 &gt; 0, 0), 0) - 1)))</f>
        <v>4.7935351161650637</v>
      </c>
    </row>
    <row r="4" spans="1:50" ht="15.75">
      <c r="A4" s="14" t="s">
        <v>11</v>
      </c>
      <c r="B4" s="21">
        <v>60000</v>
      </c>
      <c r="C4" s="12" t="s">
        <v>12</v>
      </c>
      <c r="D4" s="13" t="s">
        <v>13</v>
      </c>
      <c r="F4" s="14" t="s">
        <v>14</v>
      </c>
      <c r="G4" s="12"/>
      <c r="H4" s="188">
        <v>1</v>
      </c>
      <c r="I4" s="188">
        <f>(1+$B$15)^I2</f>
        <v>1.01</v>
      </c>
      <c r="J4" s="188">
        <f t="shared" ref="J4:N4" si="1">(1+$B$15)^J2</f>
        <v>1.0201</v>
      </c>
      <c r="K4" s="188">
        <f t="shared" si="1"/>
        <v>1.0303009999999999</v>
      </c>
      <c r="L4" s="188">
        <f t="shared" si="1"/>
        <v>1.04060401</v>
      </c>
      <c r="M4" s="188">
        <f t="shared" si="1"/>
        <v>1.0510100500999999</v>
      </c>
      <c r="N4" s="22">
        <f t="shared" si="1"/>
        <v>1.0615201506010001</v>
      </c>
      <c r="Q4" s="14" t="s">
        <v>15</v>
      </c>
      <c r="R4" s="189"/>
      <c r="S4" s="118">
        <f t="shared" ref="S4:X4" si="2">I14</f>
        <v>27200</v>
      </c>
      <c r="T4" s="118">
        <f t="shared" si="2"/>
        <v>29104</v>
      </c>
      <c r="U4" s="118">
        <f t="shared" si="2"/>
        <v>31141.280000000002</v>
      </c>
      <c r="V4" s="118">
        <f t="shared" si="2"/>
        <v>33321.169600000001</v>
      </c>
      <c r="W4" s="118">
        <f t="shared" si="2"/>
        <v>35653.651472000005</v>
      </c>
      <c r="X4" s="163">
        <f t="shared" si="2"/>
        <v>0</v>
      </c>
      <c r="AW4" s="142" cm="1">
        <f t="array" ref="AW4">INDEX($R$2:$X$2, MATCH(TRUE, INDEX(R59:X59&gt; 0, 0), 0)) - 1 +
   (ABS(INDEX(R59:X59, MATCH(TRUE, INDEX(R59:X59 &gt; 0, 0), 0) - 1)) /
   (INDEX(R59:X59, MATCH(TRUE, INDEX(R59:X59 &gt; 0, 0), 0)) -
   INDEX(R59:X59, MATCH(TRUE, INDEX(R59:X59 &gt; 0, 0), 0) - 1)))</f>
        <v>5.4242106491947881</v>
      </c>
    </row>
    <row r="5" spans="1:50" ht="15.75">
      <c r="A5" s="14" t="s">
        <v>16</v>
      </c>
      <c r="B5" s="12">
        <v>10</v>
      </c>
      <c r="C5" s="12" t="s">
        <v>7</v>
      </c>
      <c r="D5" s="13"/>
      <c r="F5" s="14" t="s">
        <v>17</v>
      </c>
      <c r="G5" s="12"/>
      <c r="H5" s="188">
        <v>1</v>
      </c>
      <c r="I5" s="188">
        <f>I3/I4</f>
        <v>1.0396039603960396</v>
      </c>
      <c r="J5" s="188">
        <f t="shared" ref="J5:M5" si="3">J3/J4</f>
        <v>1.0807763944711304</v>
      </c>
      <c r="K5" s="188">
        <f t="shared" si="3"/>
        <v>1.1235794199947395</v>
      </c>
      <c r="L5" s="188">
        <f t="shared" si="3"/>
        <v>1.1680776148460161</v>
      </c>
      <c r="M5" s="188">
        <f t="shared" si="3"/>
        <v>1.2143381144438785</v>
      </c>
      <c r="N5" s="22">
        <f>N3/N4</f>
        <v>1.2624307130357149</v>
      </c>
      <c r="Q5" s="14" t="s">
        <v>18</v>
      </c>
      <c r="R5" s="189"/>
      <c r="S5" s="189">
        <f t="shared" ref="S5:X5" si="4">I53</f>
        <v>-2720</v>
      </c>
      <c r="T5" s="189">
        <f t="shared" si="4"/>
        <v>-190.40000000000009</v>
      </c>
      <c r="U5" s="189">
        <f t="shared" si="4"/>
        <v>-203.72800000000052</v>
      </c>
      <c r="V5" s="189">
        <f t="shared" si="4"/>
        <v>-217.98895999999968</v>
      </c>
      <c r="W5" s="189">
        <f t="shared" si="4"/>
        <v>-233.2481872000003</v>
      </c>
      <c r="X5" s="163">
        <f t="shared" si="4"/>
        <v>3565.3651472000006</v>
      </c>
      <c r="AW5" s="142" cm="1">
        <f t="array" ref="AW5">INDEX($R$2:$X$2, MATCH(TRUE, INDEX(R95:X95&gt; 0, 0), 0)) - 1 +
   (ABS(INDEX(R95:X95, MATCH(TRUE, INDEX(R95:X95 &gt; 0, 0), 0) - 1)) /
   (INDEX(R95:X95, MATCH(TRUE, INDEX(R95:X95 &gt; 0, 0), 0)) -
   INDEX(R95:X95, MATCH(TRUE, INDEX(R95:X95 &gt; 0, 0), 0) - 1)))</f>
        <v>4.0476039899819591</v>
      </c>
    </row>
    <row r="6" spans="1:50" ht="16.5" thickBot="1">
      <c r="A6" s="14" t="s">
        <v>19</v>
      </c>
      <c r="B6" s="12">
        <v>5</v>
      </c>
      <c r="C6" s="12" t="s">
        <v>7</v>
      </c>
      <c r="D6" s="13" t="s">
        <v>20</v>
      </c>
      <c r="F6" s="24" t="s">
        <v>21</v>
      </c>
      <c r="G6" s="44"/>
      <c r="H6" s="25">
        <f>B16</f>
        <v>23000</v>
      </c>
      <c r="I6" s="25">
        <f>$H$6*I5</f>
        <v>23910.891089108911</v>
      </c>
      <c r="J6" s="25">
        <f t="shared" ref="J6:N6" si="5">$H$6*J5</f>
        <v>24857.857072835999</v>
      </c>
      <c r="K6" s="25">
        <f t="shared" si="5"/>
        <v>25842.326659879011</v>
      </c>
      <c r="L6" s="25">
        <f t="shared" si="5"/>
        <v>26865.785141458371</v>
      </c>
      <c r="M6" s="25">
        <f t="shared" si="5"/>
        <v>27929.776632209207</v>
      </c>
      <c r="N6" s="26">
        <f t="shared" si="5"/>
        <v>29035.906399821441</v>
      </c>
      <c r="Q6" s="14" t="s">
        <v>22</v>
      </c>
      <c r="R6" s="189"/>
      <c r="S6" s="189"/>
      <c r="T6" s="189"/>
      <c r="U6" s="189"/>
      <c r="V6" s="189"/>
      <c r="W6" s="189"/>
      <c r="X6" s="138">
        <f>M77</f>
        <v>24000</v>
      </c>
      <c r="Z6" s="27" t="s">
        <v>23</v>
      </c>
      <c r="AA6" s="28"/>
      <c r="AB6" s="29"/>
      <c r="AC6" s="29"/>
      <c r="AD6" s="29"/>
      <c r="AE6" s="28"/>
      <c r="AG6" s="27" t="s">
        <v>24</v>
      </c>
      <c r="AH6" s="28"/>
      <c r="AI6" s="29"/>
      <c r="AJ6" s="29"/>
      <c r="AK6" s="27"/>
      <c r="AL6" s="28"/>
      <c r="AW6" s="142" cm="1">
        <f t="array" ref="AW6">INDEX($R$2:$X$2, MATCH(TRUE, INDEX(R98:X98&gt; 0, 0), 0)) - 1 +
   (ABS(INDEX(R98:X98, MATCH(TRUE, INDEX(R98:X98 &gt; 0, 0), 0) - 1)) /
   (INDEX(R98:X98, MATCH(TRUE, INDEX(R98:X98 &gt; 0, 0), 0)) -
   INDEX(R98:X98, MATCH(TRUE, INDEX(R98:X98 &gt; 0, 0), 0) - 1)))</f>
        <v>5.2078519358036024</v>
      </c>
    </row>
    <row r="7" spans="1:50" ht="16.5" thickBot="1">
      <c r="A7" s="14" t="s">
        <v>25</v>
      </c>
      <c r="B7" s="30">
        <v>0.2</v>
      </c>
      <c r="C7" s="12" t="s">
        <v>26</v>
      </c>
      <c r="D7" s="13" t="s">
        <v>27</v>
      </c>
      <c r="G7" s="12"/>
      <c r="H7" s="12"/>
      <c r="I7" s="12"/>
      <c r="J7" s="12"/>
      <c r="K7" s="12"/>
      <c r="L7" s="12"/>
      <c r="M7" s="31"/>
      <c r="Q7" s="11" t="s">
        <v>28</v>
      </c>
      <c r="R7" s="134"/>
      <c r="S7" s="134">
        <f t="shared" ref="S7:X7" si="6">SUM(S4:S6)</f>
        <v>24480</v>
      </c>
      <c r="T7" s="134">
        <f t="shared" si="6"/>
        <v>28913.599999999999</v>
      </c>
      <c r="U7" s="134">
        <f t="shared" si="6"/>
        <v>30937.552000000003</v>
      </c>
      <c r="V7" s="134">
        <f t="shared" si="6"/>
        <v>33103.180639999999</v>
      </c>
      <c r="W7" s="134">
        <f t="shared" si="6"/>
        <v>35420.403284800006</v>
      </c>
      <c r="X7" s="164">
        <f t="shared" si="6"/>
        <v>27565.365147200002</v>
      </c>
      <c r="Z7" s="12"/>
      <c r="AA7" s="23"/>
      <c r="AX7" s="142" cm="1">
        <f t="array" ref="AX7">INDEX($R$2:$X$2, MATCH(TRUE, INDEX(R127:X127&gt; 0, 0), 0)) - 1 +
   (ABS(INDEX(R127:X127, MATCH(TRUE, INDEX(R127:X127 &gt; 0, 0), 0) - 1)) /
   (INDEX(R127:X127, MATCH(TRUE, INDEX(R127:X127 &gt; 0, 0), 0)) -
   INDEX(R127:X127, MATCH(TRUE, INDEX(R127:X127 &gt; 0, 0), 0) - 1)))</f>
        <v>4.3100446509979253</v>
      </c>
    </row>
    <row r="8" spans="1:50" ht="15.75">
      <c r="A8" s="11" t="s">
        <v>29</v>
      </c>
      <c r="B8" s="12"/>
      <c r="C8" s="12"/>
      <c r="D8" s="13"/>
      <c r="F8" s="175" t="s">
        <v>15</v>
      </c>
      <c r="G8" s="176"/>
      <c r="H8" s="176"/>
      <c r="I8" s="176"/>
      <c r="J8" s="176"/>
      <c r="K8" s="176"/>
      <c r="L8" s="176"/>
      <c r="M8" s="179"/>
      <c r="Q8" s="17" t="s">
        <v>10</v>
      </c>
      <c r="R8" s="72"/>
      <c r="S8" s="116"/>
      <c r="T8" s="72"/>
      <c r="U8" s="72"/>
      <c r="V8" s="72"/>
      <c r="W8" s="72"/>
      <c r="X8" s="117"/>
      <c r="Z8" s="175" t="s">
        <v>183</v>
      </c>
      <c r="AA8" s="186"/>
      <c r="AB8" s="176"/>
      <c r="AC8" s="176"/>
      <c r="AD8" s="176"/>
      <c r="AE8" s="187"/>
      <c r="AG8" s="33" t="s">
        <v>15</v>
      </c>
      <c r="AH8" s="5"/>
      <c r="AI8" s="5">
        <v>60</v>
      </c>
      <c r="AJ8" s="5">
        <v>70</v>
      </c>
      <c r="AK8" s="5">
        <v>80</v>
      </c>
      <c r="AL8" s="5">
        <v>90</v>
      </c>
      <c r="AM8" s="34">
        <v>100</v>
      </c>
      <c r="AN8" s="38"/>
      <c r="AX8" s="142" cm="1">
        <f t="array" ref="AX8">INDEX($R$2:$X$2, MATCH(TRUE, INDEX(R130:X130&gt; 0, 0), 0)) - 1 +
   (ABS(INDEX(R130:X130, MATCH(TRUE, INDEX(R130:X130 &gt; 0, 0), 0) - 1)) /
   (INDEX(R130:X130, MATCH(TRUE, INDEX(R130:X130 &gt; 0, 0), 0)) -
   INDEX(R130:X130, MATCH(TRUE, INDEX(R130:X130 &gt; 0, 0), 0) - 1)))</f>
        <v>5.4242106491947872</v>
      </c>
    </row>
    <row r="9" spans="1:50" ht="15.75">
      <c r="A9" s="14" t="s">
        <v>31</v>
      </c>
      <c r="B9" s="190">
        <v>80</v>
      </c>
      <c r="C9" s="12" t="s">
        <v>32</v>
      </c>
      <c r="D9" s="13" t="s">
        <v>33</v>
      </c>
      <c r="F9" s="4" t="s">
        <v>7</v>
      </c>
      <c r="G9" s="5"/>
      <c r="H9" s="5">
        <v>0</v>
      </c>
      <c r="I9" s="5">
        <v>1</v>
      </c>
      <c r="J9" s="5">
        <v>2</v>
      </c>
      <c r="K9" s="5">
        <v>3</v>
      </c>
      <c r="L9" s="5">
        <v>4</v>
      </c>
      <c r="M9" s="6">
        <v>5</v>
      </c>
      <c r="Q9" s="14" t="s">
        <v>34</v>
      </c>
      <c r="R9" s="21">
        <f>H64</f>
        <v>60000</v>
      </c>
      <c r="S9" s="12"/>
      <c r="T9" s="12"/>
      <c r="U9" s="12"/>
      <c r="V9" s="12"/>
      <c r="W9" s="12"/>
      <c r="X9" s="13"/>
      <c r="Z9" s="181">
        <f>R18</f>
        <v>-57869.307598784559</v>
      </c>
      <c r="AA9">
        <v>60</v>
      </c>
      <c r="AB9">
        <v>70</v>
      </c>
      <c r="AC9">
        <v>80</v>
      </c>
      <c r="AD9">
        <v>90</v>
      </c>
      <c r="AE9" s="40">
        <v>100</v>
      </c>
      <c r="AG9" s="36" t="s">
        <v>30</v>
      </c>
      <c r="AH9" s="118">
        <f>R18</f>
        <v>-57869.307598784559</v>
      </c>
      <c r="AI9" s="37">
        <v>-58461.84438221599</v>
      </c>
      <c r="AJ9" s="118">
        <v>-58165.575990500278</v>
      </c>
      <c r="AK9" s="37">
        <v>-57869.307598784559</v>
      </c>
      <c r="AL9" s="118">
        <v>-57573.039207068839</v>
      </c>
      <c r="AM9" s="144">
        <v>-57276.770815353128</v>
      </c>
    </row>
    <row r="10" spans="1:50" ht="15.75">
      <c r="A10" s="14" t="s">
        <v>36</v>
      </c>
      <c r="B10" s="191">
        <v>0.02</v>
      </c>
      <c r="C10" s="12" t="s">
        <v>37</v>
      </c>
      <c r="D10" s="13" t="s">
        <v>38</v>
      </c>
      <c r="F10" s="14" t="s">
        <v>39</v>
      </c>
      <c r="G10" s="12">
        <f>B9</f>
        <v>80</v>
      </c>
      <c r="H10" s="12"/>
      <c r="I10" s="12"/>
      <c r="J10" s="12"/>
      <c r="K10" s="12"/>
      <c r="L10" s="12"/>
      <c r="M10" s="40"/>
      <c r="N10" s="192"/>
      <c r="Q10" s="14" t="s">
        <v>40</v>
      </c>
      <c r="R10" s="12" t="s">
        <v>199</v>
      </c>
      <c r="S10" s="21">
        <f t="shared" ref="S10:X11" si="7">I19</f>
        <v>3000</v>
      </c>
      <c r="T10" s="21">
        <f t="shared" si="7"/>
        <v>3000</v>
      </c>
      <c r="U10" s="21">
        <f t="shared" si="7"/>
        <v>3000</v>
      </c>
      <c r="V10" s="21">
        <f t="shared" si="7"/>
        <v>3000</v>
      </c>
      <c r="W10" s="21">
        <f t="shared" si="7"/>
        <v>3000</v>
      </c>
      <c r="X10" s="163">
        <f t="shared" si="7"/>
        <v>0</v>
      </c>
      <c r="Z10" s="182">
        <v>26</v>
      </c>
      <c r="AA10" s="118">
        <v>-58880.10564110877</v>
      </c>
      <c r="AB10" s="37">
        <v>-58653.547459208516</v>
      </c>
      <c r="AC10" s="118">
        <v>-58426.989277308261</v>
      </c>
      <c r="AD10" s="37">
        <v>-58200.431095408007</v>
      </c>
      <c r="AE10" s="138">
        <v>-57973.872913507752</v>
      </c>
      <c r="AG10" s="39" t="s">
        <v>35</v>
      </c>
      <c r="AH10" s="143">
        <f>R51</f>
        <v>8838.706031644324</v>
      </c>
      <c r="AI10" s="145">
        <v>-5447.7839767732039</v>
      </c>
      <c r="AJ10" s="143">
        <v>1695.4610274355728</v>
      </c>
      <c r="AK10" s="145">
        <v>8838.706031644324</v>
      </c>
      <c r="AL10" s="143">
        <v>15981.951035853082</v>
      </c>
      <c r="AM10" s="146">
        <v>23125.196040061855</v>
      </c>
    </row>
    <row r="11" spans="1:50" ht="15.75">
      <c r="A11" s="14" t="s">
        <v>41</v>
      </c>
      <c r="B11" s="190">
        <v>34</v>
      </c>
      <c r="C11" s="12" t="s">
        <v>42</v>
      </c>
      <c r="D11" s="13"/>
      <c r="F11" s="14" t="s">
        <v>43</v>
      </c>
      <c r="G11" s="30">
        <f>B10</f>
        <v>0.02</v>
      </c>
      <c r="H11" s="12"/>
      <c r="I11" s="12"/>
      <c r="J11" s="12"/>
      <c r="K11" s="12"/>
      <c r="L11" s="12"/>
      <c r="M11" s="13"/>
      <c r="Q11" s="14" t="s">
        <v>44</v>
      </c>
      <c r="R11" s="12"/>
      <c r="S11" s="21">
        <f t="shared" si="7"/>
        <v>10608</v>
      </c>
      <c r="T11" s="21">
        <f t="shared" si="7"/>
        <v>11350.56</v>
      </c>
      <c r="U11" s="21">
        <f t="shared" si="7"/>
        <v>12145.099200000001</v>
      </c>
      <c r="V11" s="21">
        <f t="shared" si="7"/>
        <v>12995.256144000001</v>
      </c>
      <c r="W11" s="21">
        <f t="shared" si="7"/>
        <v>13904.924074080003</v>
      </c>
      <c r="X11" s="163">
        <f t="shared" si="7"/>
        <v>0</v>
      </c>
      <c r="Z11" s="182">
        <v>28</v>
      </c>
      <c r="AA11" s="118">
        <v>-58775.54032638557</v>
      </c>
      <c r="AB11" s="37">
        <v>-58531.554592031454</v>
      </c>
      <c r="AC11" s="118">
        <v>-58287.568857677332</v>
      </c>
      <c r="AD11" s="37">
        <v>-58043.583123323217</v>
      </c>
      <c r="AE11" s="138">
        <v>-57799.597388969094</v>
      </c>
    </row>
    <row r="12" spans="1:50" ht="15.75">
      <c r="A12" s="14" t="s">
        <v>45</v>
      </c>
      <c r="B12" s="30">
        <v>0.05</v>
      </c>
      <c r="C12" s="12" t="s">
        <v>46</v>
      </c>
      <c r="D12" s="13" t="s">
        <v>38</v>
      </c>
      <c r="F12" s="14" t="s">
        <v>47</v>
      </c>
      <c r="G12" s="193">
        <f>B11</f>
        <v>34</v>
      </c>
      <c r="H12" s="12"/>
      <c r="I12" s="12"/>
      <c r="J12" s="12"/>
      <c r="K12" s="12"/>
      <c r="L12" s="12"/>
      <c r="M12" s="13"/>
      <c r="Q12" s="14" t="s">
        <v>48</v>
      </c>
      <c r="R12" s="12"/>
      <c r="S12" s="189">
        <f>I57</f>
        <v>-2176</v>
      </c>
      <c r="T12" s="189">
        <f t="shared" ref="T12:X12" si="8">J57</f>
        <v>-152.32000000000016</v>
      </c>
      <c r="U12" s="189">
        <f t="shared" si="8"/>
        <v>-162.98239999999987</v>
      </c>
      <c r="V12" s="189">
        <f t="shared" si="8"/>
        <v>-174.39116800000011</v>
      </c>
      <c r="W12" s="189">
        <f t="shared" si="8"/>
        <v>-186.59854976000042</v>
      </c>
      <c r="X12" s="41">
        <f t="shared" si="8"/>
        <v>2852.2921177600006</v>
      </c>
      <c r="Z12" s="182">
        <v>30</v>
      </c>
      <c r="AA12" s="118">
        <v>-58670.975011662376</v>
      </c>
      <c r="AB12" s="37">
        <v>-58409.561724854393</v>
      </c>
      <c r="AC12" s="118">
        <v>-58148.14843804641</v>
      </c>
      <c r="AD12" s="37">
        <v>-57886.735151238427</v>
      </c>
      <c r="AE12" s="138">
        <v>-57625.321864430443</v>
      </c>
      <c r="AF12" s="42"/>
    </row>
    <row r="13" spans="1:50" ht="15.75">
      <c r="A13" s="11" t="s">
        <v>50</v>
      </c>
      <c r="B13" s="12"/>
      <c r="C13" s="12"/>
      <c r="D13" s="13"/>
      <c r="F13" s="14" t="s">
        <v>51</v>
      </c>
      <c r="G13" s="30">
        <f>B12</f>
        <v>0.05</v>
      </c>
      <c r="H13" s="12"/>
      <c r="I13" s="12"/>
      <c r="J13" s="12"/>
      <c r="K13" s="12"/>
      <c r="L13" s="12"/>
      <c r="M13" s="13"/>
      <c r="Q13" s="14" t="s">
        <v>52</v>
      </c>
      <c r="R13" s="12"/>
      <c r="S13" s="21">
        <f t="shared" ref="S13:X13" si="9">I50</f>
        <v>1360</v>
      </c>
      <c r="T13" s="21">
        <f t="shared" si="9"/>
        <v>95.200000000000045</v>
      </c>
      <c r="U13" s="21">
        <f t="shared" si="9"/>
        <v>101.86400000000026</v>
      </c>
      <c r="V13" s="21">
        <f t="shared" si="9"/>
        <v>108.99447999999984</v>
      </c>
      <c r="W13" s="21">
        <f t="shared" si="9"/>
        <v>116.62409360000015</v>
      </c>
      <c r="X13" s="163">
        <f t="shared" si="9"/>
        <v>-1782.6825736000003</v>
      </c>
      <c r="Z13" s="182">
        <v>32</v>
      </c>
      <c r="AA13" s="118">
        <v>-58566.409696939183</v>
      </c>
      <c r="AB13" s="37">
        <v>-58287.568857677332</v>
      </c>
      <c r="AC13" s="118">
        <v>-58008.728018415488</v>
      </c>
      <c r="AD13" s="37">
        <v>-57729.887179153637</v>
      </c>
      <c r="AE13" s="138">
        <v>-57451.046339891785</v>
      </c>
    </row>
    <row r="14" spans="1:50" ht="16.5" thickBot="1">
      <c r="A14" s="14" t="s">
        <v>53</v>
      </c>
      <c r="B14" s="30">
        <v>0.05</v>
      </c>
      <c r="C14" s="12" t="s">
        <v>26</v>
      </c>
      <c r="D14" s="13" t="s">
        <v>54</v>
      </c>
      <c r="F14" s="24" t="s">
        <v>55</v>
      </c>
      <c r="G14" s="43">
        <f>G10*10</f>
        <v>800</v>
      </c>
      <c r="H14" s="44"/>
      <c r="I14" s="25">
        <f>G14*G12</f>
        <v>27200</v>
      </c>
      <c r="J14" s="25">
        <f>I14*(1+$G$11+$G$13)</f>
        <v>29104</v>
      </c>
      <c r="K14" s="25">
        <f t="shared" ref="K14:L14" si="10">J14*(1+$G$11+$G$13)</f>
        <v>31141.280000000002</v>
      </c>
      <c r="L14" s="25">
        <f t="shared" si="10"/>
        <v>33321.169600000001</v>
      </c>
      <c r="M14" s="26">
        <f>L14*(1+$G$11+$G$13)</f>
        <v>35653.651472000005</v>
      </c>
      <c r="Q14" s="14" t="s">
        <v>56</v>
      </c>
      <c r="R14" s="12"/>
      <c r="S14" s="21">
        <f t="shared" ref="S14:X14" si="11">I92</f>
        <v>1518.4</v>
      </c>
      <c r="T14" s="21">
        <f t="shared" si="11"/>
        <v>1750.6880000000006</v>
      </c>
      <c r="U14" s="21">
        <f t="shared" si="11"/>
        <v>1999.2361600000004</v>
      </c>
      <c r="V14" s="21">
        <f t="shared" si="11"/>
        <v>2265.1826912000006</v>
      </c>
      <c r="W14" s="21">
        <f>M92</f>
        <v>2549.7454795840008</v>
      </c>
      <c r="X14" s="163">
        <f t="shared" si="11"/>
        <v>0</v>
      </c>
      <c r="Z14" s="183">
        <v>34</v>
      </c>
      <c r="AA14" s="184">
        <v>-58461.84438221599</v>
      </c>
      <c r="AB14" s="141">
        <v>-58165.575990500278</v>
      </c>
      <c r="AC14" s="184">
        <v>-57869.307598784559</v>
      </c>
      <c r="AD14" s="141">
        <v>-57573.039207068839</v>
      </c>
      <c r="AE14" s="185">
        <v>-57276.770815353128</v>
      </c>
    </row>
    <row r="15" spans="1:50" ht="16.5" thickBot="1">
      <c r="A15" s="14" t="s">
        <v>58</v>
      </c>
      <c r="B15" s="30">
        <v>0.01</v>
      </c>
      <c r="C15" s="12" t="s">
        <v>26</v>
      </c>
      <c r="D15" s="13" t="s">
        <v>54</v>
      </c>
      <c r="F15" s="194" t="s">
        <v>59</v>
      </c>
      <c r="G15" s="195"/>
      <c r="H15" s="196"/>
      <c r="I15" s="197">
        <f>I14*I3</f>
        <v>28560</v>
      </c>
      <c r="J15" s="197">
        <f>J14*J3</f>
        <v>32087.16</v>
      </c>
      <c r="K15" s="197">
        <f>K14*K3</f>
        <v>36049.924260000007</v>
      </c>
      <c r="L15" s="197">
        <f>L14*L3</f>
        <v>40502.089906109999</v>
      </c>
      <c r="M15" s="198">
        <f>M14*M3</f>
        <v>45504.098009514593</v>
      </c>
      <c r="Q15" s="11" t="s">
        <v>60</v>
      </c>
      <c r="R15" s="199">
        <f>SUM(R9:R14)</f>
        <v>60000</v>
      </c>
      <c r="S15" s="199">
        <f>SUM(S9:S14)</f>
        <v>14310.4</v>
      </c>
      <c r="T15" s="199">
        <f t="shared" ref="T15:W15" si="12">SUM(T9:T14)</f>
        <v>16044.128000000001</v>
      </c>
      <c r="U15" s="199">
        <f t="shared" si="12"/>
        <v>17083.216959999998</v>
      </c>
      <c r="V15" s="199">
        <f t="shared" si="12"/>
        <v>18195.042147200002</v>
      </c>
      <c r="W15" s="199">
        <f t="shared" si="12"/>
        <v>19384.695097504002</v>
      </c>
      <c r="X15" s="165">
        <f>SUM(X9:X14)</f>
        <v>1069.6095441600003</v>
      </c>
    </row>
    <row r="16" spans="1:50" ht="16.5" thickBot="1">
      <c r="A16" s="14" t="s">
        <v>64</v>
      </c>
      <c r="B16" s="21">
        <v>23000</v>
      </c>
      <c r="C16" s="12" t="s">
        <v>65</v>
      </c>
      <c r="D16" s="13" t="s">
        <v>66</v>
      </c>
      <c r="F16" s="46"/>
      <c r="G16" s="44"/>
      <c r="H16" s="12"/>
      <c r="I16" s="12"/>
      <c r="J16" s="12"/>
      <c r="K16" s="12"/>
      <c r="L16" s="12"/>
      <c r="M16" s="12"/>
      <c r="Q16" s="166" t="s">
        <v>67</v>
      </c>
      <c r="R16" s="230">
        <f>R7-R15</f>
        <v>-60000</v>
      </c>
      <c r="S16" s="21">
        <f>S7-S15</f>
        <v>10169.6</v>
      </c>
      <c r="T16" s="21">
        <f t="shared" ref="T16:X16" si="13">T7-T15</f>
        <v>12869.471999999998</v>
      </c>
      <c r="U16" s="21">
        <f t="shared" si="13"/>
        <v>13854.335040000005</v>
      </c>
      <c r="V16" s="21">
        <f t="shared" si="13"/>
        <v>14908.138492799997</v>
      </c>
      <c r="W16" s="21">
        <f t="shared" si="13"/>
        <v>16035.708187296004</v>
      </c>
      <c r="X16" s="41">
        <f t="shared" si="13"/>
        <v>26495.755603040001</v>
      </c>
      <c r="Z16" s="175" t="s">
        <v>184</v>
      </c>
      <c r="AA16" s="186"/>
      <c r="AB16" s="176"/>
      <c r="AC16" s="176"/>
      <c r="AD16" s="176"/>
      <c r="AE16" s="187"/>
      <c r="AG16" s="27" t="s">
        <v>57</v>
      </c>
      <c r="AH16" s="28"/>
      <c r="AI16" s="29"/>
      <c r="AJ16" s="29"/>
    </row>
    <row r="17" spans="1:36" ht="15.75">
      <c r="A17" s="11" t="s">
        <v>68</v>
      </c>
      <c r="B17" s="12"/>
      <c r="C17" s="12"/>
      <c r="D17" s="13"/>
      <c r="F17" s="175" t="s">
        <v>69</v>
      </c>
      <c r="G17" s="176"/>
      <c r="H17" s="176"/>
      <c r="I17" s="176"/>
      <c r="J17" s="176"/>
      <c r="K17" s="176"/>
      <c r="L17" s="176"/>
      <c r="M17" s="179"/>
      <c r="Q17" s="14" t="s">
        <v>70</v>
      </c>
      <c r="R17" s="118">
        <f t="shared" ref="R17:X17" si="14">PV($B$40,R2,,-R16)</f>
        <v>-60000</v>
      </c>
      <c r="S17" s="21">
        <f t="shared" si="14"/>
        <v>9350.3327495621706</v>
      </c>
      <c r="T17" s="21">
        <f t="shared" si="14"/>
        <v>10879.454485785525</v>
      </c>
      <c r="U17" s="21">
        <f t="shared" si="14"/>
        <v>10768.501464964082</v>
      </c>
      <c r="V17" s="21">
        <f t="shared" si="14"/>
        <v>10654.086027694748</v>
      </c>
      <c r="W17" s="21">
        <f t="shared" si="14"/>
        <v>10536.687996941082</v>
      </c>
      <c r="X17" s="41">
        <f t="shared" si="14"/>
        <v>16007.20401516269</v>
      </c>
      <c r="Z17" s="181">
        <f>R51</f>
        <v>8838.706031644324</v>
      </c>
      <c r="AA17">
        <v>60</v>
      </c>
      <c r="AB17">
        <v>70</v>
      </c>
      <c r="AC17">
        <v>80</v>
      </c>
      <c r="AD17">
        <v>90</v>
      </c>
      <c r="AE17" s="40">
        <v>100</v>
      </c>
      <c r="AG17" s="35"/>
      <c r="AH17" s="45" t="s">
        <v>61</v>
      </c>
      <c r="AI17" s="45" t="s">
        <v>62</v>
      </c>
      <c r="AJ17" s="45" t="s">
        <v>63</v>
      </c>
    </row>
    <row r="18" spans="1:36" ht="15.75">
      <c r="A18" s="14" t="s">
        <v>71</v>
      </c>
      <c r="B18" s="12">
        <v>0</v>
      </c>
      <c r="C18" s="12"/>
      <c r="D18" s="13"/>
      <c r="F18" s="4" t="s">
        <v>7</v>
      </c>
      <c r="G18" s="50"/>
      <c r="H18" s="5">
        <v>0</v>
      </c>
      <c r="I18" s="9">
        <v>1</v>
      </c>
      <c r="J18" s="9">
        <v>2</v>
      </c>
      <c r="K18" s="9">
        <v>3</v>
      </c>
      <c r="L18" s="9">
        <v>4</v>
      </c>
      <c r="M18" s="10">
        <v>5</v>
      </c>
      <c r="Q18" s="135" t="s">
        <v>49</v>
      </c>
      <c r="R18" s="133">
        <f>NPV(B6,S16:X16)+R16</f>
        <v>-57869.307598784559</v>
      </c>
      <c r="S18" s="200"/>
      <c r="T18" s="12"/>
      <c r="U18" s="12"/>
      <c r="V18" s="12"/>
      <c r="W18" s="12"/>
      <c r="X18" s="13"/>
      <c r="Z18" s="182">
        <v>26</v>
      </c>
      <c r="AA18" s="118">
        <v>-15532.365159185585</v>
      </c>
      <c r="AB18" s="37">
        <v>-10069.883685378889</v>
      </c>
      <c r="AC18" s="118">
        <v>-4607.4022115721709</v>
      </c>
      <c r="AD18" s="37">
        <v>855.07926223453615</v>
      </c>
      <c r="AE18" s="138">
        <v>6317.5607360412396</v>
      </c>
      <c r="AG18" s="48" t="s">
        <v>39</v>
      </c>
      <c r="AH18" s="45">
        <v>80</v>
      </c>
      <c r="AI18" s="45">
        <v>60</v>
      </c>
      <c r="AJ18" s="45">
        <v>40</v>
      </c>
    </row>
    <row r="19" spans="1:36" ht="15.75">
      <c r="A19" s="14" t="s">
        <v>72</v>
      </c>
      <c r="B19" s="12">
        <v>5</v>
      </c>
      <c r="C19" s="12" t="s">
        <v>7</v>
      </c>
      <c r="D19" s="13"/>
      <c r="F19" s="14" t="s">
        <v>40</v>
      </c>
      <c r="G19" s="21">
        <f>B22</f>
        <v>3000</v>
      </c>
      <c r="H19" s="12"/>
      <c r="I19" s="51">
        <f>G19</f>
        <v>3000</v>
      </c>
      <c r="J19" s="51">
        <f>I19</f>
        <v>3000</v>
      </c>
      <c r="K19" s="51">
        <f t="shared" ref="K19:M19" si="15">J19</f>
        <v>3000</v>
      </c>
      <c r="L19" s="51">
        <f t="shared" si="15"/>
        <v>3000</v>
      </c>
      <c r="M19" s="52">
        <f t="shared" si="15"/>
        <v>3000</v>
      </c>
      <c r="Q19" s="135" t="s">
        <v>73</v>
      </c>
      <c r="R19" s="89">
        <f>IRR(R16:X16)</f>
        <v>0.12610261553249535</v>
      </c>
      <c r="S19" s="12"/>
      <c r="T19" s="12"/>
      <c r="U19" s="12"/>
      <c r="V19" s="12"/>
      <c r="W19" s="12"/>
      <c r="X19" s="13"/>
      <c r="Z19" s="182">
        <v>28</v>
      </c>
      <c r="AA19" s="118">
        <v>-13011.21986358249</v>
      </c>
      <c r="AB19" s="37">
        <v>-7128.5475071752771</v>
      </c>
      <c r="AC19" s="118">
        <v>-1245.8751507680536</v>
      </c>
      <c r="AD19" s="37">
        <v>4636.7972056391736</v>
      </c>
      <c r="AE19" s="138">
        <v>10519.46956204639</v>
      </c>
      <c r="AG19" s="49" t="s">
        <v>41</v>
      </c>
      <c r="AH19" s="45">
        <v>34</v>
      </c>
      <c r="AI19" s="45">
        <v>30</v>
      </c>
      <c r="AJ19" s="45">
        <v>26</v>
      </c>
    </row>
    <row r="20" spans="1:36" ht="15.75">
      <c r="A20" s="14" t="s">
        <v>74</v>
      </c>
      <c r="B20" s="12">
        <v>6</v>
      </c>
      <c r="C20" s="12"/>
      <c r="D20" s="13" t="s">
        <v>75</v>
      </c>
      <c r="F20" s="14" t="s">
        <v>76</v>
      </c>
      <c r="G20" s="53">
        <f>B23</f>
        <v>0.39</v>
      </c>
      <c r="H20" s="12"/>
      <c r="I20" s="21">
        <f>$G$20*I14</f>
        <v>10608</v>
      </c>
      <c r="J20" s="21">
        <f t="shared" ref="J20:M20" si="16">$G$20*J14</f>
        <v>11350.56</v>
      </c>
      <c r="K20" s="21">
        <f t="shared" si="16"/>
        <v>12145.099200000001</v>
      </c>
      <c r="L20" s="21">
        <f t="shared" si="16"/>
        <v>12995.256144000001</v>
      </c>
      <c r="M20" s="41">
        <f t="shared" si="16"/>
        <v>13904.924074080003</v>
      </c>
      <c r="Q20" s="14" t="s">
        <v>77</v>
      </c>
      <c r="R20" s="47">
        <f>NPV(B40,S7:X7)</f>
        <v>134581.72015421948</v>
      </c>
      <c r="S20" s="12"/>
      <c r="T20" s="37"/>
      <c r="U20" s="12"/>
      <c r="V20" s="12"/>
      <c r="W20" s="12"/>
      <c r="X20" s="13"/>
      <c r="Z20" s="182">
        <v>30</v>
      </c>
      <c r="AA20" s="118">
        <v>-10490.074567979398</v>
      </c>
      <c r="AB20" s="37">
        <v>-4187.2113289716617</v>
      </c>
      <c r="AC20" s="118">
        <v>2115.651910036082</v>
      </c>
      <c r="AD20" s="37">
        <v>8418.5151490438075</v>
      </c>
      <c r="AE20" s="138">
        <v>14721.378388051555</v>
      </c>
      <c r="AG20" s="35" t="s">
        <v>197</v>
      </c>
      <c r="AH20" s="229">
        <f>'Scenario Summary'!E9</f>
        <v>-57869.307598784602</v>
      </c>
      <c r="AI20" s="229">
        <f>'Scenario Summary'!F9</f>
        <v>-58670.975011662398</v>
      </c>
      <c r="AJ20" s="229">
        <f>'Scenario Summary'!G9</f>
        <v>-59333.222004909301</v>
      </c>
    </row>
    <row r="21" spans="1:36" ht="15.75">
      <c r="A21" s="11" t="s">
        <v>78</v>
      </c>
      <c r="B21" s="12"/>
      <c r="C21" s="12"/>
      <c r="D21" s="13" t="s">
        <v>79</v>
      </c>
      <c r="F21" s="14" t="s">
        <v>80</v>
      </c>
      <c r="G21" s="53">
        <f>B24</f>
        <v>0.01</v>
      </c>
      <c r="H21" s="12"/>
      <c r="I21" s="21">
        <f>$G$21*I14</f>
        <v>272</v>
      </c>
      <c r="J21" s="21">
        <f t="shared" ref="J21:M21" si="17">$G$21*J14</f>
        <v>291.04000000000002</v>
      </c>
      <c r="K21" s="21">
        <f t="shared" si="17"/>
        <v>311.4128</v>
      </c>
      <c r="L21" s="21">
        <f t="shared" si="17"/>
        <v>333.21169600000002</v>
      </c>
      <c r="M21" s="41">
        <f t="shared" si="17"/>
        <v>356.53651472000007</v>
      </c>
      <c r="Q21" s="14" t="s">
        <v>81</v>
      </c>
      <c r="R21" s="47">
        <f>NPV(B40,S15:X15)+R15</f>
        <v>126385.45341410917</v>
      </c>
      <c r="S21" s="12"/>
      <c r="T21" s="37"/>
      <c r="U21" s="12"/>
      <c r="V21" s="12"/>
      <c r="W21" s="12"/>
      <c r="X21" s="139"/>
      <c r="Z21" s="182">
        <v>32</v>
      </c>
      <c r="AA21" s="118">
        <v>-7968.9292723763065</v>
      </c>
      <c r="AB21" s="37">
        <v>-1245.8751507680536</v>
      </c>
      <c r="AC21" s="118">
        <v>5477.1789708402066</v>
      </c>
      <c r="AD21" s="37">
        <v>12200.233092448456</v>
      </c>
      <c r="AE21" s="138">
        <v>18923.287214056698</v>
      </c>
      <c r="AG21" s="35" t="s">
        <v>198</v>
      </c>
      <c r="AH21" s="229">
        <f>'Scenario Summary'!E10</f>
        <v>8838.7060316443203</v>
      </c>
      <c r="AI21" s="229">
        <f>'Scenario Summary'!F10</f>
        <v>-10490.0745679794</v>
      </c>
      <c r="AJ21" s="229">
        <f>'Scenario Summary'!G10</f>
        <v>-26457.328106798999</v>
      </c>
    </row>
    <row r="22" spans="1:36" ht="16.5" thickBot="1">
      <c r="A22" s="14" t="s">
        <v>40</v>
      </c>
      <c r="B22" s="21">
        <v>3000</v>
      </c>
      <c r="C22" s="12" t="s">
        <v>12</v>
      </c>
      <c r="D22" s="13" t="s">
        <v>82</v>
      </c>
      <c r="F22" s="14" t="s">
        <v>83</v>
      </c>
      <c r="G22" s="30">
        <f t="shared" ref="G22:G25" si="18">B25</f>
        <v>0.02</v>
      </c>
      <c r="I22" s="21">
        <f>$G$22*I14</f>
        <v>544</v>
      </c>
      <c r="J22" s="21">
        <f t="shared" ref="J22:M22" si="19">$G$22*J14</f>
        <v>582.08000000000004</v>
      </c>
      <c r="K22" s="21">
        <f t="shared" si="19"/>
        <v>622.82560000000001</v>
      </c>
      <c r="L22" s="21">
        <f t="shared" si="19"/>
        <v>666.42339200000004</v>
      </c>
      <c r="M22" s="41">
        <f t="shared" si="19"/>
        <v>713.07302944000014</v>
      </c>
      <c r="Q22" s="135" t="s">
        <v>84</v>
      </c>
      <c r="R22" s="89">
        <f>R20/R21</f>
        <v>1.0648513457735898</v>
      </c>
      <c r="S22" s="12"/>
      <c r="T22" s="12"/>
      <c r="U22" s="12"/>
      <c r="V22" s="12"/>
      <c r="W22" s="12"/>
      <c r="X22" s="139"/>
      <c r="Z22" s="183">
        <v>34</v>
      </c>
      <c r="AA22" s="184">
        <v>-5447.7839767732039</v>
      </c>
      <c r="AB22" s="141">
        <v>1695.4610274355728</v>
      </c>
      <c r="AC22" s="184">
        <v>8838.706031644324</v>
      </c>
      <c r="AD22" s="141">
        <v>15981.951035853082</v>
      </c>
      <c r="AE22" s="185">
        <v>23125.196040061855</v>
      </c>
    </row>
    <row r="23" spans="1:36" ht="15.75">
      <c r="A23" s="14" t="s">
        <v>85</v>
      </c>
      <c r="B23" s="30">
        <v>0.39</v>
      </c>
      <c r="C23" s="12" t="s">
        <v>86</v>
      </c>
      <c r="D23" s="13"/>
      <c r="F23" s="14" t="s">
        <v>87</v>
      </c>
      <c r="G23" s="30">
        <f t="shared" si="18"/>
        <v>0.14000000000000001</v>
      </c>
      <c r="H23" s="12"/>
      <c r="I23" s="21">
        <f>$G$23*I14</f>
        <v>3808.0000000000005</v>
      </c>
      <c r="J23" s="21">
        <f t="shared" ref="J23:M23" si="20">$G$23*J14</f>
        <v>4074.5600000000004</v>
      </c>
      <c r="K23" s="21">
        <f t="shared" si="20"/>
        <v>4359.7792000000009</v>
      </c>
      <c r="L23" s="21">
        <f t="shared" si="20"/>
        <v>4664.9637440000006</v>
      </c>
      <c r="M23" s="41">
        <f t="shared" si="20"/>
        <v>4991.5112060800011</v>
      </c>
      <c r="Q23" s="14" t="s">
        <v>88</v>
      </c>
      <c r="R23" s="47">
        <f>R17</f>
        <v>-60000</v>
      </c>
      <c r="S23" s="118">
        <f>R23+S16</f>
        <v>-49830.400000000001</v>
      </c>
      <c r="T23" s="118">
        <f>S23+T16</f>
        <v>-36960.928</v>
      </c>
      <c r="U23" s="118">
        <f t="shared" ref="U23:X23" si="21">T23+U16</f>
        <v>-23106.592959999994</v>
      </c>
      <c r="V23" s="118">
        <f t="shared" si="21"/>
        <v>-8198.4544671999975</v>
      </c>
      <c r="W23" s="118">
        <f t="shared" si="21"/>
        <v>7837.2537200960069</v>
      </c>
      <c r="X23" s="138">
        <f t="shared" si="21"/>
        <v>34333.009323136008</v>
      </c>
    </row>
    <row r="24" spans="1:36" ht="15.75">
      <c r="A24" s="14" t="s">
        <v>80</v>
      </c>
      <c r="B24" s="30">
        <v>0.01</v>
      </c>
      <c r="C24" s="12" t="s">
        <v>86</v>
      </c>
      <c r="D24" s="13"/>
      <c r="F24" s="14" t="s">
        <v>89</v>
      </c>
      <c r="G24" s="30">
        <f t="shared" si="18"/>
        <v>0.02</v>
      </c>
      <c r="H24" s="12"/>
      <c r="I24" s="21">
        <f>$G$24*I14</f>
        <v>544</v>
      </c>
      <c r="J24" s="21">
        <f t="shared" ref="J24:M24" si="22">$G$24*J14</f>
        <v>582.08000000000004</v>
      </c>
      <c r="K24" s="21">
        <f t="shared" si="22"/>
        <v>622.82560000000001</v>
      </c>
      <c r="L24" s="21">
        <f t="shared" si="22"/>
        <v>666.42339200000004</v>
      </c>
      <c r="M24" s="41">
        <f t="shared" si="22"/>
        <v>713.07302944000014</v>
      </c>
      <c r="Q24" s="14"/>
      <c r="R24" s="12"/>
      <c r="V24" s="189">
        <f>MOD(W24,1)*30</f>
        <v>13.514592242432713</v>
      </c>
      <c r="W24" s="37">
        <f>-W23/X24</f>
        <v>-3.5495135919189096</v>
      </c>
      <c r="X24" s="139">
        <f>(-W23+X23)/12</f>
        <v>2207.9796335866668</v>
      </c>
    </row>
    <row r="25" spans="1:36" ht="15.75">
      <c r="A25" s="14" t="s">
        <v>90</v>
      </c>
      <c r="B25" s="30">
        <v>0.02</v>
      </c>
      <c r="C25" s="12" t="s">
        <v>86</v>
      </c>
      <c r="D25" s="13"/>
      <c r="F25" s="14" t="s">
        <v>91</v>
      </c>
      <c r="G25" s="30">
        <f t="shared" si="18"/>
        <v>0.2</v>
      </c>
      <c r="H25" s="12"/>
      <c r="I25" s="21">
        <f>$G$25*I14</f>
        <v>5440</v>
      </c>
      <c r="J25" s="21">
        <f t="shared" ref="J25:M25" si="23">$G$25*J14</f>
        <v>5820.8</v>
      </c>
      <c r="K25" s="21">
        <f t="shared" si="23"/>
        <v>6228.2560000000012</v>
      </c>
      <c r="L25" s="21">
        <f t="shared" si="23"/>
        <v>6664.2339200000006</v>
      </c>
      <c r="M25" s="41">
        <f t="shared" si="23"/>
        <v>7130.7302944000012</v>
      </c>
      <c r="Q25" s="14" t="s">
        <v>92</v>
      </c>
      <c r="R25" s="46" t="str">
        <f>IF(ISNA(AW1), "Lỗ liên tục qua 6 năm", INT(AW1)&amp;"Y"&amp;INT((AW1-INT(AW1))*12)&amp;"M"&amp;ROUND((((AW1-INT(AW1))*12)-INT((AW1-INT(AW1))*12))*30, 0)&amp;"D")</f>
        <v>4Y6M4D</v>
      </c>
      <c r="T25" s="37"/>
      <c r="U25" s="188"/>
      <c r="V25" s="12"/>
      <c r="W25" s="12"/>
      <c r="X25" s="13"/>
    </row>
    <row r="26" spans="1:36" ht="15.75">
      <c r="A26" s="14" t="s">
        <v>87</v>
      </c>
      <c r="B26" s="30">
        <v>0.14000000000000001</v>
      </c>
      <c r="C26" s="12" t="s">
        <v>93</v>
      </c>
      <c r="D26" s="13"/>
      <c r="F26" s="201" t="s">
        <v>94</v>
      </c>
      <c r="G26" s="202"/>
      <c r="H26" s="202"/>
      <c r="I26" s="203">
        <f>I19*I3</f>
        <v>3150</v>
      </c>
      <c r="J26" s="203">
        <f>J19*J3</f>
        <v>3307.5</v>
      </c>
      <c r="K26" s="203">
        <f>K19*K3</f>
        <v>3472.8750000000005</v>
      </c>
      <c r="L26" s="203">
        <f>L19*L3</f>
        <v>3646.5187500000002</v>
      </c>
      <c r="M26" s="204">
        <f>M19*M3</f>
        <v>3828.8446875000004</v>
      </c>
      <c r="Q26" s="14" t="s">
        <v>95</v>
      </c>
      <c r="R26" s="47">
        <f>R17</f>
        <v>-60000</v>
      </c>
      <c r="S26" s="118">
        <f>R26+S17</f>
        <v>-50649.667250437829</v>
      </c>
      <c r="T26" s="118">
        <f>S26+T17</f>
        <v>-39770.2127646523</v>
      </c>
      <c r="U26" s="118">
        <f t="shared" ref="U26:V26" si="24">T26+U17</f>
        <v>-29001.711299688221</v>
      </c>
      <c r="V26" s="118">
        <f t="shared" si="24"/>
        <v>-18347.625271993471</v>
      </c>
      <c r="W26" s="118">
        <f>V26+W17</f>
        <v>-7810.9372750523889</v>
      </c>
      <c r="X26" s="138">
        <f>W26+X17</f>
        <v>8196.2667401103008</v>
      </c>
    </row>
    <row r="27" spans="1:36" ht="16.5" thickBot="1">
      <c r="A27" s="14" t="s">
        <v>89</v>
      </c>
      <c r="B27" s="30">
        <v>0.02</v>
      </c>
      <c r="C27" s="12" t="s">
        <v>93</v>
      </c>
      <c r="D27" s="13"/>
      <c r="F27" s="205" t="s">
        <v>96</v>
      </c>
      <c r="G27" s="195"/>
      <c r="H27" s="195"/>
      <c r="I27" s="197">
        <f>I20*I3</f>
        <v>11138.4</v>
      </c>
      <c r="J27" s="197">
        <f>J20*J3</f>
        <v>12513.992399999999</v>
      </c>
      <c r="K27" s="197">
        <f>K20*K3</f>
        <v>14059.470461400002</v>
      </c>
      <c r="L27" s="197">
        <f>L20*L3</f>
        <v>15795.815063382901</v>
      </c>
      <c r="M27" s="198">
        <f>M20*M3</f>
        <v>17746.598223710695</v>
      </c>
      <c r="Q27" s="14"/>
      <c r="R27" s="12"/>
      <c r="S27" s="37"/>
      <c r="T27" s="37"/>
      <c r="U27" s="37"/>
      <c r="V27" s="189">
        <f>MOD(W27,1)*30</f>
        <v>25.666994457950054</v>
      </c>
      <c r="W27" s="37">
        <f>-W26/X27</f>
        <v>5.8555664819316684</v>
      </c>
      <c r="X27" s="139">
        <f>(-W26+X26)/12</f>
        <v>1333.9336679302241</v>
      </c>
    </row>
    <row r="28" spans="1:36" ht="16.5" thickBot="1">
      <c r="A28" s="14" t="s">
        <v>91</v>
      </c>
      <c r="B28" s="30">
        <v>0.2</v>
      </c>
      <c r="C28" s="12" t="s">
        <v>93</v>
      </c>
      <c r="D28" s="13"/>
      <c r="G28" s="32"/>
      <c r="H28" s="12"/>
      <c r="I28" s="12"/>
      <c r="J28" s="12"/>
      <c r="K28" s="12"/>
      <c r="L28" s="12"/>
      <c r="M28" s="12"/>
      <c r="Q28" s="24" t="s">
        <v>97</v>
      </c>
      <c r="R28" s="180" t="str">
        <f>IF(ISNA(AW2), "Lỗ liên tục qua 6 năm", INT(AW2)&amp;"Y"&amp;INT((AW2-INT(AW2))*12)&amp;"M"&amp;ROUND((((AW2-INT(AW2))*12)-INT((AW2-INT(AW2))*12))*30, 0)&amp;"D")</f>
        <v>5Y5M26D</v>
      </c>
      <c r="S28" s="167"/>
      <c r="T28" s="168"/>
      <c r="U28" s="141"/>
      <c r="V28" s="44"/>
      <c r="W28" s="44"/>
      <c r="X28" s="169"/>
    </row>
    <row r="29" spans="1:36" ht="15.75">
      <c r="A29" s="11" t="s">
        <v>98</v>
      </c>
      <c r="B29" s="12"/>
      <c r="C29" s="12"/>
      <c r="D29" s="13" t="s">
        <v>99</v>
      </c>
      <c r="F29" s="175" t="s">
        <v>100</v>
      </c>
      <c r="G29" s="176"/>
      <c r="H29" s="176"/>
      <c r="I29" s="176"/>
      <c r="J29" s="176"/>
      <c r="K29" s="176"/>
      <c r="L29" s="176"/>
      <c r="M29" s="176"/>
      <c r="Q29" s="55" t="s">
        <v>101</v>
      </c>
    </row>
    <row r="30" spans="1:36" ht="15.75">
      <c r="A30" s="14" t="s">
        <v>102</v>
      </c>
      <c r="B30" s="30">
        <v>0.05</v>
      </c>
      <c r="C30" s="12" t="s">
        <v>26</v>
      </c>
      <c r="D30" s="13" t="s">
        <v>103</v>
      </c>
      <c r="F30" s="121" t="s">
        <v>7</v>
      </c>
      <c r="G30" s="31"/>
      <c r="H30" s="9">
        <v>0</v>
      </c>
      <c r="I30" s="9">
        <v>1</v>
      </c>
      <c r="J30" s="9">
        <v>2</v>
      </c>
      <c r="K30" s="9">
        <v>3</v>
      </c>
      <c r="L30" s="9">
        <v>4</v>
      </c>
      <c r="M30" s="122">
        <v>5</v>
      </c>
      <c r="R30" s="57"/>
      <c r="X30" s="58"/>
    </row>
    <row r="31" spans="1:36" ht="16.5" thickBot="1">
      <c r="A31" s="14" t="s">
        <v>104</v>
      </c>
      <c r="B31" s="30">
        <v>0.1</v>
      </c>
      <c r="C31" s="12" t="s">
        <v>26</v>
      </c>
      <c r="D31" s="13" t="s">
        <v>105</v>
      </c>
      <c r="F31" s="123" t="s">
        <v>106</v>
      </c>
      <c r="G31" s="119"/>
      <c r="H31" s="119"/>
      <c r="I31" s="119">
        <f>H36</f>
        <v>30000</v>
      </c>
      <c r="J31" s="119">
        <f>I36</f>
        <v>24886.306362994903</v>
      </c>
      <c r="K31" s="119">
        <f>J36</f>
        <v>19363.517235029398</v>
      </c>
      <c r="L31" s="119">
        <f>K36</f>
        <v>13398.904976826652</v>
      </c>
      <c r="M31" s="124">
        <f>L36</f>
        <v>6957.1237379676859</v>
      </c>
      <c r="R31" s="58"/>
      <c r="X31" s="12"/>
    </row>
    <row r="32" spans="1:36" ht="18.75">
      <c r="A32" s="14" t="s">
        <v>107</v>
      </c>
      <c r="B32" s="30">
        <v>0</v>
      </c>
      <c r="C32" s="12" t="s">
        <v>26</v>
      </c>
      <c r="D32" s="13"/>
      <c r="F32" s="123" t="s">
        <v>108</v>
      </c>
      <c r="G32" s="118"/>
      <c r="H32" s="118"/>
      <c r="I32" s="118">
        <f>I31*B37</f>
        <v>2400</v>
      </c>
      <c r="J32" s="118">
        <f>J31*B37</f>
        <v>1990.9045090395923</v>
      </c>
      <c r="K32" s="118">
        <f>K31*B37</f>
        <v>1549.0813788023518</v>
      </c>
      <c r="L32" s="118">
        <f>L31*B37</f>
        <v>1071.9123981461321</v>
      </c>
      <c r="M32" s="125">
        <f>M31*B37</f>
        <v>556.56989903741487</v>
      </c>
      <c r="Q32" s="1" t="s">
        <v>109</v>
      </c>
      <c r="R32" s="2"/>
      <c r="S32" s="2"/>
      <c r="T32" s="2"/>
      <c r="U32" s="2"/>
      <c r="V32" s="2"/>
      <c r="W32" s="2"/>
      <c r="X32" s="3"/>
    </row>
    <row r="33" spans="1:24" ht="15.75">
      <c r="A33" s="14" t="s">
        <v>110</v>
      </c>
      <c r="B33" s="30">
        <v>0.5</v>
      </c>
      <c r="C33" s="12" t="s">
        <v>26</v>
      </c>
      <c r="D33" s="13" t="s">
        <v>111</v>
      </c>
      <c r="F33" s="123" t="s">
        <v>112</v>
      </c>
      <c r="G33" s="118"/>
      <c r="H33" s="118"/>
      <c r="I33" s="118">
        <f>PMT($B$37,5,-$H$36)</f>
        <v>7513.693637005098</v>
      </c>
      <c r="J33" s="118">
        <f t="shared" ref="J33:M33" si="25">PMT($B$37,5,-$H$36)</f>
        <v>7513.693637005098</v>
      </c>
      <c r="K33" s="118">
        <f t="shared" si="25"/>
        <v>7513.693637005098</v>
      </c>
      <c r="L33" s="118">
        <f t="shared" si="25"/>
        <v>7513.693637005098</v>
      </c>
      <c r="M33" s="125">
        <f t="shared" si="25"/>
        <v>7513.693637005098</v>
      </c>
      <c r="Q33" s="59" t="s">
        <v>7</v>
      </c>
      <c r="R33" s="32">
        <v>0</v>
      </c>
      <c r="S33" s="32">
        <v>1</v>
      </c>
      <c r="T33" s="32">
        <v>2</v>
      </c>
      <c r="U33" s="32">
        <v>3</v>
      </c>
      <c r="V33" s="32">
        <v>4</v>
      </c>
      <c r="W33" s="32">
        <v>5</v>
      </c>
      <c r="X33" s="60">
        <v>6</v>
      </c>
    </row>
    <row r="34" spans="1:24" ht="15.75">
      <c r="A34" s="11" t="s">
        <v>113</v>
      </c>
      <c r="B34" s="12"/>
      <c r="C34" s="12"/>
      <c r="D34" s="13"/>
      <c r="F34" s="126" t="s">
        <v>114</v>
      </c>
      <c r="G34" s="118"/>
      <c r="H34" s="118"/>
      <c r="I34" s="118">
        <f>I33-I32</f>
        <v>5113.693637005098</v>
      </c>
      <c r="J34" s="118">
        <f>J33-J32</f>
        <v>5522.7891279655059</v>
      </c>
      <c r="K34" s="118">
        <f>K33-K32</f>
        <v>5964.6122582027465</v>
      </c>
      <c r="L34" s="118">
        <f>L33-L32</f>
        <v>6441.7812388589664</v>
      </c>
      <c r="M34" s="125">
        <f>M33-M32</f>
        <v>6957.1237379676832</v>
      </c>
      <c r="Q34" s="17" t="s">
        <v>10</v>
      </c>
      <c r="R34" s="18"/>
      <c r="S34" s="19"/>
      <c r="T34" s="18"/>
      <c r="U34" s="18"/>
      <c r="V34" s="18"/>
      <c r="W34" s="18"/>
      <c r="X34" s="20"/>
    </row>
    <row r="35" spans="1:24" ht="15.75">
      <c r="A35" s="14" t="s">
        <v>115</v>
      </c>
      <c r="B35" s="30">
        <v>0.5</v>
      </c>
      <c r="C35" s="12" t="s">
        <v>116</v>
      </c>
      <c r="D35" s="13" t="s">
        <v>117</v>
      </c>
      <c r="F35" s="123" t="s">
        <v>118</v>
      </c>
      <c r="G35" s="118"/>
      <c r="H35" s="118"/>
      <c r="I35" s="118">
        <f>I32</f>
        <v>2400</v>
      </c>
      <c r="J35" s="118">
        <f>J32</f>
        <v>1990.9045090395923</v>
      </c>
      <c r="K35" s="118">
        <f>K32</f>
        <v>1549.0813788023518</v>
      </c>
      <c r="L35" s="118">
        <f>L32</f>
        <v>1071.9123981461321</v>
      </c>
      <c r="M35" s="125">
        <f>M32</f>
        <v>556.56989903741487</v>
      </c>
      <c r="Q35" s="14" t="s">
        <v>15</v>
      </c>
      <c r="R35" s="47"/>
      <c r="S35" s="47">
        <f>I14</f>
        <v>27200</v>
      </c>
      <c r="T35" s="47">
        <f t="shared" ref="T35:X35" si="26">J14</f>
        <v>29104</v>
      </c>
      <c r="U35" s="47">
        <f t="shared" si="26"/>
        <v>31141.280000000002</v>
      </c>
      <c r="V35" s="47">
        <f t="shared" si="26"/>
        <v>33321.169600000001</v>
      </c>
      <c r="W35" s="47">
        <f t="shared" si="26"/>
        <v>35653.651472000005</v>
      </c>
      <c r="X35" s="61">
        <f t="shared" si="26"/>
        <v>0</v>
      </c>
    </row>
    <row r="36" spans="1:24" ht="16.5" thickBot="1">
      <c r="A36" s="14" t="s">
        <v>119</v>
      </c>
      <c r="B36" s="30">
        <v>0.5</v>
      </c>
      <c r="C36" s="12" t="s">
        <v>116</v>
      </c>
      <c r="D36" s="13"/>
      <c r="F36" s="127" t="s">
        <v>120</v>
      </c>
      <c r="G36" s="128"/>
      <c r="H36" s="128">
        <f>B35*B4</f>
        <v>30000</v>
      </c>
      <c r="I36" s="128">
        <f>I31-I34</f>
        <v>24886.306362994903</v>
      </c>
      <c r="J36" s="128">
        <f>J31-J34</f>
        <v>19363.517235029398</v>
      </c>
      <c r="K36" s="128">
        <f>K31-K34</f>
        <v>13398.904976826652</v>
      </c>
      <c r="L36" s="128">
        <f>L31-L34</f>
        <v>6957.1237379676859</v>
      </c>
      <c r="M36" s="129">
        <f>M31-M34</f>
        <v>0</v>
      </c>
      <c r="Q36" s="14" t="s">
        <v>115</v>
      </c>
      <c r="R36" s="47">
        <f>H66</f>
        <v>30000</v>
      </c>
      <c r="S36" s="63"/>
      <c r="T36" s="47"/>
      <c r="U36" s="47"/>
      <c r="V36" s="47"/>
      <c r="W36" s="47"/>
      <c r="X36" s="61"/>
    </row>
    <row r="37" spans="1:24" ht="16.5" thickBot="1">
      <c r="A37" s="14" t="s">
        <v>121</v>
      </c>
      <c r="B37" s="30">
        <v>0.08</v>
      </c>
      <c r="C37" s="12" t="s">
        <v>26</v>
      </c>
      <c r="D37" s="13"/>
      <c r="G37" s="32"/>
      <c r="H37" s="12"/>
      <c r="I37" s="12"/>
      <c r="J37" s="12"/>
      <c r="K37" s="12"/>
      <c r="L37" s="12"/>
      <c r="M37" s="12"/>
      <c r="Q37" s="14" t="s">
        <v>18</v>
      </c>
      <c r="R37" s="47"/>
      <c r="S37" s="63">
        <f>I53</f>
        <v>-2720</v>
      </c>
      <c r="T37" s="63">
        <f t="shared" ref="T37:X37" si="27">J53</f>
        <v>-190.40000000000009</v>
      </c>
      <c r="U37" s="63">
        <f t="shared" si="27"/>
        <v>-203.72800000000052</v>
      </c>
      <c r="V37" s="63">
        <f t="shared" si="27"/>
        <v>-217.98895999999968</v>
      </c>
      <c r="W37" s="63">
        <f t="shared" si="27"/>
        <v>-233.2481872000003</v>
      </c>
      <c r="X37" s="61">
        <f t="shared" si="27"/>
        <v>3565.3651472000006</v>
      </c>
    </row>
    <row r="38" spans="1:24" ht="15.75">
      <c r="A38" s="14" t="s">
        <v>122</v>
      </c>
      <c r="B38" s="30">
        <v>0.15</v>
      </c>
      <c r="C38" s="12" t="s">
        <v>26</v>
      </c>
      <c r="D38" s="13" t="s">
        <v>123</v>
      </c>
      <c r="F38" s="206" t="s">
        <v>124</v>
      </c>
      <c r="G38" s="207"/>
      <c r="H38" s="207"/>
      <c r="I38" s="207"/>
      <c r="J38" s="207"/>
      <c r="K38" s="207"/>
      <c r="L38" s="207"/>
      <c r="M38" s="208"/>
      <c r="Q38" s="14" t="s">
        <v>22</v>
      </c>
      <c r="R38" s="47"/>
      <c r="S38" s="47"/>
      <c r="T38" s="47"/>
      <c r="U38" s="47"/>
      <c r="V38" s="47"/>
      <c r="W38" s="47"/>
      <c r="X38" s="61">
        <f>M77</f>
        <v>24000</v>
      </c>
    </row>
    <row r="39" spans="1:24" ht="15.75">
      <c r="A39" s="14" t="s">
        <v>125</v>
      </c>
      <c r="B39" s="209">
        <f>(B38-B14)/(1+B14)</f>
        <v>9.5238095238095233E-2</v>
      </c>
      <c r="C39" s="12" t="s">
        <v>26</v>
      </c>
      <c r="D39" s="13" t="s">
        <v>126</v>
      </c>
      <c r="F39" s="4" t="s">
        <v>7</v>
      </c>
      <c r="G39" s="64"/>
      <c r="H39" s="5">
        <v>0</v>
      </c>
      <c r="I39" s="5">
        <v>1</v>
      </c>
      <c r="J39" s="5">
        <v>2</v>
      </c>
      <c r="K39" s="5">
        <v>3</v>
      </c>
      <c r="L39" s="5">
        <v>4</v>
      </c>
      <c r="M39" s="6">
        <v>5</v>
      </c>
      <c r="Q39" s="11" t="s">
        <v>28</v>
      </c>
      <c r="R39" s="47">
        <f>SUM(R35:R38)</f>
        <v>30000</v>
      </c>
      <c r="S39" s="47">
        <f>SUM(S35:S38)</f>
        <v>24480</v>
      </c>
      <c r="T39" s="47">
        <f t="shared" ref="T39:X39" si="28">SUM(T35:T38)</f>
        <v>28913.599999999999</v>
      </c>
      <c r="U39" s="47">
        <f t="shared" si="28"/>
        <v>30937.552000000003</v>
      </c>
      <c r="V39" s="47">
        <f t="shared" si="28"/>
        <v>33103.180639999999</v>
      </c>
      <c r="W39" s="47">
        <f t="shared" si="28"/>
        <v>35420.403284800006</v>
      </c>
      <c r="X39" s="61">
        <f t="shared" si="28"/>
        <v>27565.365147200002</v>
      </c>
    </row>
    <row r="40" spans="1:24" ht="15.75">
      <c r="A40" s="14" t="s">
        <v>127</v>
      </c>
      <c r="B40" s="209">
        <f>(B36*B39)+(B35*B37)</f>
        <v>8.7619047619047624E-2</v>
      </c>
      <c r="C40" s="12"/>
      <c r="D40" s="13" t="s">
        <v>128</v>
      </c>
      <c r="F40" s="14" t="s">
        <v>102</v>
      </c>
      <c r="G40" s="30">
        <f>B30</f>
        <v>0.05</v>
      </c>
      <c r="H40" s="119"/>
      <c r="I40" s="119">
        <f>G40*I14</f>
        <v>1360</v>
      </c>
      <c r="J40" s="119">
        <f>G40*J14</f>
        <v>1455.2</v>
      </c>
      <c r="K40" s="119">
        <f>G40*K14</f>
        <v>1557.0640000000003</v>
      </c>
      <c r="L40" s="119">
        <f>G40*L14</f>
        <v>1666.0584800000001</v>
      </c>
      <c r="M40" s="210">
        <f>G40*M14</f>
        <v>1782.6825736000003</v>
      </c>
      <c r="Q40" s="17" t="s">
        <v>10</v>
      </c>
      <c r="R40" s="18"/>
      <c r="S40" s="19"/>
      <c r="T40" s="18"/>
      <c r="U40" s="18"/>
      <c r="V40" s="18"/>
      <c r="W40" s="18"/>
      <c r="X40" s="20"/>
    </row>
    <row r="41" spans="1:24" ht="15.75">
      <c r="A41" s="14" t="s">
        <v>129</v>
      </c>
      <c r="B41" s="211">
        <f>(B36*B38)+(B35*B37)</f>
        <v>0.11499999999999999</v>
      </c>
      <c r="C41" s="12"/>
      <c r="D41" s="13" t="s">
        <v>130</v>
      </c>
      <c r="F41" s="14" t="s">
        <v>104</v>
      </c>
      <c r="G41" s="30">
        <f>B31</f>
        <v>0.1</v>
      </c>
      <c r="H41" s="118"/>
      <c r="I41" s="118">
        <f>$G$41*I14</f>
        <v>2720</v>
      </c>
      <c r="J41" s="118">
        <f t="shared" ref="J41:M41" si="29">$G$41*J14</f>
        <v>2910.4</v>
      </c>
      <c r="K41" s="118">
        <f t="shared" si="29"/>
        <v>3114.1280000000006</v>
      </c>
      <c r="L41" s="118">
        <f t="shared" si="29"/>
        <v>3332.1169600000003</v>
      </c>
      <c r="M41" s="138">
        <f t="shared" si="29"/>
        <v>3565.3651472000006</v>
      </c>
      <c r="Q41" s="14" t="s">
        <v>34</v>
      </c>
      <c r="R41" s="47">
        <f>H64</f>
        <v>60000</v>
      </c>
      <c r="S41" s="47"/>
      <c r="T41" s="47"/>
      <c r="U41" s="47"/>
      <c r="V41" s="47"/>
      <c r="W41" s="47"/>
      <c r="X41" s="61"/>
    </row>
    <row r="42" spans="1:24" ht="16.5" thickBot="1">
      <c r="A42" s="65" t="s">
        <v>131</v>
      </c>
      <c r="B42" s="66">
        <v>0.2</v>
      </c>
      <c r="C42" s="44" t="s">
        <v>26</v>
      </c>
      <c r="D42" s="67"/>
      <c r="F42" s="14" t="s">
        <v>107</v>
      </c>
      <c r="G42" s="130">
        <f>B32</f>
        <v>0</v>
      </c>
      <c r="H42" s="118"/>
      <c r="I42" s="118">
        <v>0</v>
      </c>
      <c r="J42" s="118">
        <v>0</v>
      </c>
      <c r="K42" s="118">
        <v>0</v>
      </c>
      <c r="L42" s="118">
        <v>0</v>
      </c>
      <c r="M42" s="138">
        <v>0</v>
      </c>
      <c r="Q42" s="14" t="s">
        <v>40</v>
      </c>
      <c r="R42" s="47"/>
      <c r="S42" s="47">
        <f t="shared" ref="S42:X43" si="30">I19</f>
        <v>3000</v>
      </c>
      <c r="T42" s="47">
        <f t="shared" si="30"/>
        <v>3000</v>
      </c>
      <c r="U42" s="47">
        <f t="shared" si="30"/>
        <v>3000</v>
      </c>
      <c r="V42" s="47">
        <f t="shared" si="30"/>
        <v>3000</v>
      </c>
      <c r="W42" s="47">
        <f t="shared" si="30"/>
        <v>3000</v>
      </c>
      <c r="X42" s="61">
        <f t="shared" si="30"/>
        <v>0</v>
      </c>
    </row>
    <row r="43" spans="1:24" ht="15.75">
      <c r="A43" s="68"/>
      <c r="B43" s="68"/>
      <c r="C43" s="68"/>
      <c r="D43" s="68"/>
      <c r="F43" s="14" t="s">
        <v>110</v>
      </c>
      <c r="G43" s="131">
        <f>B33*(B25+B26)</f>
        <v>0.08</v>
      </c>
      <c r="H43" s="118"/>
      <c r="I43" s="118">
        <f>$G$43*I14</f>
        <v>2176</v>
      </c>
      <c r="J43" s="118">
        <f t="shared" ref="J43:M43" si="31">$G$43*J14</f>
        <v>2328.3200000000002</v>
      </c>
      <c r="K43" s="118">
        <f t="shared" si="31"/>
        <v>2491.3024</v>
      </c>
      <c r="L43" s="118">
        <f t="shared" si="31"/>
        <v>2665.6935680000001</v>
      </c>
      <c r="M43" s="138">
        <f t="shared" si="31"/>
        <v>2852.2921177600006</v>
      </c>
      <c r="Q43" s="14" t="s">
        <v>44</v>
      </c>
      <c r="R43" s="47"/>
      <c r="S43" s="47">
        <f t="shared" si="30"/>
        <v>10608</v>
      </c>
      <c r="T43" s="47">
        <f t="shared" si="30"/>
        <v>11350.56</v>
      </c>
      <c r="U43" s="47">
        <f t="shared" si="30"/>
        <v>12145.099200000001</v>
      </c>
      <c r="V43" s="47">
        <f t="shared" si="30"/>
        <v>12995.256144000001</v>
      </c>
      <c r="W43" s="47">
        <f t="shared" si="30"/>
        <v>13904.924074080003</v>
      </c>
      <c r="X43" s="61">
        <f t="shared" si="30"/>
        <v>0</v>
      </c>
    </row>
    <row r="44" spans="1:24" ht="15.75">
      <c r="D44" s="69"/>
      <c r="F44" s="14" t="s">
        <v>132</v>
      </c>
      <c r="G44" s="118"/>
      <c r="H44" s="118"/>
      <c r="I44" s="118">
        <f>SUM(I40:I42)-I43</f>
        <v>1904</v>
      </c>
      <c r="J44" s="118">
        <f t="shared" ref="J44:M44" si="32">SUM(J40:J42)-J43</f>
        <v>2037.2800000000002</v>
      </c>
      <c r="K44" s="118">
        <f t="shared" si="32"/>
        <v>2179.8896000000009</v>
      </c>
      <c r="L44" s="118">
        <f t="shared" si="32"/>
        <v>2332.4818720000007</v>
      </c>
      <c r="M44" s="138">
        <f t="shared" si="32"/>
        <v>2495.7556030400006</v>
      </c>
      <c r="Q44" s="14" t="s">
        <v>133</v>
      </c>
      <c r="R44" s="47"/>
      <c r="S44" s="47">
        <f>I57</f>
        <v>-2176</v>
      </c>
      <c r="T44" s="63">
        <f t="shared" ref="T44:X44" si="33">J57</f>
        <v>-152.32000000000016</v>
      </c>
      <c r="U44" s="63">
        <f t="shared" si="33"/>
        <v>-162.98239999999987</v>
      </c>
      <c r="V44" s="63">
        <f t="shared" si="33"/>
        <v>-174.39116800000011</v>
      </c>
      <c r="W44" s="63">
        <f t="shared" si="33"/>
        <v>-186.59854976000042</v>
      </c>
      <c r="X44" s="61">
        <f t="shared" si="33"/>
        <v>2852.2921177600006</v>
      </c>
    </row>
    <row r="45" spans="1:24" ht="16.5" thickBot="1">
      <c r="F45" s="65" t="s">
        <v>134</v>
      </c>
      <c r="G45" s="184"/>
      <c r="H45" s="184"/>
      <c r="I45" s="184">
        <f>I44*I3</f>
        <v>1999.2</v>
      </c>
      <c r="J45" s="184">
        <f>J44*J3</f>
        <v>2246.1012000000005</v>
      </c>
      <c r="K45" s="184">
        <f>K44*K3</f>
        <v>2523.4946982000015</v>
      </c>
      <c r="L45" s="184">
        <f>L44*L3</f>
        <v>2835.146293427701</v>
      </c>
      <c r="M45" s="185">
        <f>M44*M3</f>
        <v>3185.2868606660218</v>
      </c>
      <c r="Q45" s="14" t="s">
        <v>52</v>
      </c>
      <c r="R45" s="47"/>
      <c r="S45" s="47">
        <f t="shared" ref="S45:X45" si="34">I50</f>
        <v>1360</v>
      </c>
      <c r="T45" s="70">
        <f t="shared" si="34"/>
        <v>95.200000000000045</v>
      </c>
      <c r="U45" s="70">
        <f t="shared" si="34"/>
        <v>101.86400000000026</v>
      </c>
      <c r="V45" s="70">
        <f t="shared" si="34"/>
        <v>108.99447999999984</v>
      </c>
      <c r="W45" s="70">
        <f t="shared" si="34"/>
        <v>116.62409360000015</v>
      </c>
      <c r="X45" s="61">
        <f t="shared" si="34"/>
        <v>-1782.6825736000003</v>
      </c>
    </row>
    <row r="46" spans="1:24" ht="16.5" thickBot="1">
      <c r="G46" s="71"/>
      <c r="M46" s="72"/>
      <c r="N46" s="71"/>
      <c r="Q46" s="14" t="s">
        <v>135</v>
      </c>
      <c r="R46" s="47"/>
      <c r="S46" s="47">
        <f>I33</f>
        <v>7513.693637005098</v>
      </c>
      <c r="T46" s="47">
        <f>J33</f>
        <v>7513.693637005098</v>
      </c>
      <c r="U46" s="47">
        <f>K33</f>
        <v>7513.693637005098</v>
      </c>
      <c r="V46" s="47">
        <f>L33</f>
        <v>7513.693637005098</v>
      </c>
      <c r="W46" s="47">
        <f>M33</f>
        <v>7513.693637005098</v>
      </c>
      <c r="X46" s="61"/>
    </row>
    <row r="47" spans="1:24" ht="15.75">
      <c r="F47" s="212" t="s">
        <v>136</v>
      </c>
      <c r="G47" s="213"/>
      <c r="H47" s="213"/>
      <c r="I47" s="213"/>
      <c r="J47" s="213"/>
      <c r="K47" s="213"/>
      <c r="L47" s="213"/>
      <c r="M47" s="214"/>
      <c r="N47" s="212"/>
      <c r="Q47" s="14" t="s">
        <v>56</v>
      </c>
      <c r="R47" s="47"/>
      <c r="S47" s="47">
        <f>I88</f>
        <v>1038.4000000000001</v>
      </c>
      <c r="T47" s="47">
        <f>J88</f>
        <v>1352.5070981920821</v>
      </c>
      <c r="U47" s="47">
        <f>K88</f>
        <v>1689.4198842395301</v>
      </c>
      <c r="V47" s="47">
        <f>L88</f>
        <v>2050.8002115707741</v>
      </c>
      <c r="W47" s="47">
        <f>M88</f>
        <v>2438.4314997765177</v>
      </c>
      <c r="X47" s="61"/>
    </row>
    <row r="48" spans="1:24" ht="15.75">
      <c r="F48" s="33" t="s">
        <v>7</v>
      </c>
      <c r="G48" s="18"/>
      <c r="H48" s="73">
        <v>0</v>
      </c>
      <c r="I48" s="73">
        <v>1</v>
      </c>
      <c r="J48" s="73">
        <v>2</v>
      </c>
      <c r="K48" s="73">
        <v>3</v>
      </c>
      <c r="L48" s="73">
        <v>4</v>
      </c>
      <c r="M48" s="73">
        <v>5</v>
      </c>
      <c r="N48" s="74">
        <v>6</v>
      </c>
      <c r="Q48" s="11" t="s">
        <v>60</v>
      </c>
      <c r="R48" s="47">
        <f>SUM(R41:R47)</f>
        <v>60000</v>
      </c>
      <c r="S48" s="47">
        <f>SUM(S41:S47)</f>
        <v>21344.093637005099</v>
      </c>
      <c r="T48" s="47">
        <f t="shared" ref="T48:X48" si="35">SUM(T41:T47)</f>
        <v>23159.640735197183</v>
      </c>
      <c r="U48" s="47">
        <f t="shared" si="35"/>
        <v>24287.094321244629</v>
      </c>
      <c r="V48" s="47">
        <f t="shared" si="35"/>
        <v>25494.353304575874</v>
      </c>
      <c r="W48" s="47">
        <f t="shared" si="35"/>
        <v>26787.074754701614</v>
      </c>
      <c r="X48" s="61">
        <f t="shared" si="35"/>
        <v>1069.6095441600003</v>
      </c>
    </row>
    <row r="49" spans="5:25" ht="15.75">
      <c r="F49" s="75" t="s">
        <v>137</v>
      </c>
      <c r="G49" s="76"/>
      <c r="H49" s="47"/>
      <c r="I49" s="47">
        <f>I40</f>
        <v>1360</v>
      </c>
      <c r="J49" s="47">
        <f t="shared" ref="J49:M49" si="36">J40</f>
        <v>1455.2</v>
      </c>
      <c r="K49" s="47">
        <f t="shared" si="36"/>
        <v>1557.0640000000003</v>
      </c>
      <c r="L49" s="47">
        <f t="shared" si="36"/>
        <v>1666.0584800000001</v>
      </c>
      <c r="M49" s="47">
        <f t="shared" si="36"/>
        <v>1782.6825736000003</v>
      </c>
      <c r="N49" s="77">
        <f>0</f>
        <v>0</v>
      </c>
      <c r="Q49" s="14" t="s">
        <v>67</v>
      </c>
      <c r="R49" s="230">
        <f>R39-R48</f>
        <v>-30000</v>
      </c>
      <c r="S49" s="47">
        <f t="shared" ref="S49:W49" si="37">S39-S48</f>
        <v>3135.9063629949014</v>
      </c>
      <c r="T49" s="47">
        <f t="shared" si="37"/>
        <v>5753.9592648028156</v>
      </c>
      <c r="U49" s="47">
        <f t="shared" si="37"/>
        <v>6650.4576787553742</v>
      </c>
      <c r="V49" s="47">
        <f t="shared" si="37"/>
        <v>7608.8273354241246</v>
      </c>
      <c r="W49" s="47">
        <f t="shared" si="37"/>
        <v>8633.3285300983916</v>
      </c>
      <c r="X49" s="61">
        <f>X39-X48</f>
        <v>26495.755603040001</v>
      </c>
      <c r="Y49" s="78"/>
    </row>
    <row r="50" spans="5:25" ht="15.75">
      <c r="F50" s="79" t="s">
        <v>138</v>
      </c>
      <c r="G50" s="80"/>
      <c r="H50" s="47"/>
      <c r="I50" s="47">
        <f>I49</f>
        <v>1360</v>
      </c>
      <c r="J50" s="70">
        <f>J49-I49</f>
        <v>95.200000000000045</v>
      </c>
      <c r="K50" s="70">
        <f>K49-J49</f>
        <v>101.86400000000026</v>
      </c>
      <c r="L50" s="70">
        <f>L49-K49</f>
        <v>108.99447999999984</v>
      </c>
      <c r="M50" s="70">
        <f>M49-L49</f>
        <v>116.62409360000015</v>
      </c>
      <c r="N50" s="77">
        <f>N49-M49</f>
        <v>-1782.6825736000003</v>
      </c>
      <c r="Q50" s="14" t="s">
        <v>70</v>
      </c>
      <c r="R50" s="47">
        <f>PV($B$39,R33,,-R49)</f>
        <v>-30000</v>
      </c>
      <c r="S50" s="47">
        <f t="shared" ref="S50:X50" si="38">PV($B$39,S33,,-S49)</f>
        <v>2863.2188531692577</v>
      </c>
      <c r="T50" s="47">
        <f t="shared" si="38"/>
        <v>4796.7788956106642</v>
      </c>
      <c r="U50" s="47">
        <f t="shared" si="38"/>
        <v>5062.043935477398</v>
      </c>
      <c r="V50" s="47">
        <f t="shared" si="38"/>
        <v>5287.9040205710344</v>
      </c>
      <c r="W50" s="47">
        <f t="shared" si="38"/>
        <v>5478.1707070464327</v>
      </c>
      <c r="X50" s="61">
        <f t="shared" si="38"/>
        <v>15350.58961976954</v>
      </c>
      <c r="Y50" s="78"/>
    </row>
    <row r="51" spans="5:25" ht="15.75">
      <c r="F51" s="81" t="s">
        <v>139</v>
      </c>
      <c r="G51" s="82"/>
      <c r="H51" s="83"/>
      <c r="I51" s="83">
        <f t="shared" ref="I51:N51" si="39">-I50</f>
        <v>-1360</v>
      </c>
      <c r="J51" s="84">
        <f t="shared" si="39"/>
        <v>-95.200000000000045</v>
      </c>
      <c r="K51" s="84">
        <f t="shared" si="39"/>
        <v>-101.86400000000026</v>
      </c>
      <c r="L51" s="84">
        <f t="shared" si="39"/>
        <v>-108.99447999999984</v>
      </c>
      <c r="M51" s="84">
        <f t="shared" si="39"/>
        <v>-116.62409360000015</v>
      </c>
      <c r="N51" s="85">
        <f t="shared" si="39"/>
        <v>1782.6825736000003</v>
      </c>
      <c r="Q51" s="135" t="s">
        <v>49</v>
      </c>
      <c r="R51" s="133">
        <f>NPV(B39,S49:X49)+R49</f>
        <v>8838.706031644324</v>
      </c>
      <c r="S51" s="193"/>
      <c r="T51" s="193"/>
      <c r="U51" s="193"/>
      <c r="V51" s="193"/>
      <c r="W51" s="193"/>
      <c r="X51" s="137"/>
      <c r="Y51" s="78"/>
    </row>
    <row r="52" spans="5:25" ht="15.75">
      <c r="F52" s="86" t="s">
        <v>140</v>
      </c>
      <c r="G52" s="80"/>
      <c r="H52" s="87"/>
      <c r="I52" s="87">
        <f>-I41</f>
        <v>-2720</v>
      </c>
      <c r="J52" s="87">
        <f t="shared" ref="J52:N52" si="40">-J41</f>
        <v>-2910.4</v>
      </c>
      <c r="K52" s="87">
        <f t="shared" si="40"/>
        <v>-3114.1280000000006</v>
      </c>
      <c r="L52" s="87">
        <f t="shared" si="40"/>
        <v>-3332.1169600000003</v>
      </c>
      <c r="M52" s="87">
        <f t="shared" si="40"/>
        <v>-3565.3651472000006</v>
      </c>
      <c r="N52" s="88">
        <f t="shared" si="40"/>
        <v>0</v>
      </c>
      <c r="Q52" s="135" t="s">
        <v>73</v>
      </c>
      <c r="R52" s="89">
        <f>IRR(R49:X49)</f>
        <v>0.1639584013114197</v>
      </c>
      <c r="S52" s="193"/>
      <c r="T52" s="193"/>
      <c r="U52" s="193"/>
      <c r="V52" s="193"/>
      <c r="W52" s="193"/>
      <c r="X52" s="137"/>
      <c r="Y52" s="78"/>
    </row>
    <row r="53" spans="5:25" ht="15.75">
      <c r="E53" s="90"/>
      <c r="F53" s="79" t="s">
        <v>141</v>
      </c>
      <c r="G53" s="76"/>
      <c r="H53" s="47"/>
      <c r="I53" s="47">
        <f>I52</f>
        <v>-2720</v>
      </c>
      <c r="J53" s="70">
        <f>J52-I52</f>
        <v>-190.40000000000009</v>
      </c>
      <c r="K53" s="70">
        <f>K52-J52</f>
        <v>-203.72800000000052</v>
      </c>
      <c r="L53" s="70">
        <f t="shared" ref="L53:N53" si="41">L52-K52</f>
        <v>-217.98895999999968</v>
      </c>
      <c r="M53" s="70">
        <f t="shared" si="41"/>
        <v>-233.2481872000003</v>
      </c>
      <c r="N53" s="77">
        <f t="shared" si="41"/>
        <v>3565.3651472000006</v>
      </c>
      <c r="Q53" s="14" t="s">
        <v>77</v>
      </c>
      <c r="R53" s="47">
        <f>NPV(B39,S39:X39)+R39</f>
        <v>161454.98063959699</v>
      </c>
      <c r="S53" s="193"/>
      <c r="T53" s="193"/>
      <c r="U53" s="193"/>
      <c r="V53" s="193"/>
      <c r="W53" s="193"/>
      <c r="X53" s="137"/>
      <c r="Y53" s="78"/>
    </row>
    <row r="54" spans="5:25" ht="15.75">
      <c r="F54" s="79" t="s">
        <v>15</v>
      </c>
      <c r="H54" s="47"/>
      <c r="I54" s="47">
        <f>I14</f>
        <v>27200</v>
      </c>
      <c r="J54" s="47">
        <f t="shared" ref="J54:N54" si="42">J14</f>
        <v>29104</v>
      </c>
      <c r="K54" s="47">
        <f t="shared" si="42"/>
        <v>31141.280000000002</v>
      </c>
      <c r="L54" s="47">
        <f t="shared" si="42"/>
        <v>33321.169600000001</v>
      </c>
      <c r="M54" s="47">
        <f t="shared" si="42"/>
        <v>35653.651472000005</v>
      </c>
      <c r="N54" s="77">
        <f t="shared" si="42"/>
        <v>0</v>
      </c>
      <c r="Q54" s="14" t="s">
        <v>81</v>
      </c>
      <c r="R54" s="47">
        <f>NPV(B39,S48:X48)+R48</f>
        <v>152616.27460795266</v>
      </c>
      <c r="S54" s="193"/>
      <c r="T54" s="193"/>
      <c r="U54" s="193"/>
      <c r="V54" s="193"/>
      <c r="W54" s="193"/>
      <c r="X54" s="137"/>
      <c r="Y54" s="78"/>
    </row>
    <row r="55" spans="5:25" ht="15.75">
      <c r="F55" s="81" t="s">
        <v>142</v>
      </c>
      <c r="G55" s="72"/>
      <c r="H55" s="83"/>
      <c r="I55" s="83">
        <f>I54+I53</f>
        <v>24480</v>
      </c>
      <c r="J55" s="83">
        <f t="shared" ref="J55:N55" si="43">J54+J53</f>
        <v>28913.599999999999</v>
      </c>
      <c r="K55" s="83">
        <f t="shared" si="43"/>
        <v>30937.552000000003</v>
      </c>
      <c r="L55" s="83">
        <f t="shared" si="43"/>
        <v>33103.180639999999</v>
      </c>
      <c r="M55" s="83">
        <f t="shared" si="43"/>
        <v>35420.403284800006</v>
      </c>
      <c r="N55" s="85">
        <f t="shared" si="43"/>
        <v>3565.3651472000006</v>
      </c>
      <c r="Q55" s="135" t="s">
        <v>84</v>
      </c>
      <c r="R55" s="215">
        <f>R53/R54</f>
        <v>1.0579145707386031</v>
      </c>
      <c r="S55" s="193"/>
      <c r="T55" s="193"/>
      <c r="U55" s="193"/>
      <c r="V55" s="193"/>
      <c r="W55" s="193"/>
      <c r="X55" s="137"/>
      <c r="Y55" s="78"/>
    </row>
    <row r="56" spans="5:25" ht="15.75">
      <c r="F56" s="91" t="s">
        <v>143</v>
      </c>
      <c r="H56" s="92"/>
      <c r="I56" s="87">
        <f>-I43</f>
        <v>-2176</v>
      </c>
      <c r="J56" s="87">
        <f t="shared" ref="J56:L56" si="44">-J43</f>
        <v>-2328.3200000000002</v>
      </c>
      <c r="K56" s="87">
        <f t="shared" si="44"/>
        <v>-2491.3024</v>
      </c>
      <c r="L56" s="87">
        <f t="shared" si="44"/>
        <v>-2665.6935680000001</v>
      </c>
      <c r="M56" s="87">
        <f>-M43</f>
        <v>-2852.2921177600006</v>
      </c>
      <c r="N56" s="88">
        <f>-N43</f>
        <v>0</v>
      </c>
      <c r="Q56" s="14" t="s">
        <v>144</v>
      </c>
      <c r="R56" s="47">
        <f>R49</f>
        <v>-30000</v>
      </c>
      <c r="S56" s="118">
        <f>R56+S49</f>
        <v>-26864.093637005099</v>
      </c>
      <c r="T56" s="118">
        <f t="shared" ref="T56:X56" si="45">S56+T49</f>
        <v>-21110.134372202283</v>
      </c>
      <c r="U56" s="118">
        <f t="shared" si="45"/>
        <v>-14459.676693446909</v>
      </c>
      <c r="V56" s="118">
        <f t="shared" si="45"/>
        <v>-6850.8493580227841</v>
      </c>
      <c r="W56" s="118">
        <f t="shared" si="45"/>
        <v>1782.4791720756075</v>
      </c>
      <c r="X56" s="138">
        <f t="shared" si="45"/>
        <v>28278.234775115608</v>
      </c>
      <c r="Y56" s="78"/>
    </row>
    <row r="57" spans="5:25" ht="15.75">
      <c r="F57" s="79" t="s">
        <v>145</v>
      </c>
      <c r="I57" s="47">
        <f>I56</f>
        <v>-2176</v>
      </c>
      <c r="J57" s="70">
        <f>J56-I56</f>
        <v>-152.32000000000016</v>
      </c>
      <c r="K57" s="70">
        <f>K56-J56</f>
        <v>-162.98239999999987</v>
      </c>
      <c r="L57" s="70">
        <f>L56-K56</f>
        <v>-174.39116800000011</v>
      </c>
      <c r="M57" s="70">
        <f>M56-L56</f>
        <v>-186.59854976000042</v>
      </c>
      <c r="N57" s="77">
        <f>N56-M56</f>
        <v>2852.2921177600006</v>
      </c>
      <c r="Q57" s="14"/>
      <c r="R57" s="47"/>
      <c r="S57" s="118"/>
      <c r="T57" s="118"/>
      <c r="U57" s="118"/>
      <c r="V57" s="189">
        <f>MOD(W57,1)*30</f>
        <v>5.7813095968626058</v>
      </c>
      <c r="W57" s="37">
        <f>-W56/X57</f>
        <v>-0.8072896801045798</v>
      </c>
      <c r="X57" s="139">
        <f>(-W56+X56)/12</f>
        <v>2207.9796335866668</v>
      </c>
      <c r="Y57" s="78"/>
    </row>
    <row r="58" spans="5:25" ht="15.75">
      <c r="F58" s="79" t="s">
        <v>40</v>
      </c>
      <c r="G58" s="76"/>
      <c r="I58" s="47">
        <f t="shared" ref="I58:N59" si="46">I19</f>
        <v>3000</v>
      </c>
      <c r="J58" s="47">
        <f t="shared" si="46"/>
        <v>3000</v>
      </c>
      <c r="K58" s="47">
        <f t="shared" si="46"/>
        <v>3000</v>
      </c>
      <c r="L58" s="47">
        <f t="shared" si="46"/>
        <v>3000</v>
      </c>
      <c r="M58" s="47">
        <f t="shared" si="46"/>
        <v>3000</v>
      </c>
      <c r="N58" s="77">
        <f t="shared" si="46"/>
        <v>0</v>
      </c>
      <c r="Q58" s="14" t="s">
        <v>146</v>
      </c>
      <c r="R58" s="46" t="str">
        <f>IF(ISNA(AW3), "Lỗ liên tục qua 6 năm", INT(AW3)&amp;"Y"&amp;INT((AW3-INT(AW3))*12)&amp;"M"&amp;ROUND((((AW3-INT(AW3))*12)-INT((AW3-INT(AW3))*12))*30, 0)&amp;"D")</f>
        <v>4Y9M16D</v>
      </c>
      <c r="T58" s="216"/>
      <c r="U58" s="193"/>
      <c r="X58" s="40"/>
      <c r="Y58" s="78"/>
    </row>
    <row r="59" spans="5:25" ht="15.75">
      <c r="F59" s="79" t="s">
        <v>85</v>
      </c>
      <c r="I59" s="47">
        <f t="shared" si="46"/>
        <v>10608</v>
      </c>
      <c r="J59" s="47">
        <f t="shared" si="46"/>
        <v>11350.56</v>
      </c>
      <c r="K59" s="47">
        <f t="shared" si="46"/>
        <v>12145.099200000001</v>
      </c>
      <c r="L59" s="47">
        <f t="shared" si="46"/>
        <v>12995.256144000001</v>
      </c>
      <c r="M59" s="47">
        <f t="shared" si="46"/>
        <v>13904.924074080003</v>
      </c>
      <c r="N59" s="77">
        <f t="shared" si="46"/>
        <v>0</v>
      </c>
      <c r="Q59" s="14" t="s">
        <v>147</v>
      </c>
      <c r="R59" s="47">
        <f>R50</f>
        <v>-30000</v>
      </c>
      <c r="S59" s="118">
        <f>R59+S50</f>
        <v>-27136.781146830741</v>
      </c>
      <c r="T59" s="118">
        <f t="shared" ref="T59:X59" si="47">S59+T50</f>
        <v>-22340.002251220078</v>
      </c>
      <c r="U59" s="118">
        <f t="shared" si="47"/>
        <v>-17277.958315742679</v>
      </c>
      <c r="V59" s="118">
        <f t="shared" si="47"/>
        <v>-11990.054295171645</v>
      </c>
      <c r="W59" s="118">
        <f t="shared" si="47"/>
        <v>-6511.8835881252126</v>
      </c>
      <c r="X59" s="138">
        <f t="shared" si="47"/>
        <v>8838.7060316443276</v>
      </c>
    </row>
    <row r="60" spans="5:25" ht="15.75">
      <c r="F60" s="81" t="s">
        <v>149</v>
      </c>
      <c r="G60" s="72"/>
      <c r="H60" s="93"/>
      <c r="I60" s="83">
        <f>SUM(I57:I59)</f>
        <v>11432</v>
      </c>
      <c r="J60" s="83">
        <f>SUM(J57:J59)</f>
        <v>14198.24</v>
      </c>
      <c r="K60" s="83">
        <f t="shared" ref="K60:N60" si="48">SUM(K57:K59)</f>
        <v>14982.1168</v>
      </c>
      <c r="L60" s="83">
        <f t="shared" si="48"/>
        <v>15820.864976000001</v>
      </c>
      <c r="M60" s="83">
        <f t="shared" si="48"/>
        <v>16718.325524320004</v>
      </c>
      <c r="N60" s="85">
        <f t="shared" si="48"/>
        <v>2852.2921177600006</v>
      </c>
      <c r="Q60" s="14"/>
      <c r="R60" s="47"/>
      <c r="S60" s="118"/>
      <c r="T60" s="118"/>
      <c r="U60" s="118"/>
      <c r="V60" s="189">
        <f>MOD(W60,1)*30</f>
        <v>2.7158337101237251</v>
      </c>
      <c r="W60" s="37">
        <f>-W59/X60</f>
        <v>5.0905277903374575</v>
      </c>
      <c r="X60" s="139">
        <f>(-W59+X59)/12</f>
        <v>1279.2158016474616</v>
      </c>
    </row>
    <row r="61" spans="5:25" ht="16.5" thickBot="1">
      <c r="G61" s="97"/>
      <c r="Q61" s="24" t="s">
        <v>148</v>
      </c>
      <c r="R61" s="180" t="str">
        <f>IF(ISNA(AW4), "Lỗ liên tục qua 6 năm", INT(AW4) &amp; "Y" &amp; INT((AW4-INT(AW4))*12) &amp; "M" &amp; ROUND((((AW4-INT(AW4))*12)-INT((AW4-INT(AW4))*12))*30, 0) &amp; "D")</f>
        <v>5Y5M3D</v>
      </c>
      <c r="S61" s="140"/>
      <c r="T61" s="140"/>
      <c r="U61" s="140"/>
      <c r="V61" s="140"/>
      <c r="W61" s="140"/>
      <c r="X61" s="170"/>
    </row>
    <row r="62" spans="5:25" ht="15.75">
      <c r="F62" s="177" t="s">
        <v>151</v>
      </c>
      <c r="G62" s="178"/>
      <c r="H62" s="178"/>
      <c r="I62" s="178"/>
      <c r="J62" s="178"/>
      <c r="K62" s="178"/>
      <c r="L62" s="178"/>
      <c r="M62" s="178"/>
      <c r="N62" s="98"/>
      <c r="Q62" s="94" t="s">
        <v>150</v>
      </c>
      <c r="R62" s="95"/>
      <c r="S62" s="95"/>
      <c r="T62" s="96"/>
      <c r="U62" s="96"/>
      <c r="V62" s="95"/>
      <c r="W62" s="95"/>
      <c r="X62" s="95"/>
    </row>
    <row r="63" spans="5:25">
      <c r="F63" s="99" t="s">
        <v>7</v>
      </c>
      <c r="G63" s="100"/>
      <c r="H63" s="97">
        <v>0</v>
      </c>
      <c r="I63" s="97">
        <v>1</v>
      </c>
      <c r="J63" s="97">
        <v>2</v>
      </c>
      <c r="K63" s="97">
        <v>3</v>
      </c>
      <c r="L63" s="97">
        <v>4</v>
      </c>
      <c r="M63" s="97">
        <v>5</v>
      </c>
      <c r="N63" s="98"/>
    </row>
    <row r="64" spans="5:25" ht="15.75">
      <c r="F64" s="79" t="s">
        <v>152</v>
      </c>
      <c r="G64" s="47"/>
      <c r="H64" s="47">
        <f>B4</f>
        <v>60000</v>
      </c>
      <c r="I64" s="47"/>
      <c r="J64" s="47"/>
      <c r="K64" s="47"/>
      <c r="L64" s="47"/>
      <c r="M64" s="47"/>
      <c r="N64" s="98"/>
    </row>
    <row r="65" spans="6:25" ht="15.75">
      <c r="F65" s="79" t="s">
        <v>153</v>
      </c>
      <c r="G65" s="47"/>
      <c r="H65" s="47">
        <f>B36*H64</f>
        <v>30000</v>
      </c>
      <c r="I65" s="47"/>
      <c r="J65" s="47"/>
      <c r="K65" s="47"/>
      <c r="L65" s="47"/>
      <c r="M65" s="47"/>
      <c r="N65" s="98"/>
    </row>
    <row r="66" spans="6:25" ht="15.75">
      <c r="F66" s="79" t="s">
        <v>154</v>
      </c>
      <c r="G66" s="47"/>
      <c r="H66" s="47">
        <f>B35*H64</f>
        <v>30000</v>
      </c>
      <c r="I66" s="47"/>
      <c r="J66" s="47"/>
      <c r="K66" s="47"/>
      <c r="L66" s="47"/>
      <c r="M66" s="47"/>
      <c r="N66" s="98"/>
    </row>
    <row r="67" spans="6:25" ht="15.75">
      <c r="F67" s="101"/>
      <c r="G67" s="50"/>
      <c r="H67" s="82"/>
      <c r="I67" s="82"/>
      <c r="J67" s="82"/>
      <c r="K67" s="82"/>
      <c r="L67" s="82"/>
      <c r="M67" s="82"/>
      <c r="N67" s="98"/>
    </row>
    <row r="68" spans="6:25" ht="15.75">
      <c r="G68" s="5"/>
      <c r="N68" s="102"/>
      <c r="Y68" s="57"/>
    </row>
    <row r="69" spans="6:25" ht="18.75">
      <c r="F69" s="177" t="s">
        <v>156</v>
      </c>
      <c r="G69" s="178"/>
      <c r="H69" s="178"/>
      <c r="I69" s="178"/>
      <c r="J69" s="178"/>
      <c r="K69" s="178"/>
      <c r="L69" s="178"/>
      <c r="M69" s="178"/>
      <c r="N69" s="177"/>
      <c r="Q69" s="217" t="s">
        <v>155</v>
      </c>
      <c r="R69" s="217"/>
      <c r="S69" s="217"/>
      <c r="T69" s="217"/>
      <c r="U69" s="217"/>
      <c r="V69" s="217"/>
      <c r="W69" s="217"/>
      <c r="X69" s="217"/>
    </row>
    <row r="70" spans="6:25" ht="15.75">
      <c r="F70" s="33" t="s">
        <v>7</v>
      </c>
      <c r="G70" s="56"/>
      <c r="H70" s="5">
        <v>0</v>
      </c>
      <c r="I70" s="5">
        <v>1</v>
      </c>
      <c r="J70" s="5">
        <v>2</v>
      </c>
      <c r="K70" s="5">
        <v>3</v>
      </c>
      <c r="L70" s="5">
        <v>4</v>
      </c>
      <c r="M70" s="5">
        <v>5</v>
      </c>
      <c r="N70" s="34">
        <v>6</v>
      </c>
      <c r="Q70" s="38"/>
      <c r="R70" s="38"/>
      <c r="S70" s="38"/>
      <c r="T70" s="38"/>
      <c r="U70" s="38"/>
      <c r="V70" s="38"/>
      <c r="W70" s="38"/>
      <c r="X70" s="38"/>
    </row>
    <row r="71" spans="6:25" ht="18.75">
      <c r="F71" s="103" t="s">
        <v>158</v>
      </c>
      <c r="G71" s="47"/>
      <c r="H71" s="47"/>
      <c r="I71" s="47"/>
      <c r="J71" s="47"/>
      <c r="K71" s="47"/>
      <c r="L71" s="47"/>
      <c r="M71" s="47"/>
      <c r="N71" s="77"/>
      <c r="Q71" s="217" t="s">
        <v>157</v>
      </c>
      <c r="R71" s="217"/>
      <c r="S71" s="217"/>
      <c r="T71" s="217"/>
      <c r="U71" s="217"/>
      <c r="V71" s="217"/>
      <c r="W71" s="217"/>
      <c r="X71" s="217"/>
    </row>
    <row r="72" spans="6:25" ht="16.5" thickBot="1">
      <c r="F72" s="36" t="s">
        <v>160</v>
      </c>
      <c r="G72" s="47"/>
      <c r="H72" s="47">
        <f>B4</f>
        <v>60000</v>
      </c>
      <c r="I72" s="47"/>
      <c r="J72" s="47"/>
      <c r="K72" s="47"/>
      <c r="L72" s="47"/>
      <c r="M72" s="47"/>
      <c r="N72" s="77"/>
    </row>
    <row r="73" spans="6:25" ht="18.75">
      <c r="F73" s="36" t="s">
        <v>161</v>
      </c>
      <c r="G73" s="47"/>
      <c r="H73" s="47"/>
      <c r="I73" s="47">
        <f>H72/10</f>
        <v>6000</v>
      </c>
      <c r="J73" s="47">
        <f>H72/10</f>
        <v>6000</v>
      </c>
      <c r="K73" s="47">
        <f>H72/10</f>
        <v>6000</v>
      </c>
      <c r="L73" s="47">
        <f>H72/10</f>
        <v>6000</v>
      </c>
      <c r="M73" s="47">
        <f>H72/10</f>
        <v>6000</v>
      </c>
      <c r="N73" s="77"/>
      <c r="Q73" s="1" t="s">
        <v>159</v>
      </c>
      <c r="R73" s="2"/>
      <c r="S73" s="2"/>
      <c r="T73" s="2"/>
      <c r="U73" s="2"/>
      <c r="V73" s="2"/>
      <c r="W73" s="2"/>
      <c r="X73" s="3"/>
    </row>
    <row r="74" spans="6:25" ht="15.75">
      <c r="F74" s="36" t="s">
        <v>162</v>
      </c>
      <c r="G74" s="47"/>
      <c r="H74" s="47"/>
      <c r="I74" s="47">
        <f>I73</f>
        <v>6000</v>
      </c>
      <c r="J74" s="47">
        <f>I74+J73</f>
        <v>12000</v>
      </c>
      <c r="K74" s="47">
        <f t="shared" ref="K74:M74" si="49">J74+K73</f>
        <v>18000</v>
      </c>
      <c r="L74" s="47">
        <f t="shared" si="49"/>
        <v>24000</v>
      </c>
      <c r="M74" s="47">
        <f t="shared" si="49"/>
        <v>30000</v>
      </c>
      <c r="N74" s="77"/>
      <c r="Q74" s="59" t="s">
        <v>7</v>
      </c>
      <c r="R74" s="32">
        <v>0</v>
      </c>
      <c r="S74" s="32">
        <v>1</v>
      </c>
      <c r="T74" s="32">
        <v>2</v>
      </c>
      <c r="U74" s="32">
        <v>3</v>
      </c>
      <c r="V74" s="32">
        <v>4</v>
      </c>
      <c r="W74" s="32">
        <v>5</v>
      </c>
      <c r="X74" s="60">
        <v>6</v>
      </c>
    </row>
    <row r="75" spans="6:25" ht="15.75">
      <c r="F75" s="36" t="s">
        <v>25</v>
      </c>
      <c r="G75" s="47"/>
      <c r="H75" s="47"/>
      <c r="I75" s="47"/>
      <c r="J75" s="47"/>
      <c r="K75" s="47"/>
      <c r="L75" s="47"/>
      <c r="M75" s="47">
        <f>M76*B7</f>
        <v>6000</v>
      </c>
      <c r="N75" s="77"/>
      <c r="Q75" s="17" t="s">
        <v>10</v>
      </c>
      <c r="R75" s="18"/>
      <c r="S75" s="19"/>
      <c r="T75" s="18"/>
      <c r="U75" s="18"/>
      <c r="V75" s="18"/>
      <c r="W75" s="18"/>
      <c r="X75" s="20"/>
    </row>
    <row r="76" spans="6:25" ht="15.75">
      <c r="F76" s="36" t="s">
        <v>163</v>
      </c>
      <c r="G76" s="47"/>
      <c r="H76" s="47"/>
      <c r="I76" s="47"/>
      <c r="J76" s="47"/>
      <c r="K76" s="47"/>
      <c r="L76" s="47"/>
      <c r="M76" s="47">
        <f>H72-M74</f>
        <v>30000</v>
      </c>
      <c r="N76" s="77" t="s">
        <v>164</v>
      </c>
      <c r="Q76" s="14" t="s">
        <v>15</v>
      </c>
      <c r="R76" s="47"/>
      <c r="S76" s="47">
        <f t="shared" ref="S76:X76" si="50">I14</f>
        <v>27200</v>
      </c>
      <c r="T76" s="47">
        <f t="shared" si="50"/>
        <v>29104</v>
      </c>
      <c r="U76" s="47">
        <f t="shared" si="50"/>
        <v>31141.280000000002</v>
      </c>
      <c r="V76" s="47">
        <f t="shared" si="50"/>
        <v>33321.169600000001</v>
      </c>
      <c r="W76" s="47">
        <f t="shared" si="50"/>
        <v>35653.651472000005</v>
      </c>
      <c r="X76" s="61">
        <f t="shared" si="50"/>
        <v>0</v>
      </c>
    </row>
    <row r="77" spans="6:25" ht="15.75">
      <c r="F77" s="39" t="s">
        <v>165</v>
      </c>
      <c r="G77" s="83"/>
      <c r="H77" s="83"/>
      <c r="I77" s="83"/>
      <c r="J77" s="83"/>
      <c r="K77" s="83"/>
      <c r="L77" s="83"/>
      <c r="M77" s="83">
        <f>M76-M75</f>
        <v>24000</v>
      </c>
      <c r="N77" s="85">
        <f>M77*(1+B14)^M70</f>
        <v>30630.757500000003</v>
      </c>
      <c r="Q77" s="14" t="s">
        <v>18</v>
      </c>
      <c r="R77" s="47"/>
      <c r="S77" s="47">
        <f t="shared" ref="S77:X77" si="51">I53</f>
        <v>-2720</v>
      </c>
      <c r="T77" s="47">
        <f t="shared" si="51"/>
        <v>-190.40000000000009</v>
      </c>
      <c r="U77" s="47">
        <f t="shared" si="51"/>
        <v>-203.72800000000052</v>
      </c>
      <c r="V77" s="47">
        <f t="shared" si="51"/>
        <v>-217.98895999999968</v>
      </c>
      <c r="W77" s="47">
        <f t="shared" si="51"/>
        <v>-233.2481872000003</v>
      </c>
      <c r="X77" s="61">
        <f t="shared" si="51"/>
        <v>3565.3651472000006</v>
      </c>
    </row>
    <row r="78" spans="6:25" ht="16.5" thickBot="1">
      <c r="Q78" s="14" t="s">
        <v>22</v>
      </c>
      <c r="R78" s="47"/>
      <c r="S78" s="47"/>
      <c r="T78" s="47"/>
      <c r="U78" s="47"/>
      <c r="V78" s="47"/>
      <c r="W78" s="47"/>
      <c r="X78" s="61">
        <f>M77</f>
        <v>24000</v>
      </c>
    </row>
    <row r="79" spans="6:25" ht="16.5" thickBot="1">
      <c r="F79" s="218" t="s">
        <v>166</v>
      </c>
      <c r="G79" s="219"/>
      <c r="H79" s="219"/>
      <c r="I79" s="219"/>
      <c r="J79" s="219"/>
      <c r="K79" s="219"/>
      <c r="L79" s="219"/>
      <c r="M79" s="220"/>
      <c r="N79" s="221"/>
      <c r="Q79" s="11" t="s">
        <v>28</v>
      </c>
      <c r="R79" s="47"/>
      <c r="S79" s="47">
        <f>SUM(S76:S78)*I3</f>
        <v>25704</v>
      </c>
      <c r="T79" s="47">
        <f t="shared" ref="T79:X79" si="52">SUM(T76:T78)*J3</f>
        <v>31877.243999999999</v>
      </c>
      <c r="U79" s="47">
        <f t="shared" si="52"/>
        <v>35814.08363400001</v>
      </c>
      <c r="V79" s="47">
        <f t="shared" si="52"/>
        <v>40237.122962798996</v>
      </c>
      <c r="W79" s="47">
        <f t="shared" si="52"/>
        <v>45206.407648704691</v>
      </c>
      <c r="X79" s="61">
        <f t="shared" si="52"/>
        <v>36940.225665999031</v>
      </c>
    </row>
    <row r="80" spans="6:25" ht="15.75">
      <c r="F80" s="222" t="s">
        <v>7</v>
      </c>
      <c r="G80" s="120"/>
      <c r="H80" s="120">
        <v>0</v>
      </c>
      <c r="I80" s="120">
        <v>1</v>
      </c>
      <c r="J80" s="120">
        <v>2</v>
      </c>
      <c r="K80" s="120">
        <v>3</v>
      </c>
      <c r="L80" s="120">
        <v>4</v>
      </c>
      <c r="M80" s="120">
        <v>5</v>
      </c>
      <c r="N80" s="223">
        <v>6</v>
      </c>
      <c r="Q80" s="104" t="s">
        <v>167</v>
      </c>
      <c r="R80" s="105"/>
      <c r="S80" s="105"/>
      <c r="T80" s="105"/>
      <c r="U80" s="105"/>
      <c r="V80" s="105"/>
      <c r="W80" s="105"/>
      <c r="X80" s="106"/>
    </row>
    <row r="81" spans="6:24" ht="15.75">
      <c r="F81" s="14" t="s">
        <v>15</v>
      </c>
      <c r="G81" s="80"/>
      <c r="H81" s="47"/>
      <c r="I81" s="47">
        <f t="shared" ref="I81:N81" si="53">I14</f>
        <v>27200</v>
      </c>
      <c r="J81" s="47">
        <f t="shared" si="53"/>
        <v>29104</v>
      </c>
      <c r="K81" s="47">
        <f t="shared" si="53"/>
        <v>31141.280000000002</v>
      </c>
      <c r="L81" s="47">
        <f t="shared" si="53"/>
        <v>33321.169600000001</v>
      </c>
      <c r="M81" s="47">
        <f t="shared" si="53"/>
        <v>35653.651472000005</v>
      </c>
      <c r="N81" s="61">
        <f t="shared" si="53"/>
        <v>0</v>
      </c>
      <c r="Q81" s="14" t="s">
        <v>34</v>
      </c>
      <c r="R81" s="47">
        <f>H64</f>
        <v>60000</v>
      </c>
      <c r="S81" s="47"/>
      <c r="T81" s="47"/>
      <c r="U81" s="47"/>
      <c r="V81" s="47"/>
      <c r="W81" s="47"/>
      <c r="X81" s="61"/>
    </row>
    <row r="82" spans="6:24" ht="15.75">
      <c r="F82" s="14" t="s">
        <v>40</v>
      </c>
      <c r="G82" s="80"/>
      <c r="H82" s="47"/>
      <c r="I82" s="47">
        <f t="shared" ref="I82:N83" si="54">I19</f>
        <v>3000</v>
      </c>
      <c r="J82" s="47">
        <f t="shared" si="54"/>
        <v>3000</v>
      </c>
      <c r="K82" s="47">
        <f t="shared" si="54"/>
        <v>3000</v>
      </c>
      <c r="L82" s="47">
        <f t="shared" si="54"/>
        <v>3000</v>
      </c>
      <c r="M82" s="47">
        <f t="shared" si="54"/>
        <v>3000</v>
      </c>
      <c r="N82" s="61">
        <f t="shared" si="54"/>
        <v>0</v>
      </c>
      <c r="Q82" s="14" t="s">
        <v>40</v>
      </c>
      <c r="R82" s="47"/>
      <c r="S82" s="47">
        <f t="shared" ref="S82:X83" si="55">I19</f>
        <v>3000</v>
      </c>
      <c r="T82" s="47">
        <f t="shared" si="55"/>
        <v>3000</v>
      </c>
      <c r="U82" s="47">
        <f t="shared" si="55"/>
        <v>3000</v>
      </c>
      <c r="V82" s="47">
        <f t="shared" si="55"/>
        <v>3000</v>
      </c>
      <c r="W82" s="47">
        <f t="shared" si="55"/>
        <v>3000</v>
      </c>
      <c r="X82" s="61">
        <f t="shared" si="55"/>
        <v>0</v>
      </c>
    </row>
    <row r="83" spans="6:24" ht="15.75">
      <c r="F83" s="14" t="s">
        <v>44</v>
      </c>
      <c r="G83" s="80"/>
      <c r="H83" s="47"/>
      <c r="I83" s="47">
        <f>I20</f>
        <v>10608</v>
      </c>
      <c r="J83" s="47">
        <f t="shared" si="54"/>
        <v>11350.56</v>
      </c>
      <c r="K83" s="47">
        <f t="shared" si="54"/>
        <v>12145.099200000001</v>
      </c>
      <c r="L83" s="47">
        <f t="shared" si="54"/>
        <v>12995.256144000001</v>
      </c>
      <c r="M83" s="47">
        <f t="shared" si="54"/>
        <v>13904.924074080003</v>
      </c>
      <c r="N83" s="61">
        <f t="shared" si="54"/>
        <v>0</v>
      </c>
      <c r="Q83" s="14" t="s">
        <v>44</v>
      </c>
      <c r="R83" s="47"/>
      <c r="S83" s="47">
        <f t="shared" si="55"/>
        <v>10608</v>
      </c>
      <c r="T83" s="47">
        <f t="shared" si="55"/>
        <v>11350.56</v>
      </c>
      <c r="U83" s="47">
        <f t="shared" si="55"/>
        <v>12145.099200000001</v>
      </c>
      <c r="V83" s="47">
        <f t="shared" si="55"/>
        <v>12995.256144000001</v>
      </c>
      <c r="W83" s="47">
        <f t="shared" si="55"/>
        <v>13904.924074080003</v>
      </c>
      <c r="X83" s="61">
        <f t="shared" si="55"/>
        <v>0</v>
      </c>
    </row>
    <row r="84" spans="6:24" ht="15.75">
      <c r="F84" s="14" t="s">
        <v>168</v>
      </c>
      <c r="G84" s="80"/>
      <c r="H84" s="47"/>
      <c r="I84" s="47">
        <f>I73</f>
        <v>6000</v>
      </c>
      <c r="J84" s="47">
        <f t="shared" ref="J84:M84" si="56">J73</f>
        <v>6000</v>
      </c>
      <c r="K84" s="47">
        <f t="shared" si="56"/>
        <v>6000</v>
      </c>
      <c r="L84" s="47">
        <f t="shared" si="56"/>
        <v>6000</v>
      </c>
      <c r="M84" s="47">
        <f t="shared" si="56"/>
        <v>6000</v>
      </c>
      <c r="N84" s="61"/>
      <c r="Q84" s="14" t="s">
        <v>133</v>
      </c>
      <c r="R84" s="47"/>
      <c r="S84" s="47">
        <f t="shared" ref="S84:X84" si="57">I57</f>
        <v>-2176</v>
      </c>
      <c r="T84" s="47">
        <f t="shared" si="57"/>
        <v>-152.32000000000016</v>
      </c>
      <c r="U84" s="47">
        <f t="shared" si="57"/>
        <v>-162.98239999999987</v>
      </c>
      <c r="V84" s="47">
        <f t="shared" si="57"/>
        <v>-174.39116800000011</v>
      </c>
      <c r="W84" s="47">
        <f t="shared" si="57"/>
        <v>-186.59854976000042</v>
      </c>
      <c r="X84" s="61">
        <f t="shared" si="57"/>
        <v>2852.2921177600006</v>
      </c>
    </row>
    <row r="85" spans="6:24" ht="15.75">
      <c r="F85" s="14" t="s">
        <v>170</v>
      </c>
      <c r="G85" s="80"/>
      <c r="H85" s="47"/>
      <c r="I85" s="47">
        <f>I81-SUM(I82:I84)</f>
        <v>7592</v>
      </c>
      <c r="J85" s="47">
        <f t="shared" ref="J85:N85" si="58">J81-SUM(J82:J84)</f>
        <v>8753.4400000000023</v>
      </c>
      <c r="K85" s="47">
        <f t="shared" si="58"/>
        <v>9996.1808000000019</v>
      </c>
      <c r="L85" s="47">
        <f t="shared" si="58"/>
        <v>11325.913456000002</v>
      </c>
      <c r="M85" s="47">
        <f t="shared" si="58"/>
        <v>12748.727397920004</v>
      </c>
      <c r="N85" s="61">
        <f t="shared" si="58"/>
        <v>0</v>
      </c>
      <c r="Q85" s="14" t="s">
        <v>138</v>
      </c>
      <c r="R85" s="47"/>
      <c r="S85" s="47">
        <f t="shared" ref="S85:X85" si="59">I50</f>
        <v>1360</v>
      </c>
      <c r="T85" s="47">
        <f t="shared" si="59"/>
        <v>95.200000000000045</v>
      </c>
      <c r="U85" s="47">
        <f t="shared" si="59"/>
        <v>101.86400000000026</v>
      </c>
      <c r="V85" s="47">
        <f t="shared" si="59"/>
        <v>108.99447999999984</v>
      </c>
      <c r="W85" s="47">
        <f t="shared" si="59"/>
        <v>116.62409360000015</v>
      </c>
      <c r="X85" s="61">
        <f t="shared" si="59"/>
        <v>-1782.6825736000003</v>
      </c>
    </row>
    <row r="86" spans="6:24" ht="15.75">
      <c r="F86" s="14" t="s">
        <v>171</v>
      </c>
      <c r="G86" s="80"/>
      <c r="H86" s="47"/>
      <c r="I86" s="47">
        <f>I32</f>
        <v>2400</v>
      </c>
      <c r="J86" s="47">
        <f t="shared" ref="J86:N86" si="60">J32</f>
        <v>1990.9045090395923</v>
      </c>
      <c r="K86" s="47">
        <f t="shared" si="60"/>
        <v>1549.0813788023518</v>
      </c>
      <c r="L86" s="47">
        <f t="shared" si="60"/>
        <v>1071.9123981461321</v>
      </c>
      <c r="M86" s="47">
        <f t="shared" si="60"/>
        <v>556.56989903741487</v>
      </c>
      <c r="N86" s="61">
        <f t="shared" si="60"/>
        <v>0</v>
      </c>
      <c r="Q86" s="14" t="s">
        <v>169</v>
      </c>
      <c r="R86" s="47"/>
      <c r="S86" s="47">
        <f t="shared" ref="S86:X86" si="61">I92</f>
        <v>1518.4</v>
      </c>
      <c r="T86" s="47">
        <f t="shared" si="61"/>
        <v>1750.6880000000006</v>
      </c>
      <c r="U86" s="47">
        <f t="shared" si="61"/>
        <v>1999.2361600000004</v>
      </c>
      <c r="V86" s="47">
        <f t="shared" si="61"/>
        <v>2265.1826912000006</v>
      </c>
      <c r="W86" s="47">
        <f t="shared" si="61"/>
        <v>2549.7454795840008</v>
      </c>
      <c r="X86" s="61">
        <f t="shared" si="61"/>
        <v>0</v>
      </c>
    </row>
    <row r="87" spans="6:24" ht="15.75">
      <c r="F87" s="14" t="s">
        <v>173</v>
      </c>
      <c r="G87" s="80"/>
      <c r="H87" s="47"/>
      <c r="I87" s="47">
        <f>I85-I86</f>
        <v>5192</v>
      </c>
      <c r="J87" s="47">
        <f t="shared" ref="J87:N87" si="62">J85-J86</f>
        <v>6762.5354909604102</v>
      </c>
      <c r="K87" s="47">
        <f t="shared" si="62"/>
        <v>8447.0994211976504</v>
      </c>
      <c r="L87" s="47">
        <f t="shared" si="62"/>
        <v>10254.001057853869</v>
      </c>
      <c r="M87" s="47">
        <f t="shared" si="62"/>
        <v>12192.157498882589</v>
      </c>
      <c r="N87" s="61">
        <f t="shared" si="62"/>
        <v>0</v>
      </c>
      <c r="Q87" s="11" t="s">
        <v>60</v>
      </c>
      <c r="R87" s="47">
        <f>SUM(R81:R86)*H3</f>
        <v>60000</v>
      </c>
      <c r="S87" s="47">
        <f>SUM(S81:S86)*I3</f>
        <v>15025.92</v>
      </c>
      <c r="T87" s="47">
        <f t="shared" ref="T87:X87" si="63">SUM(T81:T86)*J3</f>
        <v>17688.651120000002</v>
      </c>
      <c r="U87" s="47">
        <f t="shared" si="63"/>
        <v>19775.959033319999</v>
      </c>
      <c r="V87" s="47">
        <f t="shared" si="63"/>
        <v>22116.187448935023</v>
      </c>
      <c r="W87" s="47">
        <f t="shared" si="63"/>
        <v>24740.328947628499</v>
      </c>
      <c r="X87" s="61">
        <f t="shared" si="63"/>
        <v>1433.3790872997097</v>
      </c>
    </row>
    <row r="88" spans="6:24" ht="15.75">
      <c r="F88" s="14" t="s">
        <v>56</v>
      </c>
      <c r="G88" s="80"/>
      <c r="H88" s="47"/>
      <c r="I88" s="47">
        <f>I87*$B$42</f>
        <v>1038.4000000000001</v>
      </c>
      <c r="J88" s="47">
        <f t="shared" ref="J88:N88" si="64">J87*$B$42</f>
        <v>1352.5070981920821</v>
      </c>
      <c r="K88" s="47">
        <f t="shared" si="64"/>
        <v>1689.4198842395301</v>
      </c>
      <c r="L88" s="47">
        <f t="shared" si="64"/>
        <v>2050.8002115707741</v>
      </c>
      <c r="M88" s="47">
        <f t="shared" si="64"/>
        <v>2438.4314997765177</v>
      </c>
      <c r="N88" s="61">
        <f t="shared" si="64"/>
        <v>0</v>
      </c>
      <c r="Q88" s="14" t="s">
        <v>172</v>
      </c>
      <c r="R88" s="47">
        <f>R79-R87</f>
        <v>-60000</v>
      </c>
      <c r="S88" s="47">
        <f t="shared" ref="S88:X88" si="65">S79-S87</f>
        <v>10678.08</v>
      </c>
      <c r="T88" s="47">
        <f t="shared" si="65"/>
        <v>14188.592879999997</v>
      </c>
      <c r="U88" s="47">
        <f t="shared" si="65"/>
        <v>16038.12460068001</v>
      </c>
      <c r="V88" s="47">
        <f t="shared" si="65"/>
        <v>18120.935513863973</v>
      </c>
      <c r="W88" s="47">
        <f t="shared" si="65"/>
        <v>20466.078701076192</v>
      </c>
      <c r="X88" s="61">
        <f t="shared" si="65"/>
        <v>35506.846578699318</v>
      </c>
    </row>
    <row r="89" spans="6:24" ht="15.75">
      <c r="F89" s="14" t="s">
        <v>174</v>
      </c>
      <c r="G89" s="80"/>
      <c r="H89" s="47"/>
      <c r="I89" s="47">
        <f>I87-I88</f>
        <v>4153.6000000000004</v>
      </c>
      <c r="J89" s="47">
        <f t="shared" ref="J89:N89" si="66">J87-J88</f>
        <v>5410.0283927683286</v>
      </c>
      <c r="K89" s="47">
        <f t="shared" si="66"/>
        <v>6757.6795369581205</v>
      </c>
      <c r="L89" s="47">
        <f t="shared" si="66"/>
        <v>8203.2008462830963</v>
      </c>
      <c r="M89" s="47">
        <f t="shared" si="66"/>
        <v>9753.725999106071</v>
      </c>
      <c r="N89" s="61">
        <f t="shared" si="66"/>
        <v>0</v>
      </c>
      <c r="Q89" s="14" t="s">
        <v>70</v>
      </c>
      <c r="R89" s="47">
        <f>PV($B$41,R74,,-R88)</f>
        <v>-60000</v>
      </c>
      <c r="S89" s="47">
        <f t="shared" ref="S89:X89" si="67">PV($B$41,S74,,-S88)</f>
        <v>9576.7533632286995</v>
      </c>
      <c r="T89" s="47">
        <f t="shared" si="67"/>
        <v>11412.731307687664</v>
      </c>
      <c r="U89" s="47">
        <f t="shared" si="67"/>
        <v>11569.883369246074</v>
      </c>
      <c r="V89" s="47">
        <f t="shared" si="67"/>
        <v>11724.144037090107</v>
      </c>
      <c r="W89" s="47">
        <f t="shared" si="67"/>
        <v>11875.729665531806</v>
      </c>
      <c r="X89" s="61">
        <f t="shared" si="67"/>
        <v>18478.337679975943</v>
      </c>
    </row>
    <row r="90" spans="6:24" ht="15.75">
      <c r="F90" s="14" t="s">
        <v>175</v>
      </c>
      <c r="H90" s="47"/>
      <c r="I90" s="47"/>
      <c r="J90" s="47"/>
      <c r="K90" s="47"/>
      <c r="L90" s="47"/>
      <c r="M90" s="47"/>
      <c r="N90" s="61">
        <f>M77</f>
        <v>24000</v>
      </c>
      <c r="Q90" s="135" t="s">
        <v>49</v>
      </c>
      <c r="R90" s="133">
        <f>NPV(B41,S88:X88)+R88</f>
        <v>14637.579422760289</v>
      </c>
      <c r="S90" s="47"/>
      <c r="T90" s="47"/>
      <c r="U90" s="47"/>
      <c r="V90" s="47"/>
      <c r="W90" s="47"/>
      <c r="X90" s="61"/>
    </row>
    <row r="91" spans="6:24" ht="15.75">
      <c r="F91" s="14" t="s">
        <v>176</v>
      </c>
      <c r="H91" s="47"/>
      <c r="I91" s="47">
        <f>I89+I90+I84</f>
        <v>10153.6</v>
      </c>
      <c r="J91" s="47">
        <f t="shared" ref="J91:N91" si="68">J89+J90+J84</f>
        <v>11410.028392768329</v>
      </c>
      <c r="K91" s="47">
        <f t="shared" si="68"/>
        <v>12757.67953695812</v>
      </c>
      <c r="L91" s="47">
        <f t="shared" si="68"/>
        <v>14203.200846283096</v>
      </c>
      <c r="M91" s="47">
        <f t="shared" si="68"/>
        <v>15753.725999106071</v>
      </c>
      <c r="N91" s="61">
        <f t="shared" si="68"/>
        <v>24000</v>
      </c>
      <c r="Q91" s="135" t="s">
        <v>73</v>
      </c>
      <c r="R91" s="224">
        <f>IRR(R88:X88)</f>
        <v>0.18240774630912004</v>
      </c>
      <c r="S91" s="47"/>
      <c r="T91" s="47"/>
      <c r="U91" s="47"/>
      <c r="V91" s="47"/>
      <c r="W91" s="47"/>
      <c r="X91" s="61"/>
    </row>
    <row r="92" spans="6:24" ht="16.5" thickBot="1">
      <c r="F92" s="225" t="s">
        <v>177</v>
      </c>
      <c r="G92" s="226"/>
      <c r="H92" s="226"/>
      <c r="I92" s="227">
        <f>I85*$B$42</f>
        <v>1518.4</v>
      </c>
      <c r="J92" s="227">
        <f t="shared" ref="J92:M92" si="69">J85*$B$42</f>
        <v>1750.6880000000006</v>
      </c>
      <c r="K92" s="227">
        <f t="shared" si="69"/>
        <v>1999.2361600000004</v>
      </c>
      <c r="L92" s="227">
        <f t="shared" si="69"/>
        <v>2265.1826912000006</v>
      </c>
      <c r="M92" s="227">
        <f t="shared" si="69"/>
        <v>2549.7454795840008</v>
      </c>
      <c r="N92" s="228">
        <f>N85*$B$42</f>
        <v>0</v>
      </c>
      <c r="Q92" s="14" t="s">
        <v>77</v>
      </c>
      <c r="R92" s="47">
        <f>NPV(B41,S79:X79)</f>
        <v>146019.05705696202</v>
      </c>
      <c r="S92" s="47"/>
      <c r="T92" s="47"/>
      <c r="U92" s="47"/>
      <c r="V92" s="47"/>
      <c r="W92" s="47"/>
      <c r="X92" s="61"/>
    </row>
    <row r="93" spans="6:24" ht="15.75">
      <c r="G93" s="80"/>
      <c r="I93" s="54"/>
      <c r="J93" s="54"/>
      <c r="K93" s="54"/>
      <c r="L93" s="54"/>
      <c r="M93" s="54"/>
      <c r="N93" s="80"/>
      <c r="Q93" s="14" t="s">
        <v>81</v>
      </c>
      <c r="R93" s="47">
        <f>NPV(B41,S87:X87)+R87</f>
        <v>131381.47763420173</v>
      </c>
      <c r="S93" s="47"/>
      <c r="T93" s="47"/>
      <c r="U93" s="47"/>
      <c r="V93" s="47"/>
      <c r="W93" s="47"/>
      <c r="X93" s="61"/>
    </row>
    <row r="94" spans="6:24" ht="15.75">
      <c r="F94" s="107"/>
      <c r="G94" s="80"/>
      <c r="I94" s="80"/>
      <c r="J94" s="80"/>
      <c r="K94" s="80"/>
      <c r="L94" s="80"/>
      <c r="M94" s="80"/>
      <c r="Q94" s="135" t="s">
        <v>84</v>
      </c>
      <c r="R94" s="89">
        <f>R92/R93</f>
        <v>1.1114128086115374</v>
      </c>
      <c r="S94" s="47"/>
      <c r="T94" s="47"/>
      <c r="U94" s="47"/>
      <c r="V94" s="47"/>
      <c r="W94" s="47"/>
      <c r="X94" s="61"/>
    </row>
    <row r="95" spans="6:24" ht="15.75">
      <c r="F95" s="12"/>
      <c r="G95" s="80"/>
      <c r="H95" s="80"/>
      <c r="I95" s="108"/>
      <c r="J95" s="108"/>
      <c r="K95" s="108"/>
      <c r="L95" s="108"/>
      <c r="M95" s="108"/>
      <c r="Q95" s="14" t="s">
        <v>178</v>
      </c>
      <c r="R95" s="47">
        <f>R88</f>
        <v>-60000</v>
      </c>
      <c r="S95" s="118">
        <f>R95+S88</f>
        <v>-49321.919999999998</v>
      </c>
      <c r="T95" s="118">
        <f t="shared" ref="T95:X95" si="70">S95+T88</f>
        <v>-35133.327120000002</v>
      </c>
      <c r="U95" s="118">
        <f t="shared" si="70"/>
        <v>-19095.202519319992</v>
      </c>
      <c r="V95" s="118">
        <f t="shared" si="70"/>
        <v>-974.26700545601852</v>
      </c>
      <c r="W95" s="118">
        <f t="shared" si="70"/>
        <v>19491.811695620174</v>
      </c>
      <c r="X95" s="138">
        <f t="shared" si="70"/>
        <v>54998.658274319489</v>
      </c>
    </row>
    <row r="96" spans="6:24" ht="15.75">
      <c r="F96" s="12"/>
      <c r="G96" s="80"/>
      <c r="H96" s="80"/>
      <c r="I96" s="80"/>
      <c r="J96" s="80"/>
      <c r="K96" s="80"/>
      <c r="L96" s="80"/>
      <c r="M96" s="80"/>
      <c r="Q96" s="14"/>
      <c r="R96" s="47"/>
      <c r="S96" s="47"/>
      <c r="T96" s="132"/>
      <c r="V96" s="189">
        <f>MOD(W96,1)*30</f>
        <v>17.137436393505293</v>
      </c>
      <c r="W96" s="37">
        <f>-V95/X96</f>
        <v>0.57124787978350977</v>
      </c>
      <c r="X96" s="139">
        <f>(-V95+W95)/12</f>
        <v>1705.506558423016</v>
      </c>
    </row>
    <row r="97" spans="6:24" ht="15.75">
      <c r="F97" s="12"/>
      <c r="G97" s="80"/>
      <c r="H97" s="80"/>
      <c r="I97" s="108"/>
      <c r="J97" s="108"/>
      <c r="K97" s="108"/>
      <c r="L97" s="108"/>
      <c r="M97" s="108"/>
      <c r="Q97" s="14" t="s">
        <v>146</v>
      </c>
      <c r="R97" s="46" t="str">
        <f>IF(ISNA(AW5), "Lỗ liên tục qua 6 năm",INT(AW5) &amp; "Y" &amp; INT((AW5-INT(AW5))*12) &amp; "M" &amp; ROUND((((AW5-INT(AW5))*12)-INT((AW5-INT(AW5))*12))*30, 0) &amp; "D")</f>
        <v>4Y0M17D</v>
      </c>
      <c r="T97" s="47"/>
      <c r="U97" s="47"/>
      <c r="V97" s="47"/>
      <c r="W97" s="47"/>
      <c r="X97" s="61"/>
    </row>
    <row r="98" spans="6:24" ht="15.75">
      <c r="F98" s="12"/>
      <c r="G98" s="80"/>
      <c r="H98" s="80"/>
      <c r="I98" s="109"/>
      <c r="J98" s="109"/>
      <c r="K98" s="109"/>
      <c r="L98" s="109"/>
      <c r="M98" s="109"/>
      <c r="Q98" s="14" t="s">
        <v>179</v>
      </c>
      <c r="R98" s="47">
        <f>R89</f>
        <v>-60000</v>
      </c>
      <c r="S98" s="118">
        <f>R98+S89</f>
        <v>-50423.246636771299</v>
      </c>
      <c r="T98" s="118">
        <f t="shared" ref="T98:X98" si="71">S98+T89</f>
        <v>-39010.515329083632</v>
      </c>
      <c r="U98" s="118">
        <f t="shared" si="71"/>
        <v>-27440.631959837556</v>
      </c>
      <c r="V98" s="118">
        <f t="shared" si="71"/>
        <v>-15716.487922747448</v>
      </c>
      <c r="W98" s="118">
        <f t="shared" si="71"/>
        <v>-3840.7582572156425</v>
      </c>
      <c r="X98" s="138">
        <f t="shared" si="71"/>
        <v>14637.5794227603</v>
      </c>
    </row>
    <row r="99" spans="6:24" ht="15.75">
      <c r="F99" s="12"/>
      <c r="G99" s="80"/>
      <c r="H99" s="80"/>
      <c r="Q99" s="14"/>
      <c r="R99" s="47"/>
      <c r="S99" s="47"/>
      <c r="T99" s="216"/>
      <c r="U99" s="193"/>
      <c r="V99" s="189">
        <f>MOD(W99,1)*30</f>
        <v>14.82669688929677</v>
      </c>
      <c r="W99" s="37">
        <f>-W98/X99</f>
        <v>2.4942232296432256</v>
      </c>
      <c r="X99" s="139">
        <f>(-W98+X98)/12</f>
        <v>1539.8614733313286</v>
      </c>
    </row>
    <row r="100" spans="6:24" ht="16.5" thickBot="1">
      <c r="F100" s="12"/>
      <c r="H100" s="80"/>
      <c r="Q100" s="24" t="s">
        <v>148</v>
      </c>
      <c r="R100" s="180" t="str">
        <f>IF(ISNA(AW6), "Lỗ liên tục qua 6 năm",INT(AW6) &amp; "Y" &amp; INT((AW6-INT(AW6))*12) &amp; "M" &amp; ROUND((((AW6-INT(AW6))*12)-INT((AW6-INT(AW6))*12))*30, 0) &amp; "D")</f>
        <v>5Y2M15D</v>
      </c>
      <c r="S100" s="167"/>
      <c r="T100" s="62"/>
      <c r="U100" s="62"/>
      <c r="V100" s="62"/>
      <c r="W100" s="62"/>
      <c r="X100" s="110"/>
    </row>
    <row r="101" spans="6:24" ht="15.75">
      <c r="F101" s="12"/>
      <c r="H101" s="80"/>
    </row>
    <row r="102" spans="6:24" ht="15.75" thickBot="1"/>
    <row r="103" spans="6:24" ht="18.75">
      <c r="Q103" s="111" t="s">
        <v>180</v>
      </c>
      <c r="R103" s="112"/>
      <c r="S103" s="112"/>
      <c r="T103" s="112"/>
      <c r="U103" s="112"/>
      <c r="V103" s="112"/>
      <c r="W103" s="112"/>
      <c r="X103" s="113"/>
    </row>
    <row r="104" spans="6:24" ht="15.75">
      <c r="Q104" s="114" t="s">
        <v>7</v>
      </c>
      <c r="R104" s="5">
        <v>0</v>
      </c>
      <c r="S104" s="5">
        <v>1</v>
      </c>
      <c r="T104" s="5">
        <v>2</v>
      </c>
      <c r="U104" s="5">
        <v>3</v>
      </c>
      <c r="V104" s="5">
        <v>4</v>
      </c>
      <c r="W104" s="5">
        <v>5</v>
      </c>
      <c r="X104" s="6">
        <v>6</v>
      </c>
    </row>
    <row r="105" spans="6:24">
      <c r="Q105" s="115" t="s">
        <v>10</v>
      </c>
      <c r="R105" s="72"/>
      <c r="S105" s="116"/>
      <c r="T105" s="72"/>
      <c r="U105" s="72"/>
      <c r="V105" s="72"/>
      <c r="W105" s="72"/>
      <c r="X105" s="117"/>
    </row>
    <row r="106" spans="6:24" ht="15.75">
      <c r="Q106" s="14" t="s">
        <v>15</v>
      </c>
      <c r="R106" s="47"/>
      <c r="S106" s="47">
        <f t="shared" ref="S106:X106" si="72">I14</f>
        <v>27200</v>
      </c>
      <c r="T106" s="47">
        <f t="shared" si="72"/>
        <v>29104</v>
      </c>
      <c r="U106" s="47">
        <f t="shared" si="72"/>
        <v>31141.280000000002</v>
      </c>
      <c r="V106" s="47">
        <f t="shared" si="72"/>
        <v>33321.169600000001</v>
      </c>
      <c r="W106" s="47">
        <f t="shared" si="72"/>
        <v>35653.651472000005</v>
      </c>
      <c r="X106" s="61">
        <f t="shared" si="72"/>
        <v>0</v>
      </c>
    </row>
    <row r="107" spans="6:24" ht="15.75">
      <c r="Q107" s="14" t="s">
        <v>115</v>
      </c>
      <c r="R107" s="47">
        <f>H36</f>
        <v>30000</v>
      </c>
      <c r="S107" s="47"/>
      <c r="T107" s="47"/>
      <c r="U107" s="47"/>
      <c r="V107" s="47"/>
      <c r="W107" s="47"/>
      <c r="X107" s="61"/>
    </row>
    <row r="108" spans="6:24" ht="15.75">
      <c r="Q108" s="14" t="s">
        <v>18</v>
      </c>
      <c r="R108" s="47"/>
      <c r="S108" s="47">
        <f t="shared" ref="S108:X108" si="73">I53</f>
        <v>-2720</v>
      </c>
      <c r="T108" s="47">
        <f t="shared" si="73"/>
        <v>-190.40000000000009</v>
      </c>
      <c r="U108" s="47">
        <f t="shared" si="73"/>
        <v>-203.72800000000052</v>
      </c>
      <c r="V108" s="47">
        <f t="shared" si="73"/>
        <v>-217.98895999999968</v>
      </c>
      <c r="W108" s="47">
        <f t="shared" si="73"/>
        <v>-233.2481872000003</v>
      </c>
      <c r="X108" s="61">
        <f t="shared" si="73"/>
        <v>3565.3651472000006</v>
      </c>
    </row>
    <row r="109" spans="6:24" ht="15.75">
      <c r="Q109" s="14" t="s">
        <v>22</v>
      </c>
      <c r="R109" s="47"/>
      <c r="S109" s="47"/>
      <c r="T109" s="47"/>
      <c r="U109" s="47"/>
      <c r="V109" s="47"/>
      <c r="W109" s="47"/>
      <c r="X109" s="61">
        <f>M77</f>
        <v>24000</v>
      </c>
    </row>
    <row r="110" spans="6:24" ht="15.75">
      <c r="Q110" s="11" t="s">
        <v>28</v>
      </c>
      <c r="R110" s="47">
        <f>SUM(R106:R109)*H3</f>
        <v>30000</v>
      </c>
      <c r="S110" s="47">
        <f t="shared" ref="S110:X110" si="74">SUM(S106:S109)*I3</f>
        <v>25704</v>
      </c>
      <c r="T110" s="47">
        <f t="shared" si="74"/>
        <v>31877.243999999999</v>
      </c>
      <c r="U110" s="47">
        <f t="shared" si="74"/>
        <v>35814.08363400001</v>
      </c>
      <c r="V110" s="47">
        <f t="shared" si="74"/>
        <v>40237.122962798996</v>
      </c>
      <c r="W110" s="47">
        <f t="shared" si="74"/>
        <v>45206.407648704691</v>
      </c>
      <c r="X110" s="61">
        <f t="shared" si="74"/>
        <v>36940.225665999031</v>
      </c>
    </row>
    <row r="111" spans="6:24">
      <c r="Q111" s="17" t="s">
        <v>10</v>
      </c>
      <c r="R111" s="18"/>
      <c r="S111" s="19"/>
      <c r="T111" s="18"/>
      <c r="U111" s="18"/>
      <c r="V111" s="18"/>
      <c r="W111" s="18"/>
      <c r="X111" s="20"/>
    </row>
    <row r="112" spans="6:24" ht="15.75">
      <c r="Q112" s="14" t="s">
        <v>34</v>
      </c>
      <c r="R112" s="47">
        <f>H64</f>
        <v>60000</v>
      </c>
      <c r="S112" s="47"/>
      <c r="T112" s="47"/>
      <c r="U112" s="47"/>
      <c r="V112" s="47"/>
      <c r="W112" s="47"/>
      <c r="X112" s="61"/>
    </row>
    <row r="113" spans="17:24" ht="15.75">
      <c r="Q113" s="14" t="s">
        <v>40</v>
      </c>
      <c r="R113" s="47"/>
      <c r="S113" s="47">
        <f t="shared" ref="S113:X114" si="75">I19</f>
        <v>3000</v>
      </c>
      <c r="T113" s="47">
        <f t="shared" si="75"/>
        <v>3000</v>
      </c>
      <c r="U113" s="47">
        <f t="shared" si="75"/>
        <v>3000</v>
      </c>
      <c r="V113" s="47">
        <f t="shared" si="75"/>
        <v>3000</v>
      </c>
      <c r="W113" s="47">
        <f t="shared" si="75"/>
        <v>3000</v>
      </c>
      <c r="X113" s="61">
        <f t="shared" si="75"/>
        <v>0</v>
      </c>
    </row>
    <row r="114" spans="17:24" ht="15.75">
      <c r="Q114" s="14" t="s">
        <v>44</v>
      </c>
      <c r="R114" s="47"/>
      <c r="S114" s="47">
        <f t="shared" si="75"/>
        <v>10608</v>
      </c>
      <c r="T114" s="47">
        <f t="shared" si="75"/>
        <v>11350.56</v>
      </c>
      <c r="U114" s="47">
        <f t="shared" si="75"/>
        <v>12145.099200000001</v>
      </c>
      <c r="V114" s="47">
        <f t="shared" si="75"/>
        <v>12995.256144000001</v>
      </c>
      <c r="W114" s="47">
        <f t="shared" si="75"/>
        <v>13904.924074080003</v>
      </c>
      <c r="X114" s="61">
        <f t="shared" si="75"/>
        <v>0</v>
      </c>
    </row>
    <row r="115" spans="17:24" ht="15.75">
      <c r="Q115" s="14" t="s">
        <v>133</v>
      </c>
      <c r="R115" s="47"/>
      <c r="S115" s="47">
        <f t="shared" ref="S115:X115" si="76">I57</f>
        <v>-2176</v>
      </c>
      <c r="T115" s="47">
        <f t="shared" si="76"/>
        <v>-152.32000000000016</v>
      </c>
      <c r="U115" s="47">
        <f t="shared" si="76"/>
        <v>-162.98239999999987</v>
      </c>
      <c r="V115" s="47">
        <f t="shared" si="76"/>
        <v>-174.39116800000011</v>
      </c>
      <c r="W115" s="47">
        <f t="shared" si="76"/>
        <v>-186.59854976000042</v>
      </c>
      <c r="X115" s="61">
        <f t="shared" si="76"/>
        <v>2852.2921177600006</v>
      </c>
    </row>
    <row r="116" spans="17:24" ht="15.75">
      <c r="Q116" s="14" t="s">
        <v>138</v>
      </c>
      <c r="R116" s="47"/>
      <c r="S116" s="47">
        <f t="shared" ref="S116:X116" si="77">I50</f>
        <v>1360</v>
      </c>
      <c r="T116" s="47">
        <f t="shared" si="77"/>
        <v>95.200000000000045</v>
      </c>
      <c r="U116" s="47">
        <f t="shared" si="77"/>
        <v>101.86400000000026</v>
      </c>
      <c r="V116" s="47">
        <f t="shared" si="77"/>
        <v>108.99447999999984</v>
      </c>
      <c r="W116" s="47">
        <f t="shared" si="77"/>
        <v>116.62409360000015</v>
      </c>
      <c r="X116" s="61">
        <f t="shared" si="77"/>
        <v>-1782.6825736000003</v>
      </c>
    </row>
    <row r="117" spans="17:24" ht="15.75">
      <c r="Q117" s="14" t="s">
        <v>181</v>
      </c>
      <c r="R117" s="47"/>
      <c r="S117" s="47">
        <f>I33</f>
        <v>7513.693637005098</v>
      </c>
      <c r="T117" s="47">
        <f>J33</f>
        <v>7513.693637005098</v>
      </c>
      <c r="U117" s="47">
        <f>K33</f>
        <v>7513.693637005098</v>
      </c>
      <c r="V117" s="47">
        <f>L33</f>
        <v>7513.693637005098</v>
      </c>
      <c r="W117" s="47">
        <f>M33</f>
        <v>7513.693637005098</v>
      </c>
      <c r="X117" s="61"/>
    </row>
    <row r="118" spans="17:24" ht="15.75">
      <c r="Q118" s="14" t="s">
        <v>169</v>
      </c>
      <c r="R118" s="47"/>
      <c r="S118" s="47">
        <f>I88</f>
        <v>1038.4000000000001</v>
      </c>
      <c r="T118" s="47">
        <f>J88</f>
        <v>1352.5070981920821</v>
      </c>
      <c r="U118" s="47">
        <f>K88</f>
        <v>1689.4198842395301</v>
      </c>
      <c r="V118" s="47">
        <f>L88</f>
        <v>2050.8002115707741</v>
      </c>
      <c r="W118" s="47">
        <f>M88</f>
        <v>2438.4314997765177</v>
      </c>
      <c r="X118" s="61"/>
    </row>
    <row r="119" spans="17:24" ht="15.75">
      <c r="Q119" s="11" t="s">
        <v>60</v>
      </c>
      <c r="R119" s="47">
        <f>SUM(R112:R118)*H3</f>
        <v>60000</v>
      </c>
      <c r="S119" s="47">
        <f t="shared" ref="S119:X119" si="78">SUM(S112:S118)*I3</f>
        <v>22411.298318855355</v>
      </c>
      <c r="T119" s="47">
        <f t="shared" si="78"/>
        <v>25533.503910554897</v>
      </c>
      <c r="U119" s="47">
        <f t="shared" si="78"/>
        <v>28115.347563630818</v>
      </c>
      <c r="V119" s="47">
        <f t="shared" si="78"/>
        <v>30988.545781420129</v>
      </c>
      <c r="W119" s="47">
        <f t="shared" si="78"/>
        <v>34187.849622734888</v>
      </c>
      <c r="X119" s="61">
        <f t="shared" si="78"/>
        <v>1433.3790872997097</v>
      </c>
    </row>
    <row r="120" spans="17:24" ht="15.75">
      <c r="Q120" s="14" t="s">
        <v>172</v>
      </c>
      <c r="R120" s="47">
        <f>R110-R119</f>
        <v>-30000</v>
      </c>
      <c r="S120" s="47">
        <f t="shared" ref="S120:X120" si="79">S110-S119</f>
        <v>3292.7016811446447</v>
      </c>
      <c r="T120" s="47">
        <f t="shared" si="79"/>
        <v>6343.7400894451021</v>
      </c>
      <c r="U120" s="47">
        <f t="shared" si="79"/>
        <v>7698.736070369192</v>
      </c>
      <c r="V120" s="47">
        <f t="shared" si="79"/>
        <v>9248.577181378867</v>
      </c>
      <c r="W120" s="47">
        <f t="shared" si="79"/>
        <v>11018.558025969804</v>
      </c>
      <c r="X120" s="61">
        <f t="shared" si="79"/>
        <v>35506.846578699318</v>
      </c>
    </row>
    <row r="121" spans="17:24" ht="15.75">
      <c r="Q121" s="14" t="s">
        <v>182</v>
      </c>
      <c r="R121" s="47">
        <f>PV($B$38,R104,,-R120)</f>
        <v>-30000</v>
      </c>
      <c r="S121" s="47">
        <f t="shared" ref="S121:X121" si="80">PV($B$38,S104,,-S120)</f>
        <v>2863.2188531692564</v>
      </c>
      <c r="T121" s="47">
        <f t="shared" si="80"/>
        <v>4796.7788956106642</v>
      </c>
      <c r="U121" s="47">
        <f t="shared" si="80"/>
        <v>5062.0439354774026</v>
      </c>
      <c r="V121" s="47">
        <f t="shared" si="80"/>
        <v>5287.9040205710353</v>
      </c>
      <c r="W121" s="47">
        <f t="shared" si="80"/>
        <v>5478.1707070464363</v>
      </c>
      <c r="X121" s="61">
        <f t="shared" si="80"/>
        <v>15350.589619769549</v>
      </c>
    </row>
    <row r="122" spans="17:24" ht="15.75">
      <c r="Q122" s="135" t="s">
        <v>49</v>
      </c>
      <c r="R122" s="133">
        <f>NPV(B38,S120:X120)+R120</f>
        <v>8838.7060316443458</v>
      </c>
      <c r="S122" s="47"/>
      <c r="T122" s="47"/>
      <c r="U122" s="47"/>
      <c r="V122" s="47"/>
      <c r="W122" s="47"/>
      <c r="X122" s="61"/>
    </row>
    <row r="123" spans="17:24" ht="15.75">
      <c r="Q123" s="135" t="s">
        <v>73</v>
      </c>
      <c r="R123" s="224">
        <f>IRR(R120:X120)</f>
        <v>0.22215632137718022</v>
      </c>
      <c r="S123" s="47"/>
      <c r="T123" s="47"/>
      <c r="U123" s="47"/>
      <c r="V123" s="47"/>
      <c r="W123" s="47"/>
      <c r="X123" s="61"/>
    </row>
    <row r="124" spans="17:24" ht="15.75">
      <c r="Q124" s="14" t="s">
        <v>77</v>
      </c>
      <c r="R124" s="47">
        <f>NPV(B38,S110:X110)+R110</f>
        <v>161454.98063959705</v>
      </c>
      <c r="S124" s="47"/>
      <c r="T124" s="47"/>
      <c r="U124" s="47"/>
      <c r="V124" s="47"/>
      <c r="W124" s="47"/>
      <c r="X124" s="61"/>
    </row>
    <row r="125" spans="17:24" ht="15.75">
      <c r="Q125" s="14" t="s">
        <v>81</v>
      </c>
      <c r="R125" s="47">
        <f>NPV(B38,S119:X119)+R119</f>
        <v>152616.27460795271</v>
      </c>
      <c r="S125" s="47"/>
      <c r="T125" s="47"/>
      <c r="U125" s="47"/>
      <c r="V125" s="47"/>
      <c r="W125" s="47"/>
      <c r="X125" s="61"/>
    </row>
    <row r="126" spans="17:24" ht="15.75">
      <c r="Q126" s="135" t="s">
        <v>84</v>
      </c>
      <c r="R126" s="224">
        <f>R124/R125</f>
        <v>1.0579145707386031</v>
      </c>
      <c r="S126" s="47"/>
      <c r="T126" s="47"/>
      <c r="U126" s="47"/>
      <c r="V126" s="47"/>
      <c r="W126" s="47"/>
      <c r="X126" s="61"/>
    </row>
    <row r="127" spans="17:24" ht="15.75">
      <c r="Q127" s="14" t="s">
        <v>178</v>
      </c>
      <c r="R127" s="47">
        <f>R120</f>
        <v>-30000</v>
      </c>
      <c r="S127" s="118">
        <f>R127+S120</f>
        <v>-26707.298318855355</v>
      </c>
      <c r="T127" s="118">
        <f t="shared" ref="T127:X127" si="81">S127+T120</f>
        <v>-20363.558229410253</v>
      </c>
      <c r="U127" s="118">
        <f t="shared" si="81"/>
        <v>-12664.822159041061</v>
      </c>
      <c r="V127" s="118">
        <f t="shared" si="81"/>
        <v>-3416.2449776621943</v>
      </c>
      <c r="W127" s="118">
        <f t="shared" si="81"/>
        <v>7602.3130483076093</v>
      </c>
      <c r="X127" s="138">
        <f t="shared" si="81"/>
        <v>43109.159627006928</v>
      </c>
    </row>
    <row r="128" spans="17:24" ht="15.75">
      <c r="Q128" s="14"/>
      <c r="R128" s="47"/>
      <c r="S128" s="47"/>
      <c r="T128" s="216"/>
      <c r="U128" s="193"/>
      <c r="V128" s="189">
        <f>MOD(W128,1)*30</f>
        <v>12.92098676449136</v>
      </c>
      <c r="W128" s="37">
        <f>-W127/X128</f>
        <v>-2.5693004411836213</v>
      </c>
      <c r="X128" s="139">
        <f>(-W127+X127)/12</f>
        <v>2958.9038815582767</v>
      </c>
    </row>
    <row r="129" spans="17:24" ht="15.75">
      <c r="Q129" s="14" t="s">
        <v>146</v>
      </c>
      <c r="R129" s="46" t="str">
        <f>IF(ISNA(AX7), "Lỗ liên tục qua 6 năm",INT(AX7) &amp; "Y" &amp; INT((AX7-INT(AX7))*12) &amp; "M" &amp; ROUND((((AX7-INT(AX7))*12)-INT((AX7-INT(AX7))*12))*30, 0) &amp; "D")</f>
        <v>4Y3M22D</v>
      </c>
      <c r="T129" s="47"/>
      <c r="U129" s="47"/>
      <c r="V129" s="47"/>
      <c r="W129" s="47"/>
      <c r="X129" s="61"/>
    </row>
    <row r="130" spans="17:24" ht="15.75">
      <c r="Q130" s="14" t="s">
        <v>179</v>
      </c>
      <c r="R130" s="47">
        <f>R121</f>
        <v>-30000</v>
      </c>
      <c r="S130" s="118">
        <f>R130+S121</f>
        <v>-27136.781146830745</v>
      </c>
      <c r="T130" s="118">
        <f t="shared" ref="T130:X130" si="82">S130+T121</f>
        <v>-22340.002251220081</v>
      </c>
      <c r="U130" s="118">
        <f t="shared" si="82"/>
        <v>-17277.958315742679</v>
      </c>
      <c r="V130" s="118">
        <f t="shared" si="82"/>
        <v>-11990.054295171643</v>
      </c>
      <c r="W130" s="118">
        <f t="shared" si="82"/>
        <v>-6511.8835881252071</v>
      </c>
      <c r="X130" s="138">
        <f t="shared" si="82"/>
        <v>8838.7060316443421</v>
      </c>
    </row>
    <row r="131" spans="17:24" ht="15.75">
      <c r="Q131" s="14"/>
      <c r="R131" s="47"/>
      <c r="S131" s="47"/>
      <c r="T131" s="216"/>
      <c r="U131" s="193"/>
      <c r="V131" s="189">
        <f>MOD(W131,1)*30</f>
        <v>2.7158337101235119</v>
      </c>
      <c r="W131" s="37">
        <f>-W130/X131</f>
        <v>5.0905277903374504</v>
      </c>
      <c r="X131" s="139">
        <f>(-W130+X130)/12</f>
        <v>1279.2158016474625</v>
      </c>
    </row>
    <row r="132" spans="17:24" ht="16.5" thickBot="1">
      <c r="Q132" s="24" t="s">
        <v>148</v>
      </c>
      <c r="R132" s="180" t="str">
        <f>IF(ISNA(AX8), "Lỗ liên tục qua 6 năm", INT(AX8) &amp; "Y" &amp; INT((AX8-INT(AX8))*12) &amp; "M" &amp; ROUND((((AX8-INT(AX8))*12)-INT((AX8-INT(AX8))*12))*30, 0) &amp; "D")</f>
        <v>5Y5M3D</v>
      </c>
      <c r="S132" s="167"/>
      <c r="T132" s="62"/>
      <c r="U132" s="62"/>
      <c r="V132" s="62"/>
      <c r="W132" s="62"/>
      <c r="X132" s="110"/>
    </row>
  </sheetData>
  <scenarios current="0" show="0" sqref="R51">
    <scenario name="Tốt " locked="1" count="2" user="VAQ" comment="Created by VAQ on 17-07-2025">
      <inputCells r="B9" val="80"/>
      <inputCells r="B11" val="34"/>
    </scenario>
    <scenario name="Trung bình" locked="1" count="2" user="VAQ" comment="Created by VAQ on 17-07-2025">
      <inputCells r="B9" val="60"/>
      <inputCells r="B11" val="30"/>
    </scenario>
    <scenario name="Xấu" locked="1" count="2" user="VAQ" comment="Created by VAQ on 17-07-2025">
      <inputCells r="B9" val="40"/>
      <inputCells r="B11" val="26"/>
    </scenario>
  </scenarios>
  <mergeCells count="1">
    <mergeCell ref="A1:D1"/>
  </mergeCells>
  <conditionalFormatting sqref="AA10:AE14">
    <cfRule type="colorScale" priority="2">
      <colorScale>
        <cfvo type="num" val="$AA$10"/>
        <cfvo type="percentile" val="50"/>
        <cfvo type="num" val="$AE$22"/>
        <color rgb="FFF8696B"/>
        <color rgb="FFFFEB84"/>
        <color rgb="FF63BE7B"/>
      </colorScale>
    </cfRule>
  </conditionalFormatting>
  <conditionalFormatting sqref="AA18:AE22">
    <cfRule type="colorScale" priority="1">
      <colorScale>
        <cfvo type="num" val="$AA$10"/>
        <cfvo type="percentile" val="50"/>
        <cfvo type="num" val="$AE$22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C1366CC7-457C-4EA4-B1C0-7EB94349125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R23:X23</xm:sqref>
        </x14:conditionalFormatting>
        <x14:conditionalFormatting xmlns:xm="http://schemas.microsoft.com/office/excel/2006/main">
          <x14:cfRule type="iconSet" priority="9" id="{D553C453-BE40-4741-935C-C6F9440145C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R26:X26</xm:sqref>
        </x14:conditionalFormatting>
        <x14:conditionalFormatting xmlns:xm="http://schemas.microsoft.com/office/excel/2006/main">
          <x14:cfRule type="iconSet" priority="8" id="{46FCC611-1CDE-400C-A894-5843BF1BD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R56:X56 R57:U57</xm:sqref>
        </x14:conditionalFormatting>
        <x14:conditionalFormatting xmlns:xm="http://schemas.microsoft.com/office/excel/2006/main">
          <x14:cfRule type="iconSet" priority="7" id="{8FB7AF52-C3B8-4650-B0FD-1FF37B9586C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R59:X59 R60:U60</xm:sqref>
        </x14:conditionalFormatting>
        <x14:conditionalFormatting xmlns:xm="http://schemas.microsoft.com/office/excel/2006/main">
          <x14:cfRule type="iconSet" priority="6" id="{A51DC1F4-2241-4D90-ACA3-4B8838FD5BB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R95:X95</xm:sqref>
        </x14:conditionalFormatting>
        <x14:conditionalFormatting xmlns:xm="http://schemas.microsoft.com/office/excel/2006/main">
          <x14:cfRule type="iconSet" priority="5" id="{CC48261B-E751-4AB2-9B0E-F0CC7A848A3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R98:X98</xm:sqref>
        </x14:conditionalFormatting>
        <x14:conditionalFormatting xmlns:xm="http://schemas.microsoft.com/office/excel/2006/main">
          <x14:cfRule type="iconSet" priority="4" id="{9B262352-FA8F-4155-AA97-6F6849498BB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R127:X127</xm:sqref>
        </x14:conditionalFormatting>
        <x14:conditionalFormatting xmlns:xm="http://schemas.microsoft.com/office/excel/2006/main">
          <x14:cfRule type="iconSet" priority="3" id="{E0C6A135-457C-4C0D-8F16-6C71F1F1A9F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R130:X130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Thuyết trình</vt:lpstr>
      <vt:lpstr>Scenario Summary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VAQ</dc:creator>
  <cp:keywords/>
  <dc:description/>
  <cp:lastModifiedBy>VÕ ANH QUỐC</cp:lastModifiedBy>
  <cp:revision/>
  <dcterms:created xsi:type="dcterms:W3CDTF">2015-06-05T18:17:20Z</dcterms:created>
  <dcterms:modified xsi:type="dcterms:W3CDTF">2025-07-18T01:11:48Z</dcterms:modified>
  <cp:category/>
  <cp:contentStatus/>
</cp:coreProperties>
</file>