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5600" windowHeight="14860" tabRatio="841"/>
  </bookViews>
  <sheets>
    <sheet name="basic_skew" sheetId="3" r:id="rId1"/>
    <sheet name="larger_skew" sheetId="1" r:id="rId2"/>
    <sheet name="boxplot_Larger_skew" sheetId="16" r:id="rId3"/>
    <sheet name="dotplot" sheetId="17" r:id="rId4"/>
    <sheet name="simul_large" sheetId="8" r:id="rId5"/>
    <sheet name="gorillas_h_0kk" sheetId="5" r:id="rId6"/>
    <sheet name="gorillas_h_kk" sheetId="6" r:id="rId7"/>
    <sheet name="basic_skew (2)" sheetId="7" r:id="rId8"/>
    <sheet name="simul_large (2)" sheetId="11" r:id="rId9"/>
    <sheet name="boxplot_eg" sheetId="15" r:id="rId10"/>
  </sheets>
  <definedNames>
    <definedName name="boxplot_large_skew" localSheetId="3">#REF!</definedName>
    <definedName name="boxplot_large_skew">#REF!</definedName>
    <definedName name="data" localSheetId="0">basic_skew!$A$7:$A$56</definedName>
    <definedName name="data" localSheetId="7">'basic_skew (2)'!$A$7:$A$56</definedName>
    <definedName name="data" localSheetId="5">gorillas_h_0kk!$A$7:$A$56</definedName>
    <definedName name="data" localSheetId="6">gorillas_h_kk!$A$7:$A$56</definedName>
    <definedName name="data">larger_skew!$A$7:$A$56</definedName>
    <definedName name="data_g1">gorillas_h_0kk!$A$7:$A$26</definedName>
    <definedName name="data_h1" localSheetId="6">gorillas_h_kk!$A$7:$A$26</definedName>
    <definedName name="data_h1">gorillas_h_0kk!$A$7:$A$26</definedName>
    <definedName name="data_h2" localSheetId="6">gorillas_h_kk!$A$7:$A$27</definedName>
    <definedName name="data_h2">gorillas_h_0kk!$A$7:$A$27</definedName>
    <definedName name="data_w1" localSheetId="6">gorillas_h_kk!$B$7:$B$26</definedName>
    <definedName name="data_w1">gorillas_h_0kk!$B$7:$B$26</definedName>
    <definedName name="data_w2" localSheetId="6">gorillas_h_kk!$B$7:$B$27</definedName>
    <definedName name="data_w2">gorillas_h_0kk!$B$7:$B$27</definedName>
    <definedName name="data2" localSheetId="7">#REF!</definedName>
    <definedName name="data2" localSheetId="9">#REF!</definedName>
    <definedName name="data2" localSheetId="2">#REF!</definedName>
    <definedName name="data2" localSheetId="3">#REF!</definedName>
    <definedName name="data2" localSheetId="8">#REF!</definedName>
    <definedName name="data2">#REF!</definedName>
    <definedName name="data2a" localSheetId="7">'basic_skew (2)'!$A$7:$A$14</definedName>
    <definedName name="data2a" localSheetId="5">gorillas_h_0kk!$A$7:$A$14</definedName>
    <definedName name="data2a" localSheetId="6">gorillas_h_kk!$A$7:$A$14</definedName>
    <definedName name="data2a">basic_skew!$A$7:$A$14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3" l="1"/>
  <c r="G23" i="3"/>
  <c r="G24" i="3"/>
  <c r="G25" i="3"/>
  <c r="G26" i="3"/>
  <c r="G27" i="3"/>
  <c r="H21" i="3" a="1"/>
  <c r="H21" i="3"/>
  <c r="H22" i="3"/>
  <c r="H23" i="3"/>
  <c r="H24" i="3"/>
  <c r="H25" i="3"/>
  <c r="H26" i="3"/>
  <c r="H27" i="3"/>
  <c r="E9" i="3"/>
  <c r="E14" i="3"/>
  <c r="F14" i="3"/>
  <c r="I14" i="6"/>
  <c r="I14" i="5"/>
  <c r="E8" i="8"/>
  <c r="G9" i="1"/>
  <c r="B3" i="8"/>
  <c r="G10" i="1"/>
  <c r="B4" i="8"/>
  <c r="D8" i="8"/>
  <c r="E9" i="8"/>
  <c r="D9" i="8"/>
  <c r="E10" i="8"/>
  <c r="D10" i="8"/>
  <c r="E11" i="8"/>
  <c r="D11" i="8"/>
  <c r="E12" i="8"/>
  <c r="D12" i="8"/>
  <c r="E13" i="8"/>
  <c r="D13" i="8"/>
  <c r="E14" i="8"/>
  <c r="D14" i="8"/>
  <c r="E15" i="8"/>
  <c r="D15" i="8"/>
  <c r="E16" i="8"/>
  <c r="D16" i="8"/>
  <c r="E17" i="8"/>
  <c r="D17" i="8"/>
  <c r="E18" i="8"/>
  <c r="D18" i="8"/>
  <c r="E19" i="8"/>
  <c r="D19" i="8"/>
  <c r="E20" i="8"/>
  <c r="D20" i="8"/>
  <c r="E21" i="8"/>
  <c r="D21" i="8"/>
  <c r="E22" i="8"/>
  <c r="D22" i="8"/>
  <c r="E23" i="8"/>
  <c r="D23" i="8"/>
  <c r="E24" i="8"/>
  <c r="D24" i="8"/>
  <c r="E25" i="8"/>
  <c r="D25" i="8"/>
  <c r="E26" i="8"/>
  <c r="D26" i="8"/>
  <c r="E27" i="8"/>
  <c r="D27" i="8"/>
  <c r="E28" i="8"/>
  <c r="D28" i="8"/>
  <c r="E29" i="8"/>
  <c r="D29" i="8"/>
  <c r="E30" i="8"/>
  <c r="D30" i="8"/>
  <c r="E31" i="8"/>
  <c r="D31" i="8"/>
  <c r="E32" i="8"/>
  <c r="D32" i="8"/>
  <c r="E33" i="8"/>
  <c r="D33" i="8"/>
  <c r="E34" i="8"/>
  <c r="D34" i="8"/>
  <c r="E35" i="8"/>
  <c r="D35" i="8"/>
  <c r="E36" i="8"/>
  <c r="D36" i="8"/>
  <c r="E37" i="8"/>
  <c r="D37" i="8"/>
  <c r="E38" i="8"/>
  <c r="D38" i="8"/>
  <c r="E39" i="8"/>
  <c r="D39" i="8"/>
  <c r="E40" i="8"/>
  <c r="D40" i="8"/>
  <c r="E41" i="8"/>
  <c r="D41" i="8"/>
  <c r="E42" i="8"/>
  <c r="D42" i="8"/>
  <c r="E43" i="8"/>
  <c r="D43" i="8"/>
  <c r="E44" i="8"/>
  <c r="D44" i="8"/>
  <c r="E45" i="8"/>
  <c r="D45" i="8"/>
  <c r="E46" i="8"/>
  <c r="D46" i="8"/>
  <c r="E47" i="8"/>
  <c r="D47" i="8"/>
  <c r="E48" i="8"/>
  <c r="D48" i="8"/>
  <c r="E49" i="8"/>
  <c r="D49" i="8"/>
  <c r="E50" i="8"/>
  <c r="D50" i="8"/>
  <c r="E51" i="8"/>
  <c r="D51" i="8"/>
  <c r="E52" i="8"/>
  <c r="D52" i="8"/>
  <c r="E53" i="8"/>
  <c r="D53" i="8"/>
  <c r="E54" i="8"/>
  <c r="D54" i="8"/>
  <c r="E55" i="8"/>
  <c r="D55" i="8"/>
  <c r="E56" i="8"/>
  <c r="D56" i="8"/>
  <c r="E57" i="8"/>
  <c r="D57" i="8"/>
  <c r="G13" i="8"/>
  <c r="G14" i="8"/>
  <c r="G15" i="8"/>
  <c r="I18" i="17"/>
  <c r="J18" i="17"/>
  <c r="K18" i="17"/>
  <c r="L18" i="17"/>
  <c r="M18" i="17"/>
  <c r="N18" i="17"/>
  <c r="O18" i="17"/>
  <c r="P18" i="17"/>
  <c r="H18" i="17"/>
  <c r="H23" i="1"/>
  <c r="H24" i="1"/>
  <c r="H25" i="1"/>
  <c r="H26" i="1"/>
  <c r="H27" i="1"/>
  <c r="H28" i="1"/>
  <c r="H29" i="1"/>
  <c r="H30" i="1"/>
  <c r="H31" i="1"/>
  <c r="H32" i="1"/>
  <c r="I22" i="1" a="1"/>
  <c r="I32" i="1"/>
  <c r="B13" i="17"/>
  <c r="P15" i="17"/>
  <c r="I31" i="1"/>
  <c r="B12" i="17"/>
  <c r="O15" i="17"/>
  <c r="I30" i="1"/>
  <c r="B11" i="17"/>
  <c r="N15" i="17"/>
  <c r="I29" i="1"/>
  <c r="B10" i="17"/>
  <c r="M15" i="17"/>
  <c r="I24" i="1"/>
  <c r="B5" i="17"/>
  <c r="C5" i="17"/>
  <c r="I25" i="1"/>
  <c r="B6" i="17"/>
  <c r="C6" i="17"/>
  <c r="I26" i="1"/>
  <c r="B7" i="17"/>
  <c r="C7" i="17"/>
  <c r="I27" i="1"/>
  <c r="B8" i="17"/>
  <c r="C8" i="17"/>
  <c r="I28" i="1"/>
  <c r="B9" i="17"/>
  <c r="C9" i="17"/>
  <c r="C10" i="17"/>
  <c r="C11" i="17"/>
  <c r="C12" i="17"/>
  <c r="C13" i="17"/>
  <c r="A5" i="17"/>
  <c r="A6" i="17"/>
  <c r="A7" i="17"/>
  <c r="A8" i="17"/>
  <c r="A9" i="17"/>
  <c r="A10" i="17"/>
  <c r="A11" i="17"/>
  <c r="A12" i="17"/>
  <c r="A13" i="17"/>
  <c r="I23" i="1"/>
  <c r="B4" i="17"/>
  <c r="A4" i="17"/>
  <c r="L15" i="17"/>
  <c r="K15" i="17"/>
  <c r="J15" i="17"/>
  <c r="I15" i="17"/>
  <c r="H15" i="17"/>
  <c r="G15" i="17"/>
  <c r="C4" i="17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D8" i="16"/>
  <c r="D7" i="16"/>
  <c r="D6" i="16"/>
  <c r="D5" i="16"/>
  <c r="D4" i="16"/>
  <c r="A3" i="16"/>
  <c r="D7" i="15"/>
  <c r="D5" i="15"/>
  <c r="D8" i="15"/>
  <c r="D4" i="15"/>
  <c r="D6" i="15"/>
  <c r="G10" i="8"/>
  <c r="H10" i="8"/>
  <c r="E5" i="3"/>
  <c r="F5" i="3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G7" i="11"/>
  <c r="F14" i="11"/>
  <c r="G8" i="11"/>
  <c r="G9" i="11"/>
  <c r="F15" i="11"/>
  <c r="F16" i="11"/>
  <c r="F17" i="11"/>
  <c r="F18" i="11"/>
  <c r="F19" i="11"/>
  <c r="F20" i="11"/>
  <c r="F21" i="11"/>
  <c r="F22" i="11"/>
  <c r="F23" i="11"/>
  <c r="F24" i="11"/>
  <c r="G14" i="11" a="1"/>
  <c r="G14" i="11"/>
  <c r="G15" i="11"/>
  <c r="G16" i="11"/>
  <c r="G17" i="11"/>
  <c r="G18" i="11"/>
  <c r="G19" i="11"/>
  <c r="G20" i="11"/>
  <c r="G21" i="11"/>
  <c r="G22" i="11"/>
  <c r="G23" i="11"/>
  <c r="G24" i="11"/>
  <c r="G25" i="11"/>
  <c r="G11" i="11"/>
  <c r="G10" i="11"/>
  <c r="H10" i="11"/>
  <c r="G12" i="1"/>
  <c r="B5" i="11"/>
  <c r="G11" i="8"/>
  <c r="G7" i="8"/>
  <c r="F18" i="8"/>
  <c r="G8" i="8"/>
  <c r="G9" i="8"/>
  <c r="F19" i="8"/>
  <c r="F20" i="8"/>
  <c r="F21" i="8"/>
  <c r="F22" i="8"/>
  <c r="F23" i="8"/>
  <c r="F24" i="8"/>
  <c r="F25" i="8"/>
  <c r="F26" i="8"/>
  <c r="F27" i="8"/>
  <c r="F28" i="8"/>
  <c r="G18" i="8" a="1"/>
  <c r="G18" i="8"/>
  <c r="G19" i="8"/>
  <c r="G20" i="8"/>
  <c r="G21" i="8"/>
  <c r="G22" i="8"/>
  <c r="G23" i="8"/>
  <c r="G24" i="8"/>
  <c r="G25" i="8"/>
  <c r="G26" i="8"/>
  <c r="G27" i="8"/>
  <c r="G28" i="8"/>
  <c r="G29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B5" i="8"/>
  <c r="G14" i="1"/>
  <c r="G4" i="1"/>
  <c r="E10" i="3"/>
  <c r="E4" i="3"/>
  <c r="E7" i="7"/>
  <c r="E13" i="7"/>
  <c r="E16" i="3"/>
  <c r="E15" i="3"/>
  <c r="E18" i="7"/>
  <c r="E16" i="7"/>
  <c r="E15" i="7"/>
  <c r="E14" i="7"/>
  <c r="E12" i="7"/>
  <c r="E10" i="7"/>
  <c r="E9" i="7"/>
  <c r="E5" i="7"/>
  <c r="B16" i="7"/>
  <c r="C16" i="7"/>
  <c r="B15" i="7"/>
  <c r="C15" i="7"/>
  <c r="F14" i="7"/>
  <c r="C14" i="7"/>
  <c r="B14" i="7"/>
  <c r="B7" i="7"/>
  <c r="B8" i="7"/>
  <c r="B9" i="7"/>
  <c r="B10" i="7"/>
  <c r="B11" i="7"/>
  <c r="B12" i="7"/>
  <c r="B13" i="7"/>
  <c r="C13" i="7"/>
  <c r="C12" i="7"/>
  <c r="E11" i="7"/>
  <c r="C11" i="7"/>
  <c r="C10" i="7"/>
  <c r="C9" i="7"/>
  <c r="C8" i="7"/>
  <c r="C7" i="7"/>
  <c r="E6" i="7"/>
  <c r="F6" i="7"/>
  <c r="E12" i="3"/>
  <c r="E18" i="3"/>
  <c r="C7" i="3"/>
  <c r="C8" i="3"/>
  <c r="C9" i="3"/>
  <c r="C10" i="3"/>
  <c r="C11" i="3"/>
  <c r="C12" i="3"/>
  <c r="C13" i="3"/>
  <c r="C14" i="3"/>
  <c r="E7" i="3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7" i="1"/>
  <c r="E8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B14" i="3"/>
  <c r="B12" i="3"/>
  <c r="B13" i="3"/>
  <c r="B10" i="3"/>
  <c r="B11" i="3"/>
  <c r="B9" i="3"/>
  <c r="B8" i="3"/>
  <c r="B7" i="3"/>
  <c r="H12" i="6"/>
  <c r="H9" i="6"/>
  <c r="H10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H7" i="6"/>
  <c r="H23" i="6"/>
  <c r="H16" i="6"/>
  <c r="H15" i="6"/>
  <c r="H14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H13" i="6"/>
  <c r="H5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7" i="6"/>
  <c r="D8" i="6"/>
  <c r="D9" i="6"/>
  <c r="D10" i="6"/>
  <c r="D11" i="6"/>
  <c r="D12" i="6"/>
  <c r="D13" i="6"/>
  <c r="H11" i="6"/>
  <c r="H6" i="6"/>
  <c r="I6" i="6"/>
  <c r="D6" i="6"/>
  <c r="H12" i="5"/>
  <c r="H23" i="5"/>
  <c r="H16" i="5"/>
  <c r="H15" i="5"/>
  <c r="H14" i="5"/>
  <c r="H10" i="5"/>
  <c r="H9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H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H13" i="5"/>
  <c r="E27" i="5"/>
  <c r="F27" i="5"/>
  <c r="H11" i="5"/>
  <c r="H6" i="5"/>
  <c r="H5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7" i="5"/>
  <c r="D8" i="5"/>
  <c r="D9" i="5"/>
  <c r="D10" i="5"/>
  <c r="D11" i="5"/>
  <c r="D12" i="5"/>
  <c r="D13" i="5"/>
  <c r="I6" i="5"/>
  <c r="D6" i="5"/>
  <c r="G13" i="1"/>
  <c r="G11" i="1"/>
  <c r="G6" i="1"/>
  <c r="H6" i="1"/>
  <c r="E13" i="3"/>
  <c r="E11" i="3"/>
  <c r="E6" i="3"/>
  <c r="F6" i="3"/>
  <c r="H14" i="1"/>
  <c r="G25" i="1"/>
  <c r="G26" i="1"/>
  <c r="G27" i="1"/>
  <c r="G28" i="1"/>
  <c r="G29" i="1"/>
  <c r="G30" i="1"/>
  <c r="G31" i="1"/>
  <c r="G32" i="1"/>
  <c r="G24" i="1"/>
  <c r="I22" i="1"/>
  <c r="I33" i="1"/>
  <c r="G16" i="1"/>
  <c r="G15" i="1"/>
  <c r="G5" i="1"/>
  <c r="G7" i="1"/>
  <c r="F19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6" i="1"/>
</calcChain>
</file>

<file path=xl/sharedStrings.xml><?xml version="1.0" encoding="utf-8"?>
<sst xmlns="http://schemas.openxmlformats.org/spreadsheetml/2006/main" count="161" uniqueCount="61">
  <si>
    <t>Skewness and Kurtosis Explored</t>
  </si>
  <si>
    <t>This worksheet was inspired by this page: http://www.real-statistics.com/descriptive-statistics/symmetry-skewness-kurtosis/</t>
  </si>
  <si>
    <t>Data</t>
  </si>
  <si>
    <t>The data and explanations that follow are mine!</t>
  </si>
  <si>
    <t xml:space="preserve"> </t>
  </si>
  <si>
    <t>average</t>
  </si>
  <si>
    <t>n</t>
  </si>
  <si>
    <t>standard deviation</t>
  </si>
  <si>
    <t>standard deviation cubed</t>
  </si>
  <si>
    <t>Skewness</t>
  </si>
  <si>
    <t>Workings</t>
  </si>
  <si>
    <t>(xi-xbar)^3</t>
  </si>
  <si>
    <t>sum (xi-xbar)^3</t>
  </si>
  <si>
    <t>SKEW.P</t>
  </si>
  <si>
    <t>SKEW.P(R) = SKEW(R)*(n–2)/SQRT(n(n–1)) where n = COUNT(R).</t>
  </si>
  <si>
    <t>SKEW.P®</t>
  </si>
  <si>
    <t>((xi-xbar)/stdev)^3</t>
  </si>
  <si>
    <t>min</t>
  </si>
  <si>
    <t>max</t>
  </si>
  <si>
    <t>f</t>
  </si>
  <si>
    <t>From</t>
  </si>
  <si>
    <t>To</t>
  </si>
  <si>
    <t>median</t>
  </si>
  <si>
    <t>The data come from http://www.real-statistics.com/descriptive-statistics/symmetry-skewness-kurtosis/</t>
  </si>
  <si>
    <t>Skewness Explored</t>
  </si>
  <si>
    <t>Height</t>
  </si>
  <si>
    <t>Weight</t>
  </si>
  <si>
    <t>Gorillas without King Kong</t>
  </si>
  <si>
    <t>Gorillas with King Kong</t>
  </si>
  <si>
    <t>Skewness: SKEW()</t>
  </si>
  <si>
    <t>Skewness: formula</t>
  </si>
  <si>
    <t>((xi-xbar)/stdev)</t>
  </si>
  <si>
    <t>The data come from http://office.microsoft.com/en-001/excel-help/skew-HP005209261.aspx</t>
  </si>
  <si>
    <t>Person Skewness Coefficient</t>
  </si>
  <si>
    <t>Pearson Skewness Coefficient</t>
  </si>
  <si>
    <t>Simulation</t>
  </si>
  <si>
    <t>mean</t>
  </si>
  <si>
    <t>stdev</t>
  </si>
  <si>
    <t>Simulation: using the larger skew example</t>
  </si>
  <si>
    <t>Data Point</t>
  </si>
  <si>
    <t>Bin</t>
  </si>
  <si>
    <t>Clas Size</t>
  </si>
  <si>
    <t>Skew</t>
  </si>
  <si>
    <t>Kurtosis</t>
  </si>
  <si>
    <t xml:space="preserve"> =larger_skew!G10</t>
  </si>
  <si>
    <t xml:space="preserve"> =larger_skew!G9</t>
  </si>
  <si>
    <t>Death Rates</t>
  </si>
  <si>
    <t>Dot Plot Using REPT</t>
  </si>
  <si>
    <t>frequencies</t>
  </si>
  <si>
    <t xml:space="preserve"> - </t>
  </si>
  <si>
    <t>Class Intervals</t>
  </si>
  <si>
    <t>Q1</t>
  </si>
  <si>
    <t>Median</t>
  </si>
  <si>
    <t>Q3</t>
  </si>
  <si>
    <t>Minimum</t>
  </si>
  <si>
    <t>Maximum</t>
  </si>
  <si>
    <t>Boxplot Method 1: Line Chart</t>
  </si>
  <si>
    <t>Boxplot Example</t>
  </si>
  <si>
    <t>Boxplot Larger Skew Example</t>
  </si>
  <si>
    <t>9 . . . . . .  . . . . . . . .0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</si>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</sst>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0.0000"/>
    <numFmt numFmtId="173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rgb="FF000090"/>
      <name val="Wingdings"/>
    </font>
    <font>
      <sz val="8"/>
      <name val="Arial"/>
    </font>
    <font>
      <sz val="12"/>
      <color theme="1"/>
      <name val="Wingdings"/>
    </font>
    <font>
      <sz val="16"/>
      <color theme="1"/>
      <name val="Tahoma"/>
    </font>
    <font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right"/>
    </xf>
    <xf numFmtId="164" fontId="0" fillId="0" borderId="0" xfId="0" applyNumberFormat="1"/>
    <xf numFmtId="43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2" fillId="0" borderId="1" xfId="0" applyNumberFormat="1" applyFont="1" applyBorder="1"/>
    <xf numFmtId="43" fontId="0" fillId="0" borderId="0" xfId="1" applyFont="1"/>
    <xf numFmtId="2" fontId="0" fillId="0" borderId="0" xfId="0" applyNumberFormat="1"/>
    <xf numFmtId="43" fontId="0" fillId="0" borderId="0" xfId="1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horizontal="left" vertical="top" textRotation="90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8" fillId="0" borderId="0" xfId="0" applyFont="1"/>
    <xf numFmtId="0" fontId="6" fillId="0" borderId="0" xfId="0" applyFont="1" applyBorder="1" applyAlignment="1">
      <alignment horizontal="left" textRotation="90" wrapText="1"/>
    </xf>
    <xf numFmtId="0" fontId="7" fillId="0" borderId="0" xfId="0" applyFont="1" applyBorder="1" applyAlignment="1">
      <alignment horizontal="left" vertical="top" textRotation="90"/>
    </xf>
    <xf numFmtId="0" fontId="5" fillId="0" borderId="0" xfId="0" applyFont="1" applyAlignment="1">
      <alignment horizontal="left"/>
    </xf>
    <xf numFmtId="173" fontId="0" fillId="0" borderId="0" xfId="0" applyNumberFormat="1"/>
    <xf numFmtId="0" fontId="7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textRotation="90"/>
    </xf>
    <xf numFmtId="0" fontId="9" fillId="0" borderId="3" xfId="0" applyFont="1" applyBorder="1" applyAlignment="1">
      <alignment textRotation="90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right" vertical="center" textRotation="90"/>
    </xf>
    <xf numFmtId="0" fontId="0" fillId="0" borderId="0" xfId="0" applyAlignment="1">
      <alignment horizontal="right"/>
    </xf>
  </cellXfs>
  <cellStyles count="5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basic_skew!$F$5</c:f>
          <c:strCache>
            <c:ptCount val="1"/>
            <c:pt idx="0">
              <c:v>Skewness: SKEW() = -0.4587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basic_skew!$H$20</c:f>
              <c:strCache>
                <c:ptCount val="1"/>
                <c:pt idx="0">
                  <c:v>frequency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invertIfNegative val="0"/>
          <c:cat>
            <c:numRef>
              <c:f>basic_skew!$G$21:$G$27</c:f>
              <c:numCache>
                <c:formatCode>General</c:formatCode>
                <c:ptCount val="7"/>
                <c:pt idx="0">
                  <c:v>-1.0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</c:numCache>
            </c:numRef>
          </c:cat>
          <c:val>
            <c:numRef>
              <c:f>basic_skew!$H$21:$H$27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996716584"/>
        <c:axId val="-1997488104"/>
      </c:barChart>
      <c:catAx>
        <c:axId val="-199671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97488104"/>
        <c:crosses val="autoZero"/>
        <c:auto val="1"/>
        <c:lblAlgn val="ctr"/>
        <c:lblOffset val="100"/>
        <c:noMultiLvlLbl val="0"/>
      </c:catAx>
      <c:valAx>
        <c:axId val="-1997488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96716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XY</a:t>
            </a:r>
            <a:r>
              <a:rPr lang="en-US" baseline="0"/>
              <a:t> Scatter Graph of the Data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yVal>
            <c:numRef>
              <c:f>larger_skew!$A$7:$A$56</c:f>
              <c:numCache>
                <c:formatCode>_-* #,##0_-;\-* #,##0_-;_-* "-"??_-;_-@_-</c:formatCode>
                <c:ptCount val="50"/>
                <c:pt idx="0">
                  <c:v>602.0</c:v>
                </c:pt>
                <c:pt idx="1">
                  <c:v>4119.0</c:v>
                </c:pt>
                <c:pt idx="2">
                  <c:v>1751.0</c:v>
                </c:pt>
                <c:pt idx="3">
                  <c:v>3091.0</c:v>
                </c:pt>
                <c:pt idx="4">
                  <c:v>3779.0</c:v>
                </c:pt>
                <c:pt idx="5">
                  <c:v>3262.0</c:v>
                </c:pt>
                <c:pt idx="6">
                  <c:v>1853.0</c:v>
                </c:pt>
                <c:pt idx="7">
                  <c:v>3564.0</c:v>
                </c:pt>
                <c:pt idx="8">
                  <c:v>139.0</c:v>
                </c:pt>
                <c:pt idx="9">
                  <c:v>4567.0</c:v>
                </c:pt>
                <c:pt idx="10">
                  <c:v>1605.0</c:v>
                </c:pt>
                <c:pt idx="11">
                  <c:v>1281.0</c:v>
                </c:pt>
                <c:pt idx="12">
                  <c:v>3470.0</c:v>
                </c:pt>
                <c:pt idx="13">
                  <c:v>1533.0</c:v>
                </c:pt>
                <c:pt idx="14">
                  <c:v>1483.0</c:v>
                </c:pt>
                <c:pt idx="15">
                  <c:v>1368.0</c:v>
                </c:pt>
                <c:pt idx="16">
                  <c:v>1642.0</c:v>
                </c:pt>
                <c:pt idx="17">
                  <c:v>3459.0</c:v>
                </c:pt>
                <c:pt idx="18">
                  <c:v>4645.0</c:v>
                </c:pt>
                <c:pt idx="19">
                  <c:v>246.0</c:v>
                </c:pt>
                <c:pt idx="20">
                  <c:v>4471.0</c:v>
                </c:pt>
                <c:pt idx="21">
                  <c:v>2803.0</c:v>
                </c:pt>
                <c:pt idx="22">
                  <c:v>3641.0</c:v>
                </c:pt>
                <c:pt idx="23">
                  <c:v>4717.0</c:v>
                </c:pt>
                <c:pt idx="24">
                  <c:v>3015.0</c:v>
                </c:pt>
                <c:pt idx="25">
                  <c:v>1760.0</c:v>
                </c:pt>
                <c:pt idx="26">
                  <c:v>1736.0</c:v>
                </c:pt>
                <c:pt idx="27">
                  <c:v>2170.0</c:v>
                </c:pt>
                <c:pt idx="28">
                  <c:v>1857.0</c:v>
                </c:pt>
                <c:pt idx="29">
                  <c:v>2439.0</c:v>
                </c:pt>
                <c:pt idx="30">
                  <c:v>1052.0</c:v>
                </c:pt>
                <c:pt idx="31">
                  <c:v>2067.0</c:v>
                </c:pt>
                <c:pt idx="32">
                  <c:v>4220.0</c:v>
                </c:pt>
                <c:pt idx="33">
                  <c:v>1422.0</c:v>
                </c:pt>
                <c:pt idx="34">
                  <c:v>1271.0</c:v>
                </c:pt>
                <c:pt idx="35">
                  <c:v>3770.0</c:v>
                </c:pt>
                <c:pt idx="36">
                  <c:v>3708.0</c:v>
                </c:pt>
                <c:pt idx="37">
                  <c:v>4418.0</c:v>
                </c:pt>
                <c:pt idx="38">
                  <c:v>1329.0</c:v>
                </c:pt>
                <c:pt idx="39">
                  <c:v>3628.0</c:v>
                </c:pt>
                <c:pt idx="40">
                  <c:v>4930.0</c:v>
                </c:pt>
                <c:pt idx="41">
                  <c:v>4663.0</c:v>
                </c:pt>
                <c:pt idx="42">
                  <c:v>3189.0</c:v>
                </c:pt>
                <c:pt idx="43">
                  <c:v>696.0</c:v>
                </c:pt>
                <c:pt idx="44">
                  <c:v>2722.0</c:v>
                </c:pt>
                <c:pt idx="45">
                  <c:v>749.0</c:v>
                </c:pt>
                <c:pt idx="46">
                  <c:v>2953.0</c:v>
                </c:pt>
                <c:pt idx="47">
                  <c:v>2004.0</c:v>
                </c:pt>
                <c:pt idx="48">
                  <c:v>2067.0</c:v>
                </c:pt>
                <c:pt idx="49">
                  <c:v>1590.0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3992072"/>
        <c:axId val="-2079716520"/>
      </c:scatterChart>
      <c:valAx>
        <c:axId val="-20839920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9716520"/>
        <c:crosses val="autoZero"/>
        <c:crossBetween val="midCat"/>
      </c:valAx>
      <c:valAx>
        <c:axId val="-2079716520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-2083992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larger_skew!$G$23:$G$32</c:f>
              <c:numCache>
                <c:formatCode>_-* #,##0_-;\-* #,##0_-;_-* "-"??_-;_-@_-</c:formatCode>
                <c:ptCount val="10"/>
                <c:pt idx="0" formatCode="General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</c:numCache>
            </c:numRef>
          </c:cat>
          <c:val>
            <c:numRef>
              <c:f>larger_skew!$I$23:$I$32</c:f>
              <c:numCache>
                <c:formatCode>General</c:formatCode>
                <c:ptCount val="10"/>
                <c:pt idx="0">
                  <c:v>2.0</c:v>
                </c:pt>
                <c:pt idx="1">
                  <c:v>3.0</c:v>
                </c:pt>
                <c:pt idx="2">
                  <c:v>7.0</c:v>
                </c:pt>
                <c:pt idx="3">
                  <c:v>9.0</c:v>
                </c:pt>
                <c:pt idx="4">
                  <c:v>5.0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4.0</c:v>
                </c:pt>
                <c:pt idx="9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976812424"/>
        <c:axId val="-2140882680"/>
      </c:barChart>
      <c:catAx>
        <c:axId val="-1976812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0882680"/>
        <c:crosses val="autoZero"/>
        <c:auto val="1"/>
        <c:lblAlgn val="ctr"/>
        <c:lblOffset val="100"/>
        <c:noMultiLvlLbl val="0"/>
      </c:catAx>
      <c:valAx>
        <c:axId val="-2140882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1976812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boxplot_Larger_skew!$C$3</c:f>
          <c:strCache>
            <c:ptCount val="1"/>
            <c:pt idx="0">
              <c:v>Boxplot Larger Skew Example</c:v>
            </c:pt>
          </c:strCache>
        </c:strRef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boxplot_Larger_skew!$C$4</c:f>
              <c:strCache>
                <c:ptCount val="1"/>
                <c:pt idx="0">
                  <c:v>Q1</c:v>
                </c:pt>
              </c:strCache>
            </c:strRef>
          </c:tx>
          <c:val>
            <c:numRef>
              <c:f>boxplot_Larger_skew!$D$4</c:f>
              <c:numCache>
                <c:formatCode>0.0</c:formatCode>
                <c:ptCount val="1"/>
                <c:pt idx="0">
                  <c:v>1547.25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boxplot_Larger_skew!$C$5</c:f>
              <c:strCache>
                <c:ptCount val="1"/>
                <c:pt idx="0">
                  <c:v>Minimum</c:v>
                </c:pt>
              </c:strCache>
            </c:strRef>
          </c:tx>
          <c:val>
            <c:numRef>
              <c:f>boxplot_Larger_skew!$D$5</c:f>
              <c:numCache>
                <c:formatCode>General</c:formatCode>
                <c:ptCount val="1"/>
                <c:pt idx="0">
                  <c:v>139.0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boxplot_Larger_skew!$C$6</c:f>
              <c:strCache>
                <c:ptCount val="1"/>
                <c:pt idx="0">
                  <c:v>Median</c:v>
                </c:pt>
              </c:strCache>
            </c:strRef>
          </c:tx>
          <c:val>
            <c:numRef>
              <c:f>boxplot_Larger_skew!$D$6</c:f>
              <c:numCache>
                <c:formatCode>General</c:formatCode>
                <c:ptCount val="1"/>
                <c:pt idx="0">
                  <c:v>2304.5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boxplot_Larger_skew!$C$7</c:f>
              <c:strCache>
                <c:ptCount val="1"/>
                <c:pt idx="0">
                  <c:v>Maximum</c:v>
                </c:pt>
              </c:strCache>
            </c:strRef>
          </c:tx>
          <c:val>
            <c:numRef>
              <c:f>boxplot_Larger_skew!$D$7</c:f>
              <c:numCache>
                <c:formatCode>General</c:formatCode>
                <c:ptCount val="1"/>
                <c:pt idx="0">
                  <c:v>4930.0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boxplot_Larger_skew!$C$8</c:f>
              <c:strCache>
                <c:ptCount val="1"/>
                <c:pt idx="0">
                  <c:v>Q3</c:v>
                </c:pt>
              </c:strCache>
            </c:strRef>
          </c:tx>
          <c:val>
            <c:numRef>
              <c:f>boxplot_Larger_skew!$D$8</c:f>
              <c:numCache>
                <c:formatCode>General</c:formatCode>
                <c:ptCount val="1"/>
                <c:pt idx="0">
                  <c:v>3637.75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noFill/>
              <a:ln>
                <a:solidFill>
                  <a:schemeClr val="tx1"/>
                </a:solidFill>
              </a:ln>
            </c:spPr>
          </c:upBars>
          <c:downBars/>
        </c:upDownBars>
        <c:marker val="1"/>
        <c:smooth val="0"/>
        <c:axId val="-2002036584"/>
        <c:axId val="-2055202888"/>
      </c:lineChart>
      <c:catAx>
        <c:axId val="-20020365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5202888"/>
        <c:crosses val="autoZero"/>
        <c:auto val="1"/>
        <c:lblAlgn val="ctr"/>
        <c:lblOffset val="100"/>
        <c:noMultiLvlLbl val="0"/>
      </c:catAx>
      <c:valAx>
        <c:axId val="-205520288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-2002036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simul_large!$H$10</c:f>
          <c:strCache>
            <c:ptCount val="1"/>
            <c:pt idx="0">
              <c:v>Skewness = -0.0095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simul_large!$G$18:$G$28</c:f>
              <c:numCache>
                <c:formatCode>General</c:formatCode>
                <c:ptCount val="11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  <c:pt idx="3">
                  <c:v>7.0</c:v>
                </c:pt>
                <c:pt idx="4">
                  <c:v>5.0</c:v>
                </c:pt>
                <c:pt idx="5">
                  <c:v>10.0</c:v>
                </c:pt>
                <c:pt idx="6">
                  <c:v>9.0</c:v>
                </c:pt>
                <c:pt idx="7">
                  <c:v>6.0</c:v>
                </c:pt>
                <c:pt idx="8">
                  <c:v>4.0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01049992"/>
        <c:axId val="-1994637624"/>
      </c:barChart>
      <c:catAx>
        <c:axId val="1801049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4637624"/>
        <c:crosses val="autoZero"/>
        <c:auto val="1"/>
        <c:lblAlgn val="ctr"/>
        <c:lblOffset val="100"/>
        <c:noMultiLvlLbl val="0"/>
      </c:catAx>
      <c:valAx>
        <c:axId val="-1994637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01049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Gorilla Heights and Weights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gorillas_h_0kk!$B$6</c:f>
              <c:strCache>
                <c:ptCount val="1"/>
                <c:pt idx="0">
                  <c:v>Weight</c:v>
                </c:pt>
              </c:strCache>
            </c:strRef>
          </c:tx>
          <c:spPr>
            <a:ln w="47625">
              <a:noFill/>
            </a:ln>
          </c:spPr>
          <c:xVal>
            <c:numRef>
              <c:f>gorillas_h_0kk!$A$7:$A$26</c:f>
              <c:numCache>
                <c:formatCode>General</c:formatCode>
                <c:ptCount val="20"/>
                <c:pt idx="0">
                  <c:v>45.0</c:v>
                </c:pt>
                <c:pt idx="1">
                  <c:v>51.0</c:v>
                </c:pt>
                <c:pt idx="2">
                  <c:v>57.0</c:v>
                </c:pt>
                <c:pt idx="3">
                  <c:v>57.0</c:v>
                </c:pt>
                <c:pt idx="4">
                  <c:v>47.0</c:v>
                </c:pt>
                <c:pt idx="5">
                  <c:v>51.0</c:v>
                </c:pt>
                <c:pt idx="6">
                  <c:v>51.0</c:v>
                </c:pt>
                <c:pt idx="7">
                  <c:v>43.0</c:v>
                </c:pt>
                <c:pt idx="8" formatCode="_-* #,##0_-;\-* #,##0_-;_-* &quot;-&quot;??_-;_-@_-">
                  <c:v>54.0</c:v>
                </c:pt>
                <c:pt idx="9" formatCode="_-* #,##0_-;\-* #,##0_-;_-* &quot;-&quot;??_-;_-@_-">
                  <c:v>31.0</c:v>
                </c:pt>
                <c:pt idx="10" formatCode="_-* #,##0_-;\-* #,##0_-;_-* &quot;-&quot;??_-;_-@_-">
                  <c:v>39.0</c:v>
                </c:pt>
                <c:pt idx="11" formatCode="_-* #,##0_-;\-* #,##0_-;_-* &quot;-&quot;??_-;_-@_-">
                  <c:v>55.0</c:v>
                </c:pt>
                <c:pt idx="12" formatCode="_-* #,##0_-;\-* #,##0_-;_-* &quot;-&quot;??_-;_-@_-">
                  <c:v>45.0</c:v>
                </c:pt>
                <c:pt idx="13" formatCode="_-* #,##0_-;\-* #,##0_-;_-* &quot;-&quot;??_-;_-@_-">
                  <c:v>53.0</c:v>
                </c:pt>
                <c:pt idx="14" formatCode="_-* #,##0_-;\-* #,##0_-;_-* &quot;-&quot;??_-;_-@_-">
                  <c:v>35.0</c:v>
                </c:pt>
                <c:pt idx="15" formatCode="_-* #,##0_-;\-* #,##0_-;_-* &quot;-&quot;??_-;_-@_-">
                  <c:v>49.0</c:v>
                </c:pt>
                <c:pt idx="16" formatCode="_-* #,##0_-;\-* #,##0_-;_-* &quot;-&quot;??_-;_-@_-">
                  <c:v>41.0</c:v>
                </c:pt>
                <c:pt idx="17" formatCode="_-* #,##0_-;\-* #,##0_-;_-* &quot;-&quot;??_-;_-@_-">
                  <c:v>35.0</c:v>
                </c:pt>
                <c:pt idx="18" formatCode="_-* #,##0_-;\-* #,##0_-;_-* &quot;-&quot;??_-;_-@_-">
                  <c:v>47.0</c:v>
                </c:pt>
                <c:pt idx="19" formatCode="_-* #,##0_-;\-* #,##0_-;_-* &quot;-&quot;??_-;_-@_-">
                  <c:v>35.0</c:v>
                </c:pt>
              </c:numCache>
            </c:numRef>
          </c:xVal>
          <c:yVal>
            <c:numRef>
              <c:f>gorillas_h_0kk!$B$7:$B$26</c:f>
              <c:numCache>
                <c:formatCode>General</c:formatCode>
                <c:ptCount val="20"/>
                <c:pt idx="0">
                  <c:v>45.0</c:v>
                </c:pt>
                <c:pt idx="1">
                  <c:v>45.0</c:v>
                </c:pt>
                <c:pt idx="2">
                  <c:v>41.0</c:v>
                </c:pt>
                <c:pt idx="3">
                  <c:v>37.0</c:v>
                </c:pt>
                <c:pt idx="4">
                  <c:v>35.0</c:v>
                </c:pt>
                <c:pt idx="5">
                  <c:v>33.0</c:v>
                </c:pt>
                <c:pt idx="6">
                  <c:v>31.0</c:v>
                </c:pt>
                <c:pt idx="7">
                  <c:v>31.0</c:v>
                </c:pt>
                <c:pt idx="8">
                  <c:v>31.0</c:v>
                </c:pt>
                <c:pt idx="9">
                  <c:v>29.0</c:v>
                </c:pt>
                <c:pt idx="10">
                  <c:v>29.0</c:v>
                </c:pt>
                <c:pt idx="11">
                  <c:v>29.0</c:v>
                </c:pt>
                <c:pt idx="12">
                  <c:v>27.0</c:v>
                </c:pt>
                <c:pt idx="13">
                  <c:v>27.0</c:v>
                </c:pt>
                <c:pt idx="14">
                  <c:v>25.0</c:v>
                </c:pt>
                <c:pt idx="15">
                  <c:v>5.0</c:v>
                </c:pt>
                <c:pt idx="16">
                  <c:v>21.0</c:v>
                </c:pt>
                <c:pt idx="17">
                  <c:v>17.0</c:v>
                </c:pt>
                <c:pt idx="18">
                  <c:v>17.0</c:v>
                </c:pt>
                <c:pt idx="19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115816"/>
        <c:axId val="-2140563608"/>
      </c:scatterChart>
      <c:valAx>
        <c:axId val="-2084115816"/>
        <c:scaling>
          <c:orientation val="minMax"/>
        </c:scaling>
        <c:delete val="0"/>
        <c:axPos val="b"/>
        <c:title>
          <c:tx>
            <c:strRef>
              <c:f>gorillas_h_0kk!$A$6</c:f>
              <c:strCache>
                <c:ptCount val="1"/>
                <c:pt idx="0">
                  <c:v>Height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0563608"/>
        <c:crosses val="autoZero"/>
        <c:crossBetween val="midCat"/>
      </c:valAx>
      <c:valAx>
        <c:axId val="-2140563608"/>
        <c:scaling>
          <c:orientation val="minMax"/>
        </c:scaling>
        <c:delete val="0"/>
        <c:axPos val="l"/>
        <c:title>
          <c:tx>
            <c:strRef>
              <c:f>gorillas_h_0kk!$B$6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-2084115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Gorilla Heights and Weights:</a:t>
            </a:r>
          </a:p>
          <a:p>
            <a:pPr>
              <a:defRPr/>
            </a:pPr>
            <a:r>
              <a:rPr lang="en-US" sz="1800" b="1" i="0" baseline="0">
                <a:effectLst/>
              </a:rPr>
              <a:t>with King Kong!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gorillas_h_0kk!$B$6</c:f>
              <c:strCache>
                <c:ptCount val="1"/>
                <c:pt idx="0">
                  <c:v>Weight</c:v>
                </c:pt>
              </c:strCache>
            </c:strRef>
          </c:tx>
          <c:spPr>
            <a:ln w="47625">
              <a:noFill/>
            </a:ln>
          </c:spPr>
          <c:xVal>
            <c:numRef>
              <c:f>gorillas_h_0kk!$A$7:$A$27</c:f>
              <c:numCache>
                <c:formatCode>General</c:formatCode>
                <c:ptCount val="21"/>
                <c:pt idx="0">
                  <c:v>45.0</c:v>
                </c:pt>
                <c:pt idx="1">
                  <c:v>51.0</c:v>
                </c:pt>
                <c:pt idx="2">
                  <c:v>57.0</c:v>
                </c:pt>
                <c:pt idx="3">
                  <c:v>57.0</c:v>
                </c:pt>
                <c:pt idx="4">
                  <c:v>47.0</c:v>
                </c:pt>
                <c:pt idx="5">
                  <c:v>51.0</c:v>
                </c:pt>
                <c:pt idx="6">
                  <c:v>51.0</c:v>
                </c:pt>
                <c:pt idx="7">
                  <c:v>43.0</c:v>
                </c:pt>
                <c:pt idx="8" formatCode="_-* #,##0_-;\-* #,##0_-;_-* &quot;-&quot;??_-;_-@_-">
                  <c:v>54.0</c:v>
                </c:pt>
                <c:pt idx="9" formatCode="_-* #,##0_-;\-* #,##0_-;_-* &quot;-&quot;??_-;_-@_-">
                  <c:v>31.0</c:v>
                </c:pt>
                <c:pt idx="10" formatCode="_-* #,##0_-;\-* #,##0_-;_-* &quot;-&quot;??_-;_-@_-">
                  <c:v>39.0</c:v>
                </c:pt>
                <c:pt idx="11" formatCode="_-* #,##0_-;\-* #,##0_-;_-* &quot;-&quot;??_-;_-@_-">
                  <c:v>55.0</c:v>
                </c:pt>
                <c:pt idx="12" formatCode="_-* #,##0_-;\-* #,##0_-;_-* &quot;-&quot;??_-;_-@_-">
                  <c:v>45.0</c:v>
                </c:pt>
                <c:pt idx="13" formatCode="_-* #,##0_-;\-* #,##0_-;_-* &quot;-&quot;??_-;_-@_-">
                  <c:v>53.0</c:v>
                </c:pt>
                <c:pt idx="14" formatCode="_-* #,##0_-;\-* #,##0_-;_-* &quot;-&quot;??_-;_-@_-">
                  <c:v>35.0</c:v>
                </c:pt>
                <c:pt idx="15" formatCode="_-* #,##0_-;\-* #,##0_-;_-* &quot;-&quot;??_-;_-@_-">
                  <c:v>49.0</c:v>
                </c:pt>
                <c:pt idx="16" formatCode="_-* #,##0_-;\-* #,##0_-;_-* &quot;-&quot;??_-;_-@_-">
                  <c:v>41.0</c:v>
                </c:pt>
                <c:pt idx="17" formatCode="_-* #,##0_-;\-* #,##0_-;_-* &quot;-&quot;??_-;_-@_-">
                  <c:v>35.0</c:v>
                </c:pt>
                <c:pt idx="18" formatCode="_-* #,##0_-;\-* #,##0_-;_-* &quot;-&quot;??_-;_-@_-">
                  <c:v>47.0</c:v>
                </c:pt>
                <c:pt idx="19" formatCode="_-* #,##0_-;\-* #,##0_-;_-* &quot;-&quot;??_-;_-@_-">
                  <c:v>35.0</c:v>
                </c:pt>
                <c:pt idx="20" formatCode="_-* #,##0_-;\-* #,##0_-;_-* &quot;-&quot;??_-;_-@_-">
                  <c:v>130.0</c:v>
                </c:pt>
              </c:numCache>
            </c:numRef>
          </c:xVal>
          <c:yVal>
            <c:numRef>
              <c:f>gorillas_h_0kk!$B$7:$B$27</c:f>
              <c:numCache>
                <c:formatCode>General</c:formatCode>
                <c:ptCount val="21"/>
                <c:pt idx="0">
                  <c:v>45.0</c:v>
                </c:pt>
                <c:pt idx="1">
                  <c:v>45.0</c:v>
                </c:pt>
                <c:pt idx="2">
                  <c:v>41.0</c:v>
                </c:pt>
                <c:pt idx="3">
                  <c:v>37.0</c:v>
                </c:pt>
                <c:pt idx="4">
                  <c:v>35.0</c:v>
                </c:pt>
                <c:pt idx="5">
                  <c:v>33.0</c:v>
                </c:pt>
                <c:pt idx="6">
                  <c:v>31.0</c:v>
                </c:pt>
                <c:pt idx="7">
                  <c:v>31.0</c:v>
                </c:pt>
                <c:pt idx="8">
                  <c:v>31.0</c:v>
                </c:pt>
                <c:pt idx="9">
                  <c:v>29.0</c:v>
                </c:pt>
                <c:pt idx="10">
                  <c:v>29.0</c:v>
                </c:pt>
                <c:pt idx="11">
                  <c:v>29.0</c:v>
                </c:pt>
                <c:pt idx="12">
                  <c:v>27.0</c:v>
                </c:pt>
                <c:pt idx="13">
                  <c:v>27.0</c:v>
                </c:pt>
                <c:pt idx="14">
                  <c:v>25.0</c:v>
                </c:pt>
                <c:pt idx="15">
                  <c:v>5.0</c:v>
                </c:pt>
                <c:pt idx="16">
                  <c:v>21.0</c:v>
                </c:pt>
                <c:pt idx="17">
                  <c:v>17.0</c:v>
                </c:pt>
                <c:pt idx="18">
                  <c:v>17.0</c:v>
                </c:pt>
                <c:pt idx="19">
                  <c:v>13.0</c:v>
                </c:pt>
                <c:pt idx="20">
                  <c:v>150.0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406168"/>
        <c:axId val="-2083654392"/>
      </c:scatterChart>
      <c:valAx>
        <c:axId val="-2084406168"/>
        <c:scaling>
          <c:orientation val="minMax"/>
        </c:scaling>
        <c:delete val="0"/>
        <c:axPos val="b"/>
        <c:title>
          <c:tx>
            <c:strRef>
              <c:f>gorillas_h_0kk!$A$6</c:f>
              <c:strCache>
                <c:ptCount val="1"/>
                <c:pt idx="0">
                  <c:v>Height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3654392"/>
        <c:crosses val="autoZero"/>
        <c:crossBetween val="midCat"/>
      </c:valAx>
      <c:valAx>
        <c:axId val="-2083654392"/>
        <c:scaling>
          <c:orientation val="minMax"/>
        </c:scaling>
        <c:delete val="0"/>
        <c:axPos val="l"/>
        <c:title>
          <c:tx>
            <c:strRef>
              <c:f>gorillas_h_0kk!$B$6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-2084406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Gorilla Heights and Weights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gorillas_h_kk!$B$6</c:f>
              <c:strCache>
                <c:ptCount val="1"/>
                <c:pt idx="0">
                  <c:v>Weight</c:v>
                </c:pt>
              </c:strCache>
            </c:strRef>
          </c:tx>
          <c:spPr>
            <a:ln w="47625">
              <a:noFill/>
            </a:ln>
          </c:spPr>
          <c:xVal>
            <c:numRef>
              <c:f>gorillas_h_kk!$A$7:$A$26</c:f>
              <c:numCache>
                <c:formatCode>General</c:formatCode>
                <c:ptCount val="20"/>
                <c:pt idx="0">
                  <c:v>45.0</c:v>
                </c:pt>
                <c:pt idx="1">
                  <c:v>51.0</c:v>
                </c:pt>
                <c:pt idx="2">
                  <c:v>57.0</c:v>
                </c:pt>
                <c:pt idx="3">
                  <c:v>57.0</c:v>
                </c:pt>
                <c:pt idx="4">
                  <c:v>47.0</c:v>
                </c:pt>
                <c:pt idx="5">
                  <c:v>51.0</c:v>
                </c:pt>
                <c:pt idx="6">
                  <c:v>51.0</c:v>
                </c:pt>
                <c:pt idx="7">
                  <c:v>43.0</c:v>
                </c:pt>
                <c:pt idx="8" formatCode="_-* #,##0_-;\-* #,##0_-;_-* &quot;-&quot;??_-;_-@_-">
                  <c:v>54.0</c:v>
                </c:pt>
                <c:pt idx="9" formatCode="_-* #,##0_-;\-* #,##0_-;_-* &quot;-&quot;??_-;_-@_-">
                  <c:v>31.0</c:v>
                </c:pt>
                <c:pt idx="10" formatCode="_-* #,##0_-;\-* #,##0_-;_-* &quot;-&quot;??_-;_-@_-">
                  <c:v>39.0</c:v>
                </c:pt>
                <c:pt idx="11" formatCode="_-* #,##0_-;\-* #,##0_-;_-* &quot;-&quot;??_-;_-@_-">
                  <c:v>55.0</c:v>
                </c:pt>
                <c:pt idx="12" formatCode="_-* #,##0_-;\-* #,##0_-;_-* &quot;-&quot;??_-;_-@_-">
                  <c:v>45.0</c:v>
                </c:pt>
                <c:pt idx="13" formatCode="_-* #,##0_-;\-* #,##0_-;_-* &quot;-&quot;??_-;_-@_-">
                  <c:v>53.0</c:v>
                </c:pt>
                <c:pt idx="14" formatCode="_-* #,##0_-;\-* #,##0_-;_-* &quot;-&quot;??_-;_-@_-">
                  <c:v>35.0</c:v>
                </c:pt>
                <c:pt idx="15" formatCode="_-* #,##0_-;\-* #,##0_-;_-* &quot;-&quot;??_-;_-@_-">
                  <c:v>49.0</c:v>
                </c:pt>
                <c:pt idx="16" formatCode="_-* #,##0_-;\-* #,##0_-;_-* &quot;-&quot;??_-;_-@_-">
                  <c:v>41.0</c:v>
                </c:pt>
                <c:pt idx="17" formatCode="_-* #,##0_-;\-* #,##0_-;_-* &quot;-&quot;??_-;_-@_-">
                  <c:v>35.0</c:v>
                </c:pt>
                <c:pt idx="18" formatCode="_-* #,##0_-;\-* #,##0_-;_-* &quot;-&quot;??_-;_-@_-">
                  <c:v>47.0</c:v>
                </c:pt>
                <c:pt idx="19" formatCode="_-* #,##0_-;\-* #,##0_-;_-* &quot;-&quot;??_-;_-@_-">
                  <c:v>35.0</c:v>
                </c:pt>
              </c:numCache>
            </c:numRef>
          </c:xVal>
          <c:yVal>
            <c:numRef>
              <c:f>gorillas_h_kk!$B$7:$B$26</c:f>
              <c:numCache>
                <c:formatCode>General</c:formatCode>
                <c:ptCount val="20"/>
                <c:pt idx="0">
                  <c:v>45.0</c:v>
                </c:pt>
                <c:pt idx="1">
                  <c:v>45.0</c:v>
                </c:pt>
                <c:pt idx="2">
                  <c:v>41.0</c:v>
                </c:pt>
                <c:pt idx="3">
                  <c:v>37.0</c:v>
                </c:pt>
                <c:pt idx="4">
                  <c:v>35.0</c:v>
                </c:pt>
                <c:pt idx="5">
                  <c:v>33.0</c:v>
                </c:pt>
                <c:pt idx="6">
                  <c:v>31.0</c:v>
                </c:pt>
                <c:pt idx="7">
                  <c:v>31.0</c:v>
                </c:pt>
                <c:pt idx="8">
                  <c:v>31.0</c:v>
                </c:pt>
                <c:pt idx="9">
                  <c:v>29.0</c:v>
                </c:pt>
                <c:pt idx="10">
                  <c:v>29.0</c:v>
                </c:pt>
                <c:pt idx="11">
                  <c:v>29.0</c:v>
                </c:pt>
                <c:pt idx="12">
                  <c:v>27.0</c:v>
                </c:pt>
                <c:pt idx="13">
                  <c:v>27.0</c:v>
                </c:pt>
                <c:pt idx="14">
                  <c:v>25.0</c:v>
                </c:pt>
                <c:pt idx="15">
                  <c:v>5.0</c:v>
                </c:pt>
                <c:pt idx="16">
                  <c:v>21.0</c:v>
                </c:pt>
                <c:pt idx="17">
                  <c:v>17.0</c:v>
                </c:pt>
                <c:pt idx="18">
                  <c:v>17.0</c:v>
                </c:pt>
                <c:pt idx="19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407688"/>
        <c:axId val="-2084110040"/>
      </c:scatterChart>
      <c:valAx>
        <c:axId val="-2147407688"/>
        <c:scaling>
          <c:orientation val="minMax"/>
        </c:scaling>
        <c:delete val="0"/>
        <c:axPos val="b"/>
        <c:title>
          <c:tx>
            <c:strRef>
              <c:f>gorillas_h_kk!$A$6</c:f>
              <c:strCache>
                <c:ptCount val="1"/>
                <c:pt idx="0">
                  <c:v>Height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4110040"/>
        <c:crosses val="autoZero"/>
        <c:crossBetween val="midCat"/>
      </c:valAx>
      <c:valAx>
        <c:axId val="-2084110040"/>
        <c:scaling>
          <c:orientation val="minMax"/>
        </c:scaling>
        <c:delete val="0"/>
        <c:axPos val="l"/>
        <c:title>
          <c:tx>
            <c:strRef>
              <c:f>gorillas_h_kk!$B$6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-2147407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Gorilla Heights and Weights:</a:t>
            </a:r>
          </a:p>
          <a:p>
            <a:pPr>
              <a:defRPr/>
            </a:pPr>
            <a:r>
              <a:rPr lang="en-US" sz="1800" b="1" i="0" baseline="0">
                <a:effectLst/>
              </a:rPr>
              <a:t>with King Kong!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gorillas_h_kk!$B$6</c:f>
              <c:strCache>
                <c:ptCount val="1"/>
                <c:pt idx="0">
                  <c:v>Weight</c:v>
                </c:pt>
              </c:strCache>
            </c:strRef>
          </c:tx>
          <c:spPr>
            <a:ln w="47625">
              <a:noFill/>
            </a:ln>
          </c:spPr>
          <c:xVal>
            <c:numRef>
              <c:f>gorillas_h_kk!$A$7:$A$27</c:f>
              <c:numCache>
                <c:formatCode>General</c:formatCode>
                <c:ptCount val="21"/>
                <c:pt idx="0">
                  <c:v>45.0</c:v>
                </c:pt>
                <c:pt idx="1">
                  <c:v>51.0</c:v>
                </c:pt>
                <c:pt idx="2">
                  <c:v>57.0</c:v>
                </c:pt>
                <c:pt idx="3">
                  <c:v>57.0</c:v>
                </c:pt>
                <c:pt idx="4">
                  <c:v>47.0</c:v>
                </c:pt>
                <c:pt idx="5">
                  <c:v>51.0</c:v>
                </c:pt>
                <c:pt idx="6">
                  <c:v>51.0</c:v>
                </c:pt>
                <c:pt idx="7">
                  <c:v>43.0</c:v>
                </c:pt>
                <c:pt idx="8" formatCode="_-* #,##0_-;\-* #,##0_-;_-* &quot;-&quot;??_-;_-@_-">
                  <c:v>54.0</c:v>
                </c:pt>
                <c:pt idx="9" formatCode="_-* #,##0_-;\-* #,##0_-;_-* &quot;-&quot;??_-;_-@_-">
                  <c:v>31.0</c:v>
                </c:pt>
                <c:pt idx="10" formatCode="_-* #,##0_-;\-* #,##0_-;_-* &quot;-&quot;??_-;_-@_-">
                  <c:v>39.0</c:v>
                </c:pt>
                <c:pt idx="11" formatCode="_-* #,##0_-;\-* #,##0_-;_-* &quot;-&quot;??_-;_-@_-">
                  <c:v>55.0</c:v>
                </c:pt>
                <c:pt idx="12" formatCode="_-* #,##0_-;\-* #,##0_-;_-* &quot;-&quot;??_-;_-@_-">
                  <c:v>45.0</c:v>
                </c:pt>
                <c:pt idx="13" formatCode="_-* #,##0_-;\-* #,##0_-;_-* &quot;-&quot;??_-;_-@_-">
                  <c:v>53.0</c:v>
                </c:pt>
                <c:pt idx="14" formatCode="_-* #,##0_-;\-* #,##0_-;_-* &quot;-&quot;??_-;_-@_-">
                  <c:v>35.0</c:v>
                </c:pt>
                <c:pt idx="15" formatCode="_-* #,##0_-;\-* #,##0_-;_-* &quot;-&quot;??_-;_-@_-">
                  <c:v>49.0</c:v>
                </c:pt>
                <c:pt idx="16" formatCode="_-* #,##0_-;\-* #,##0_-;_-* &quot;-&quot;??_-;_-@_-">
                  <c:v>41.0</c:v>
                </c:pt>
                <c:pt idx="17" formatCode="_-* #,##0_-;\-* #,##0_-;_-* &quot;-&quot;??_-;_-@_-">
                  <c:v>35.0</c:v>
                </c:pt>
                <c:pt idx="18" formatCode="_-* #,##0_-;\-* #,##0_-;_-* &quot;-&quot;??_-;_-@_-">
                  <c:v>47.0</c:v>
                </c:pt>
                <c:pt idx="19" formatCode="_-* #,##0_-;\-* #,##0_-;_-* &quot;-&quot;??_-;_-@_-">
                  <c:v>35.0</c:v>
                </c:pt>
                <c:pt idx="20" formatCode="_-* #,##0_-;\-* #,##0_-;_-* &quot;-&quot;??_-;_-@_-">
                  <c:v>130.0</c:v>
                </c:pt>
              </c:numCache>
            </c:numRef>
          </c:xVal>
          <c:yVal>
            <c:numRef>
              <c:f>gorillas_h_kk!$B$7:$B$27</c:f>
              <c:numCache>
                <c:formatCode>General</c:formatCode>
                <c:ptCount val="21"/>
                <c:pt idx="0">
                  <c:v>45.0</c:v>
                </c:pt>
                <c:pt idx="1">
                  <c:v>45.0</c:v>
                </c:pt>
                <c:pt idx="2">
                  <c:v>41.0</c:v>
                </c:pt>
                <c:pt idx="3">
                  <c:v>37.0</c:v>
                </c:pt>
                <c:pt idx="4">
                  <c:v>35.0</c:v>
                </c:pt>
                <c:pt idx="5">
                  <c:v>33.0</c:v>
                </c:pt>
                <c:pt idx="6">
                  <c:v>31.0</c:v>
                </c:pt>
                <c:pt idx="7">
                  <c:v>31.0</c:v>
                </c:pt>
                <c:pt idx="8">
                  <c:v>31.0</c:v>
                </c:pt>
                <c:pt idx="9">
                  <c:v>29.0</c:v>
                </c:pt>
                <c:pt idx="10">
                  <c:v>29.0</c:v>
                </c:pt>
                <c:pt idx="11">
                  <c:v>29.0</c:v>
                </c:pt>
                <c:pt idx="12">
                  <c:v>27.0</c:v>
                </c:pt>
                <c:pt idx="13">
                  <c:v>27.0</c:v>
                </c:pt>
                <c:pt idx="14">
                  <c:v>25.0</c:v>
                </c:pt>
                <c:pt idx="15">
                  <c:v>5.0</c:v>
                </c:pt>
                <c:pt idx="16">
                  <c:v>21.0</c:v>
                </c:pt>
                <c:pt idx="17">
                  <c:v>17.0</c:v>
                </c:pt>
                <c:pt idx="18">
                  <c:v>17.0</c:v>
                </c:pt>
                <c:pt idx="19">
                  <c:v>13.0</c:v>
                </c:pt>
                <c:pt idx="20">
                  <c:v>150.0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099576"/>
        <c:axId val="-2083818136"/>
      </c:scatterChart>
      <c:valAx>
        <c:axId val="-2147099576"/>
        <c:scaling>
          <c:orientation val="minMax"/>
        </c:scaling>
        <c:delete val="0"/>
        <c:axPos val="b"/>
        <c:title>
          <c:tx>
            <c:strRef>
              <c:f>gorillas_h_kk!$A$6</c:f>
              <c:strCache>
                <c:ptCount val="1"/>
                <c:pt idx="0">
                  <c:v>Height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3818136"/>
        <c:crosses val="autoZero"/>
        <c:crossBetween val="midCat"/>
      </c:valAx>
      <c:valAx>
        <c:axId val="-2083818136"/>
        <c:scaling>
          <c:orientation val="minMax"/>
        </c:scaling>
        <c:delete val="0"/>
        <c:axPos val="l"/>
        <c:title>
          <c:tx>
            <c:strRef>
              <c:f>gorillas_h_kk!$B$6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-2147099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'simul_large (2)'!$H$10</c:f>
          <c:strCache>
            <c:ptCount val="1"/>
            <c:pt idx="0">
              <c:v>Skew 0.2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'simul_large (2)'!$G$14:$G$24</c:f>
              <c:numCache>
                <c:formatCode>General</c:formatCode>
                <c:ptCount val="11"/>
                <c:pt idx="0">
                  <c:v>1.0</c:v>
                </c:pt>
                <c:pt idx="1">
                  <c:v>6.0</c:v>
                </c:pt>
                <c:pt idx="2">
                  <c:v>5.0</c:v>
                </c:pt>
                <c:pt idx="3">
                  <c:v>4.0</c:v>
                </c:pt>
                <c:pt idx="4">
                  <c:v>8.0</c:v>
                </c:pt>
                <c:pt idx="5">
                  <c:v>9.0</c:v>
                </c:pt>
                <c:pt idx="6">
                  <c:v>9.0</c:v>
                </c:pt>
                <c:pt idx="7">
                  <c:v>4.0</c:v>
                </c:pt>
                <c:pt idx="8">
                  <c:v>3.0</c:v>
                </c:pt>
                <c:pt idx="9">
                  <c:v>0.0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078804632"/>
        <c:axId val="1795523768"/>
      </c:barChart>
      <c:catAx>
        <c:axId val="-2078804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795523768"/>
        <c:crosses val="autoZero"/>
        <c:auto val="1"/>
        <c:lblAlgn val="ctr"/>
        <c:lblOffset val="100"/>
        <c:noMultiLvlLbl val="0"/>
      </c:catAx>
      <c:valAx>
        <c:axId val="1795523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78804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boxplot_eg!$C$3</c:f>
          <c:strCache>
            <c:ptCount val="1"/>
            <c:pt idx="0">
              <c:v>Boxplot Method 1: Line Chart</c:v>
            </c:pt>
          </c:strCache>
        </c:strRef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boxplot_eg!$C$4</c:f>
              <c:strCache>
                <c:ptCount val="1"/>
                <c:pt idx="0">
                  <c:v>Q1</c:v>
                </c:pt>
              </c:strCache>
            </c:strRef>
          </c:tx>
          <c:val>
            <c:numRef>
              <c:f>boxplot_eg!$D$4</c:f>
              <c:numCache>
                <c:formatCode>0.0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boxplot_eg!$C$5</c:f>
              <c:strCache>
                <c:ptCount val="1"/>
                <c:pt idx="0">
                  <c:v>Minimum</c:v>
                </c:pt>
              </c:strCache>
            </c:strRef>
          </c:tx>
          <c:val>
            <c:numRef>
              <c:f>boxplot_eg!$D$5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boxplot_eg!$C$6</c:f>
              <c:strCache>
                <c:ptCount val="1"/>
                <c:pt idx="0">
                  <c:v>Median</c:v>
                </c:pt>
              </c:strCache>
            </c:strRef>
          </c:tx>
          <c:val>
            <c:numRef>
              <c:f>boxplot_eg!$D$6</c:f>
              <c:numCache>
                <c:formatCode>General</c:formatCode>
                <c:ptCount val="1"/>
                <c:pt idx="0">
                  <c:v>2.5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boxplot_eg!$C$7</c:f>
              <c:strCache>
                <c:ptCount val="1"/>
                <c:pt idx="0">
                  <c:v>Maximum</c:v>
                </c:pt>
              </c:strCache>
            </c:strRef>
          </c:tx>
          <c:val>
            <c:numRef>
              <c:f>boxplot_eg!$D$7</c:f>
              <c:numCache>
                <c:formatCode>General</c:formatCode>
                <c:ptCount val="1"/>
                <c:pt idx="0">
                  <c:v>10.0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boxplot_eg!$C$8</c:f>
              <c:strCache>
                <c:ptCount val="1"/>
                <c:pt idx="0">
                  <c:v>Q3</c:v>
                </c:pt>
              </c:strCache>
            </c:strRef>
          </c:tx>
          <c:val>
            <c:numRef>
              <c:f>boxplot_eg!$D$8</c:f>
              <c:numCache>
                <c:formatCode>General</c:formatCode>
                <c:ptCount val="1"/>
                <c:pt idx="0">
                  <c:v>6.25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noFill/>
              <a:ln>
                <a:solidFill>
                  <a:schemeClr val="tx1"/>
                </a:solidFill>
              </a:ln>
            </c:spPr>
          </c:upBars>
          <c:downBars/>
        </c:upDownBars>
        <c:marker val="1"/>
        <c:smooth val="0"/>
        <c:axId val="-1988425048"/>
        <c:axId val="1789621240"/>
      </c:lineChart>
      <c:catAx>
        <c:axId val="-1988425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9621240"/>
        <c:crosses val="autoZero"/>
        <c:auto val="1"/>
        <c:lblAlgn val="ctr"/>
        <c:lblOffset val="100"/>
        <c:noMultiLvlLbl val="0"/>
      </c:catAx>
      <c:valAx>
        <c:axId val="178962124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crossAx val="-1988425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162560</xdr:colOff>
      <xdr:row>4</xdr:row>
      <xdr:rowOff>35560</xdr:rowOff>
    </xdr:from>
    <xdr:to>
      <xdr:col>12</xdr:col>
      <xdr:colOff>20320</xdr:colOff>
      <xdr:row>18</xdr:row>
      <xdr:rowOff>55880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243840</xdr:colOff>
      <xdr:row>5</xdr:row>
      <xdr:rowOff>30480</xdr:rowOff>
    </xdr:from>
    <xdr:to>
      <xdr:col>14</xdr:col>
      <xdr:colOff>701040</xdr:colOff>
      <xdr:row>19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254000</xdr:colOff>
      <xdr:row>20</xdr:row>
      <xdr:rowOff>40640</xdr:rowOff>
    </xdr:from>
    <xdr:to>
      <xdr:col>14</xdr:col>
      <xdr:colOff>711200</xdr:colOff>
      <xdr:row>34</xdr:row>
      <xdr:rowOff>81280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19050</xdr:rowOff>
    </xdr:from>
    <xdr:to>
      <xdr:col>11</xdr:col>
      <xdr:colOff>457200</xdr:colOff>
      <xdr:row>16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9</xdr:row>
      <xdr:rowOff>6350</xdr:rowOff>
    </xdr:from>
    <xdr:to>
      <xdr:col>12</xdr:col>
      <xdr:colOff>482600</xdr:colOff>
      <xdr:row>23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</xdr:colOff>
      <xdr:row>27</xdr:row>
      <xdr:rowOff>5080</xdr:rowOff>
    </xdr:from>
    <xdr:to>
      <xdr:col>8</xdr:col>
      <xdr:colOff>1158240</xdr:colOff>
      <xdr:row>41</xdr:row>
      <xdr:rowOff>45720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1229360</xdr:colOff>
      <xdr:row>27</xdr:row>
      <xdr:rowOff>0</xdr:rowOff>
    </xdr:from>
    <xdr:to>
      <xdr:col>10</xdr:col>
      <xdr:colOff>579120</xdr:colOff>
      <xdr:row>41</xdr:row>
      <xdr:rowOff>40640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30480</xdr:colOff>
      <xdr:row>1</xdr:row>
      <xdr:rowOff>60960</xdr:rowOff>
    </xdr:from>
    <xdr:ext cx="3173189" cy="261610"/>
    <xdr:sp macro="" textlink="">
      <xdr:nvSpPr>
        <xdr:cNvPr id="6" name="TextBox 5"/>
        <xdr:cNvSpPr txBox="1"/>
      </xdr:nvSpPr>
      <xdr:spPr>
        <a:xfrm>
          <a:off x="30480" y="254000"/>
          <a:ext cx="3173189" cy="2616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King Kong Example</a:t>
          </a:r>
          <a:r>
            <a:rPr lang="en-US" sz="1100" baseline="0"/>
            <a:t> from Makridakis pages 197 - 198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</xdr:colOff>
      <xdr:row>27</xdr:row>
      <xdr:rowOff>5080</xdr:rowOff>
    </xdr:from>
    <xdr:to>
      <xdr:col>8</xdr:col>
      <xdr:colOff>1158240</xdr:colOff>
      <xdr:row>41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1229360</xdr:colOff>
      <xdr:row>27</xdr:row>
      <xdr:rowOff>0</xdr:rowOff>
    </xdr:from>
    <xdr:to>
      <xdr:col>10</xdr:col>
      <xdr:colOff>579120</xdr:colOff>
      <xdr:row>41</xdr:row>
      <xdr:rowOff>40640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30480</xdr:colOff>
      <xdr:row>1</xdr:row>
      <xdr:rowOff>60960</xdr:rowOff>
    </xdr:from>
    <xdr:ext cx="3173189" cy="261610"/>
    <xdr:sp macro="" textlink="">
      <xdr:nvSpPr>
        <xdr:cNvPr id="6" name="TextBox 5"/>
        <xdr:cNvSpPr txBox="1"/>
      </xdr:nvSpPr>
      <xdr:spPr>
        <a:xfrm>
          <a:off x="30480" y="251460"/>
          <a:ext cx="3173189" cy="2616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King Kong Example</a:t>
          </a:r>
          <a:r>
            <a:rPr lang="en-US" sz="1100" baseline="0"/>
            <a:t> from Makridakis pages 197 - 198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9</xdr:row>
      <xdr:rowOff>6350</xdr:rowOff>
    </xdr:from>
    <xdr:to>
      <xdr:col>12</xdr:col>
      <xdr:colOff>482600</xdr:colOff>
      <xdr:row>23</xdr:row>
      <xdr:rowOff>82550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9</xdr:row>
      <xdr:rowOff>19050</xdr:rowOff>
    </xdr:from>
    <xdr:to>
      <xdr:col>7</xdr:col>
      <xdr:colOff>482600</xdr:colOff>
      <xdr:row>23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6"/>
  <sheetViews>
    <sheetView tabSelected="1" zoomScale="125" zoomScaleNormal="125" zoomScalePageLayoutView="125" workbookViewId="0"/>
  </sheetViews>
  <sheetFormatPr baseColWidth="10" defaultRowHeight="15" x14ac:dyDescent="0"/>
  <cols>
    <col min="1" max="1" width="5.1640625" customWidth="1"/>
    <col min="2" max="2" width="15.1640625" bestFit="1" customWidth="1"/>
    <col min="3" max="3" width="16.83203125" bestFit="1" customWidth="1"/>
    <col min="4" max="4" width="25" customWidth="1"/>
    <col min="5" max="5" width="9.83203125" customWidth="1"/>
    <col min="6" max="6" width="37.33203125" bestFit="1" customWidth="1"/>
    <col min="7" max="7" width="4" bestFit="1" customWidth="1"/>
    <col min="8" max="8" width="9.6640625" bestFit="1" customWidth="1"/>
  </cols>
  <sheetData>
    <row r="1" spans="1:6">
      <c r="A1" s="1" t="s">
        <v>0</v>
      </c>
    </row>
    <row r="2" spans="1:6">
      <c r="A2" t="s">
        <v>23</v>
      </c>
    </row>
    <row r="4" spans="1:6">
      <c r="D4" s="1" t="s">
        <v>33</v>
      </c>
      <c r="E4" s="7">
        <f>((E9-E14)/E10)*3</f>
        <v>-0.37839373433213475</v>
      </c>
    </row>
    <row r="5" spans="1:6">
      <c r="D5" s="1" t="s">
        <v>29</v>
      </c>
      <c r="E5" s="7">
        <f>SKEW(data2a)</f>
        <v>-0.45865907191773941</v>
      </c>
      <c r="F5" t="str">
        <f>D5&amp;" = "&amp;ROUND(E5,4)</f>
        <v>Skewness: SKEW() = -0.4587</v>
      </c>
    </row>
    <row r="6" spans="1:6" ht="16" thickBot="1">
      <c r="A6" s="1" t="s">
        <v>2</v>
      </c>
      <c r="B6" s="3" t="s">
        <v>11</v>
      </c>
      <c r="C6" s="1" t="s">
        <v>16</v>
      </c>
      <c r="D6" s="1" t="s">
        <v>30</v>
      </c>
      <c r="E6" s="8">
        <f>E12*(E13/((E12-1)*(E12-2)*E11))</f>
        <v>-0.45865907191773908</v>
      </c>
      <c r="F6" t="str">
        <f>IF(E6&gt;0,"SKEW is positive so positive skewness",IF(E6&lt;0,"SKEW is negative so negative skewness","SKEW is zero so no skewness"))</f>
        <v>SKEW is negative so negative skewness</v>
      </c>
    </row>
    <row r="7" spans="1:6" ht="16" thickTop="1">
      <c r="A7">
        <v>2</v>
      </c>
      <c r="B7" s="2">
        <f>(A7-E$9)^3</f>
        <v>-1.5625E-2</v>
      </c>
      <c r="C7" s="5">
        <f>((A7-E$9)/E$10)^3</f>
        <v>-2.0066334396401085E-3</v>
      </c>
      <c r="D7" t="s">
        <v>15</v>
      </c>
      <c r="E7" s="6">
        <f>(1/E12)*SUM(C7:C14)</f>
        <v>-0.30099501594601652</v>
      </c>
    </row>
    <row r="8" spans="1:6">
      <c r="A8">
        <v>3</v>
      </c>
      <c r="B8" s="2">
        <f>(A8-E$9)^3</f>
        <v>0.421875</v>
      </c>
      <c r="C8" s="5">
        <f>((A8-E$9)/E$10)^3</f>
        <v>5.4179102870282922E-2</v>
      </c>
      <c r="D8" s="1" t="s">
        <v>10</v>
      </c>
      <c r="E8" s="5"/>
    </row>
    <row r="9" spans="1:6">
      <c r="A9">
        <v>-1</v>
      </c>
      <c r="B9" s="2">
        <f>(A9-E$9)^3</f>
        <v>-34.328125</v>
      </c>
      <c r="C9" s="5">
        <f>((A9-E$9)/E$10)^3</f>
        <v>-4.4085736668893194</v>
      </c>
      <c r="D9" t="s">
        <v>5</v>
      </c>
      <c r="E9" s="7">
        <f>AVERAGE(data2a)</f>
        <v>2.25</v>
      </c>
    </row>
    <row r="10" spans="1:6">
      <c r="A10">
        <v>3</v>
      </c>
      <c r="B10" s="2">
        <f>(A10-E$9)^3</f>
        <v>0.421875</v>
      </c>
      <c r="C10" s="5">
        <f>((A10-E$9)/E$10)^3</f>
        <v>5.4179102870282922E-2</v>
      </c>
      <c r="D10" t="s">
        <v>7</v>
      </c>
      <c r="E10" s="7">
        <f>STDEV(data2a)</f>
        <v>1.9820624179302297</v>
      </c>
    </row>
    <row r="11" spans="1:6">
      <c r="A11">
        <v>4</v>
      </c>
      <c r="B11" s="2">
        <f>(A11-E$9)^3</f>
        <v>5.359375</v>
      </c>
      <c r="C11" s="5">
        <f>((A11-E$9)/E$10)^3</f>
        <v>0.68827526979655707</v>
      </c>
      <c r="D11" t="s">
        <v>8</v>
      </c>
      <c r="E11" s="7">
        <f>E10^3</f>
        <v>7.7866737847259033</v>
      </c>
    </row>
    <row r="12" spans="1:6">
      <c r="A12">
        <v>5</v>
      </c>
      <c r="B12" s="2">
        <f>(A12-E$9)^3</f>
        <v>20.796875</v>
      </c>
      <c r="C12" s="5">
        <f>((A12-E$9)/E$10)^3</f>
        <v>2.6708291081609845</v>
      </c>
      <c r="D12" t="s">
        <v>6</v>
      </c>
      <c r="E12" s="7">
        <f>COUNT(data2a)</f>
        <v>8</v>
      </c>
    </row>
    <row r="13" spans="1:6">
      <c r="A13">
        <v>0</v>
      </c>
      <c r="B13" s="2">
        <f>(A13-E$9)^3</f>
        <v>-11.390625</v>
      </c>
      <c r="C13" s="5">
        <f>((A13-E$9)/E$10)^3</f>
        <v>-1.4628357774976395</v>
      </c>
      <c r="D13" t="s">
        <v>12</v>
      </c>
      <c r="E13" s="7">
        <f>SUM(B7:B56)</f>
        <v>-18.75</v>
      </c>
    </row>
    <row r="14" spans="1:6">
      <c r="A14">
        <v>2</v>
      </c>
      <c r="B14" s="2">
        <f>(A14-E$9)^3</f>
        <v>-1.5625E-2</v>
      </c>
      <c r="C14" s="5">
        <f>((A14-E$9)/E$10)^3</f>
        <v>-2.0066334396401085E-3</v>
      </c>
      <c r="D14" t="s">
        <v>22</v>
      </c>
      <c r="E14" s="7">
        <f>MEDIAN(data2a)</f>
        <v>2.5</v>
      </c>
      <c r="F14" t="str">
        <f>IF(E9&gt;E14,"mean &gt; median so positive skew",IF(E14&gt;E9,"median &gt; mean so negative skew","mean = median so not skewed"))</f>
        <v>median &gt; mean so negative skew</v>
      </c>
    </row>
    <row r="15" spans="1:6">
      <c r="A15" s="2"/>
      <c r="D15" t="s">
        <v>17</v>
      </c>
      <c r="E15" s="7">
        <f>MIN(data2a)</f>
        <v>-1</v>
      </c>
    </row>
    <row r="16" spans="1:6">
      <c r="A16" s="2"/>
      <c r="D16" t="s">
        <v>18</v>
      </c>
      <c r="E16" s="7">
        <f>MAX(data2a)</f>
        <v>5</v>
      </c>
    </row>
    <row r="17" spans="1:8">
      <c r="A17" s="2"/>
      <c r="D17" t="s">
        <v>14</v>
      </c>
      <c r="E17" s="6"/>
    </row>
    <row r="18" spans="1:8">
      <c r="A18" s="2"/>
      <c r="E18" s="7">
        <f>(SKEW(data2a)*(E12-2))/SQRT(E12*(E12-1))</f>
        <v>-0.36774537952540504</v>
      </c>
    </row>
    <row r="19" spans="1:8">
      <c r="A19" s="2"/>
    </row>
    <row r="20" spans="1:8">
      <c r="A20" s="2"/>
      <c r="G20" s="3" t="s">
        <v>40</v>
      </c>
      <c r="H20" s="3" t="s">
        <v>60</v>
      </c>
    </row>
    <row r="21" spans="1:8">
      <c r="A21" s="2"/>
      <c r="G21">
        <v>-1</v>
      </c>
      <c r="H21">
        <f t="array" ref="H21:H27">FREQUENCY(A7:A14,G21:G27)</f>
        <v>1</v>
      </c>
    </row>
    <row r="22" spans="1:8">
      <c r="A22" s="2"/>
      <c r="G22">
        <f>G21+1</f>
        <v>0</v>
      </c>
      <c r="H22">
        <v>1</v>
      </c>
    </row>
    <row r="23" spans="1:8">
      <c r="A23" s="2"/>
      <c r="G23">
        <f>G22+1</f>
        <v>1</v>
      </c>
      <c r="H23">
        <v>0</v>
      </c>
    </row>
    <row r="24" spans="1:8">
      <c r="A24" s="2"/>
      <c r="E24" s="4"/>
      <c r="G24">
        <f>G23+1</f>
        <v>2</v>
      </c>
      <c r="H24">
        <v>2</v>
      </c>
    </row>
    <row r="25" spans="1:8">
      <c r="A25" s="2"/>
      <c r="G25">
        <f>G24+1</f>
        <v>3</v>
      </c>
      <c r="H25">
        <v>2</v>
      </c>
    </row>
    <row r="26" spans="1:8">
      <c r="A26" s="2"/>
      <c r="G26">
        <f>G25+1</f>
        <v>4</v>
      </c>
      <c r="H26">
        <v>1</v>
      </c>
    </row>
    <row r="27" spans="1:8">
      <c r="A27" s="2"/>
      <c r="G27">
        <f>G26+1</f>
        <v>5</v>
      </c>
      <c r="H27">
        <v>1</v>
      </c>
    </row>
    <row r="28" spans="1:8">
      <c r="A28" s="2"/>
    </row>
    <row r="29" spans="1:8">
      <c r="A29" s="2"/>
    </row>
    <row r="30" spans="1:8">
      <c r="A30" s="2"/>
    </row>
    <row r="31" spans="1:8">
      <c r="A31" s="2"/>
    </row>
    <row r="32" spans="1:8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</sheetData>
  <conditionalFormatting sqref="F14">
    <cfRule type="containsText" dxfId="21" priority="3" operator="containsText" text="negative">
      <formula>NOT(ISERROR(SEARCH("negative",F14)))</formula>
    </cfRule>
    <cfRule type="containsText" dxfId="20" priority="4" operator="containsText" text="positive">
      <formula>NOT(ISERROR(SEARCH("positive",F14)))</formula>
    </cfRule>
  </conditionalFormatting>
  <conditionalFormatting sqref="F6">
    <cfRule type="containsText" dxfId="19" priority="1" operator="containsText" text="negative">
      <formula>NOT(ISERROR(SEARCH("negative",F6)))</formula>
    </cfRule>
    <cfRule type="containsText" dxfId="18" priority="2" operator="containsText" text="positive">
      <formula>NOT(ISERROR(SEARCH("positive",F6)))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56"/>
  <sheetViews>
    <sheetView zoomScale="125" zoomScaleNormal="125" zoomScalePageLayoutView="125" workbookViewId="0"/>
  </sheetViews>
  <sheetFormatPr baseColWidth="10" defaultRowHeight="15" x14ac:dyDescent="0"/>
  <cols>
    <col min="3" max="3" width="7" bestFit="1" customWidth="1"/>
    <col min="4" max="4" width="15.1640625" bestFit="1" customWidth="1"/>
    <col min="5" max="5" width="13.1640625" bestFit="1" customWidth="1"/>
    <col min="6" max="6" width="22" bestFit="1" customWidth="1"/>
    <col min="7" max="7" width="15.1640625" bestFit="1" customWidth="1"/>
    <col min="8" max="8" width="12.1640625" bestFit="1" customWidth="1"/>
  </cols>
  <sheetData>
    <row r="1" spans="1:8">
      <c r="A1" s="1" t="s">
        <v>24</v>
      </c>
    </row>
    <row r="2" spans="1:8">
      <c r="A2" t="s">
        <v>1</v>
      </c>
    </row>
    <row r="3" spans="1:8">
      <c r="A3" t="s">
        <v>3</v>
      </c>
    </row>
    <row r="4" spans="1:8">
      <c r="F4" t="s">
        <v>34</v>
      </c>
      <c r="G4" s="7">
        <f>((G9-G14)/G10)*3</f>
        <v>0.59972849915885029</v>
      </c>
    </row>
    <row r="5" spans="1:8">
      <c r="E5" t="s">
        <v>13</v>
      </c>
      <c r="F5" s="1" t="s">
        <v>29</v>
      </c>
      <c r="G5" s="7">
        <f>SKEW(data)</f>
        <v>0.11750248043724534</v>
      </c>
    </row>
    <row r="6" spans="1:8" ht="16" thickBot="1">
      <c r="A6" s="1" t="s">
        <v>2</v>
      </c>
      <c r="C6" s="1" t="str">
        <f>A6</f>
        <v>Data</v>
      </c>
      <c r="D6" s="3" t="s">
        <v>11</v>
      </c>
      <c r="E6" s="1" t="s">
        <v>31</v>
      </c>
      <c r="F6" s="1" t="s">
        <v>30</v>
      </c>
      <c r="G6" s="8">
        <f>G12*(G13/((G12-1)*(G12-2)*G11))</f>
        <v>0.11750248043724536</v>
      </c>
      <c r="H6" t="str">
        <f>IF(G6&gt;0,"SKEW is positive so positive skewness",IF(G6&lt;0,"SKEW is negative so negative skewness","SKEW is zero so no skewness"))</f>
        <v>SKEW is positive so positive skewness</v>
      </c>
    </row>
    <row r="7" spans="1:8" ht="16" thickTop="1">
      <c r="A7" s="2">
        <v>602</v>
      </c>
      <c r="C7" s="2">
        <f t="shared" ref="C7:C56" si="0">A7</f>
        <v>602</v>
      </c>
      <c r="D7" s="2">
        <f>(A7-G$9)^3</f>
        <v>-7625829939.6423702</v>
      </c>
      <c r="E7" s="5">
        <f>((A7-G$9)/G$10)^3</f>
        <v>-3.2435787909966121</v>
      </c>
      <c r="F7" t="s">
        <v>15</v>
      </c>
      <c r="G7" s="6">
        <f>(1/G12)*SUM(E7:E56)</f>
        <v>0.1105463335953604</v>
      </c>
    </row>
    <row r="8" spans="1:8">
      <c r="A8" s="2">
        <v>4119</v>
      </c>
      <c r="C8" s="2">
        <f t="shared" si="0"/>
        <v>4119</v>
      </c>
      <c r="D8" s="2">
        <f>(A8-G$9)^3</f>
        <v>3714369199.8600307</v>
      </c>
      <c r="E8" s="5">
        <f>((A8-G$9)/G$10)^3</f>
        <v>1.5798738306459092</v>
      </c>
      <c r="F8" s="1" t="s">
        <v>10</v>
      </c>
      <c r="G8" s="5"/>
    </row>
    <row r="9" spans="1:8">
      <c r="A9" s="2">
        <v>1751</v>
      </c>
      <c r="C9" s="2">
        <f t="shared" si="0"/>
        <v>1751</v>
      </c>
      <c r="D9" s="2">
        <f>(A9-G$9)^3</f>
        <v>-549997441.18956828</v>
      </c>
      <c r="E9" s="5">
        <f t="shared" ref="E9:E56" si="1">((A9-G$9)/G$10)^3</f>
        <v>-0.23393650913602101</v>
      </c>
      <c r="F9" t="s">
        <v>5</v>
      </c>
      <c r="G9" s="11">
        <f>AVERAGE(data)</f>
        <v>2570.3200000000002</v>
      </c>
    </row>
    <row r="10" spans="1:8">
      <c r="A10" s="2">
        <v>3091</v>
      </c>
      <c r="B10" t="s">
        <v>4</v>
      </c>
      <c r="C10" s="2">
        <f t="shared" si="0"/>
        <v>3091</v>
      </c>
      <c r="D10" s="2">
        <f>(A10-G$9)^3</f>
        <v>141160337.65843189</v>
      </c>
      <c r="E10" s="5">
        <f t="shared" si="1"/>
        <v>6.0041291371924113E-2</v>
      </c>
      <c r="F10" t="s">
        <v>7</v>
      </c>
      <c r="G10" s="2">
        <f>STDEV(data)</f>
        <v>1329.7016918797069</v>
      </c>
    </row>
    <row r="11" spans="1:8">
      <c r="A11" s="2">
        <v>3779</v>
      </c>
      <c r="C11" s="2">
        <f t="shared" si="0"/>
        <v>3779</v>
      </c>
      <c r="D11" s="2">
        <f t="shared" ref="D11:D16" si="2">(A11-G$9)^3</f>
        <v>1765769486.6120312</v>
      </c>
      <c r="E11" s="5">
        <f t="shared" si="1"/>
        <v>0.7510543117136913</v>
      </c>
      <c r="F11" t="s">
        <v>8</v>
      </c>
      <c r="G11" s="2">
        <f>G10^3</f>
        <v>2351054323.3325558</v>
      </c>
    </row>
    <row r="12" spans="1:8">
      <c r="A12" s="2">
        <v>3262</v>
      </c>
      <c r="C12" s="2">
        <f t="shared" si="0"/>
        <v>3262</v>
      </c>
      <c r="D12" s="2">
        <f t="shared" si="2"/>
        <v>330914391.10963178</v>
      </c>
      <c r="E12" s="5">
        <f t="shared" si="1"/>
        <v>0.1407514866098753</v>
      </c>
      <c r="F12" t="s">
        <v>6</v>
      </c>
      <c r="G12" s="2">
        <f>COUNT(data)</f>
        <v>50</v>
      </c>
    </row>
    <row r="13" spans="1:8">
      <c r="A13" s="2">
        <v>1853</v>
      </c>
      <c r="C13" s="2">
        <f t="shared" si="0"/>
        <v>1853</v>
      </c>
      <c r="D13" s="2">
        <f t="shared" si="2"/>
        <v>-369095558.73516822</v>
      </c>
      <c r="E13" s="5">
        <f t="shared" si="1"/>
        <v>-0.15699150592657735</v>
      </c>
      <c r="F13" t="s">
        <v>12</v>
      </c>
      <c r="G13" s="2">
        <f>SUM(D7:D56)</f>
        <v>12995021776.396755</v>
      </c>
    </row>
    <row r="14" spans="1:8">
      <c r="A14" s="2">
        <v>3564</v>
      </c>
      <c r="C14" s="2">
        <f t="shared" si="0"/>
        <v>3564</v>
      </c>
      <c r="D14" s="2">
        <f t="shared" si="2"/>
        <v>981159574.76403153</v>
      </c>
      <c r="E14" s="5">
        <f t="shared" si="1"/>
        <v>0.41732747943197851</v>
      </c>
      <c r="F14" t="s">
        <v>22</v>
      </c>
      <c r="G14" s="10">
        <f>MEDIAN(data)</f>
        <v>2304.5</v>
      </c>
      <c r="H14" t="str">
        <f>IF(G9&gt;G14,"mean &gt; median so positive skew",IF(G14&gt;G9,"median greater than mean so negative skew","mean = median so not skewed"))</f>
        <v>mean &gt; median so positive skew</v>
      </c>
    </row>
    <row r="15" spans="1:8">
      <c r="A15" s="2">
        <v>139</v>
      </c>
      <c r="C15" s="2">
        <f t="shared" si="0"/>
        <v>139</v>
      </c>
      <c r="D15" s="2">
        <f t="shared" si="2"/>
        <v>-14372303108.395971</v>
      </c>
      <c r="E15" s="5">
        <f t="shared" si="1"/>
        <v>-6.1131310177570111</v>
      </c>
      <c r="F15" t="s">
        <v>17</v>
      </c>
      <c r="G15" s="4">
        <f>MIN(data)</f>
        <v>139</v>
      </c>
    </row>
    <row r="16" spans="1:8">
      <c r="A16" s="2">
        <v>4567</v>
      </c>
      <c r="C16" s="2">
        <f t="shared" si="0"/>
        <v>4567</v>
      </c>
      <c r="D16" s="2">
        <f t="shared" si="2"/>
        <v>7960226097.8056297</v>
      </c>
      <c r="E16" s="5">
        <f t="shared" si="1"/>
        <v>3.3858112161875633</v>
      </c>
      <c r="F16" t="s">
        <v>18</v>
      </c>
      <c r="G16" s="4">
        <f>MAX(data)</f>
        <v>4930</v>
      </c>
    </row>
    <row r="17" spans="1:9">
      <c r="A17" s="2">
        <v>1605</v>
      </c>
      <c r="C17" s="2">
        <f t="shared" si="0"/>
        <v>1605</v>
      </c>
      <c r="D17" s="2">
        <f>(A17-G$9)^3</f>
        <v>-899526397.48076844</v>
      </c>
      <c r="E17" s="5">
        <f t="shared" si="1"/>
        <v>-0.38260553512252066</v>
      </c>
      <c r="G17" s="6"/>
    </row>
    <row r="18" spans="1:9">
      <c r="A18" s="2">
        <v>1281</v>
      </c>
      <c r="C18" s="2">
        <f t="shared" si="0"/>
        <v>1281</v>
      </c>
      <c r="D18" s="2">
        <f>(A18-G$9)^3</f>
        <v>-2143296025.1735687</v>
      </c>
      <c r="E18" s="5">
        <f t="shared" si="1"/>
        <v>-0.91163185975877592</v>
      </c>
      <c r="F18" t="s">
        <v>14</v>
      </c>
    </row>
    <row r="19" spans="1:9">
      <c r="A19" s="2">
        <v>3470</v>
      </c>
      <c r="C19" s="2">
        <f t="shared" si="0"/>
        <v>3470</v>
      </c>
      <c r="D19" s="2">
        <f>(A19-G$9)^3</f>
        <v>728222676.44723165</v>
      </c>
      <c r="E19" s="5">
        <f t="shared" si="1"/>
        <v>0.30974302431897682</v>
      </c>
      <c r="F19">
        <f>SKEW(data)*(G12-2)/SQRT(G12*(G12-1))</f>
        <v>0.11394761242068456</v>
      </c>
    </row>
    <row r="20" spans="1:9">
      <c r="A20" s="2">
        <v>1533</v>
      </c>
      <c r="C20" s="2">
        <f t="shared" si="0"/>
        <v>1533</v>
      </c>
      <c r="D20" s="2">
        <f>(A20-G$9)^3</f>
        <v>-1116190325.8391685</v>
      </c>
      <c r="E20" s="5">
        <f t="shared" si="1"/>
        <v>-0.47476160578756799</v>
      </c>
    </row>
    <row r="21" spans="1:9">
      <c r="A21" s="2">
        <v>1483</v>
      </c>
      <c r="C21" s="2">
        <f t="shared" si="0"/>
        <v>1483</v>
      </c>
      <c r="D21" s="2">
        <f t="shared" ref="D21:D23" si="3">(A21-G$9)^3</f>
        <v>-1285500143.1991687</v>
      </c>
      <c r="E21" s="5">
        <f t="shared" si="1"/>
        <v>-0.54677602743649367</v>
      </c>
      <c r="G21" s="3" t="s">
        <v>20</v>
      </c>
      <c r="H21" s="3" t="s">
        <v>21</v>
      </c>
      <c r="I21" s="3" t="s">
        <v>19</v>
      </c>
    </row>
    <row r="22" spans="1:9">
      <c r="A22" s="2">
        <v>1368</v>
      </c>
      <c r="C22" s="2">
        <f t="shared" si="0"/>
        <v>1368</v>
      </c>
      <c r="D22" s="2">
        <f t="shared" si="3"/>
        <v>-1738041789.1271689</v>
      </c>
      <c r="E22" s="5">
        <f t="shared" si="1"/>
        <v>-0.7392605827429547</v>
      </c>
      <c r="H22">
        <v>0</v>
      </c>
      <c r="I22">
        <f t="array" ref="I22:I32">FREQUENCY(data,H22:H32)</f>
        <v>0</v>
      </c>
    </row>
    <row r="23" spans="1:9">
      <c r="A23" s="2">
        <v>1642</v>
      </c>
      <c r="C23" s="2">
        <f t="shared" si="0"/>
        <v>1642</v>
      </c>
      <c r="D23" s="2">
        <f t="shared" si="3"/>
        <v>-800005773.75436842</v>
      </c>
      <c r="E23" s="5">
        <f t="shared" si="1"/>
        <v>-0.34027532491056262</v>
      </c>
      <c r="G23">
        <v>0</v>
      </c>
      <c r="H23">
        <f>H22+500</f>
        <v>500</v>
      </c>
      <c r="I23">
        <v>2</v>
      </c>
    </row>
    <row r="24" spans="1:9">
      <c r="A24" s="2">
        <v>3459</v>
      </c>
      <c r="C24" s="2">
        <f t="shared" si="0"/>
        <v>3459</v>
      </c>
      <c r="D24" s="2">
        <f>(A24-G$9)^3</f>
        <v>701836933.90803158</v>
      </c>
      <c r="E24" s="5">
        <f t="shared" si="1"/>
        <v>0.29852008392268742</v>
      </c>
      <c r="G24" s="4">
        <f>H23</f>
        <v>500</v>
      </c>
      <c r="H24">
        <f t="shared" ref="H24:H31" si="4">H23+500</f>
        <v>1000</v>
      </c>
      <c r="I24">
        <v>3</v>
      </c>
    </row>
    <row r="25" spans="1:9">
      <c r="A25" s="2">
        <v>4645</v>
      </c>
      <c r="C25" s="2">
        <f t="shared" si="0"/>
        <v>4645</v>
      </c>
      <c r="D25" s="2">
        <f>(A25-G$9)^3</f>
        <v>8930039112.4072304</v>
      </c>
      <c r="E25" s="5">
        <f t="shared" si="1"/>
        <v>3.7983125373934956</v>
      </c>
      <c r="G25" s="4">
        <f t="shared" ref="G25:G32" si="5">H24</f>
        <v>1000</v>
      </c>
      <c r="H25">
        <f t="shared" si="4"/>
        <v>1500</v>
      </c>
      <c r="I25">
        <v>7</v>
      </c>
    </row>
    <row r="26" spans="1:9">
      <c r="A26" s="2">
        <v>246</v>
      </c>
      <c r="C26" s="2">
        <f t="shared" si="0"/>
        <v>246</v>
      </c>
      <c r="D26" s="2">
        <f>(A26-G$9)^3</f>
        <v>-12557053874.92557</v>
      </c>
      <c r="E26" s="5">
        <f t="shared" si="1"/>
        <v>-5.3410309367612943</v>
      </c>
      <c r="G26" s="4">
        <f t="shared" si="5"/>
        <v>1500</v>
      </c>
      <c r="H26">
        <f t="shared" si="4"/>
        <v>2000</v>
      </c>
      <c r="I26">
        <v>9</v>
      </c>
    </row>
    <row r="27" spans="1:9">
      <c r="A27" s="2">
        <v>4471</v>
      </c>
      <c r="C27" s="2">
        <f t="shared" si="0"/>
        <v>4471</v>
      </c>
      <c r="D27" s="2">
        <f>(A27-G$9)^3</f>
        <v>6866367035.9944296</v>
      </c>
      <c r="E27" s="5">
        <f t="shared" si="1"/>
        <v>2.9205480145016547</v>
      </c>
      <c r="G27" s="4">
        <f t="shared" si="5"/>
        <v>2000</v>
      </c>
      <c r="H27">
        <f t="shared" si="4"/>
        <v>2500</v>
      </c>
      <c r="I27">
        <v>5</v>
      </c>
    </row>
    <row r="28" spans="1:9">
      <c r="A28" s="2">
        <v>2803</v>
      </c>
      <c r="C28" s="2">
        <f t="shared" si="0"/>
        <v>2803</v>
      </c>
      <c r="D28" s="2">
        <f t="shared" ref="D28:D33" si="6">(A28-G$9)^3</f>
        <v>12597291.104831973</v>
      </c>
      <c r="E28" s="5">
        <f t="shared" si="1"/>
        <v>5.3581454838421833E-3</v>
      </c>
      <c r="G28" s="4">
        <f t="shared" si="5"/>
        <v>2500</v>
      </c>
      <c r="H28">
        <f t="shared" si="4"/>
        <v>3000</v>
      </c>
      <c r="I28">
        <v>3</v>
      </c>
    </row>
    <row r="29" spans="1:9">
      <c r="A29" s="2">
        <v>3641</v>
      </c>
      <c r="C29" s="2">
        <f t="shared" si="0"/>
        <v>3641</v>
      </c>
      <c r="D29" s="2">
        <f t="shared" si="6"/>
        <v>1227380080.6184313</v>
      </c>
      <c r="E29" s="5">
        <f t="shared" si="1"/>
        <v>0.52205517687853908</v>
      </c>
      <c r="G29" s="4">
        <f t="shared" si="5"/>
        <v>3000</v>
      </c>
      <c r="H29">
        <f t="shared" si="4"/>
        <v>3500</v>
      </c>
      <c r="I29">
        <v>6</v>
      </c>
    </row>
    <row r="30" spans="1:9">
      <c r="A30" s="2">
        <v>4717</v>
      </c>
      <c r="C30" s="2">
        <f t="shared" si="0"/>
        <v>4717</v>
      </c>
      <c r="D30" s="2">
        <f t="shared" si="6"/>
        <v>9892405957.8856297</v>
      </c>
      <c r="E30" s="5">
        <f t="shared" si="1"/>
        <v>4.2076466969352762</v>
      </c>
      <c r="G30" s="4">
        <f t="shared" si="5"/>
        <v>3500</v>
      </c>
      <c r="H30">
        <f t="shared" si="4"/>
        <v>4000</v>
      </c>
      <c r="I30">
        <v>6</v>
      </c>
    </row>
    <row r="31" spans="1:9">
      <c r="A31" s="2">
        <v>3015</v>
      </c>
      <c r="C31" s="2">
        <f t="shared" si="0"/>
        <v>3015</v>
      </c>
      <c r="D31" s="2">
        <f t="shared" si="6"/>
        <v>87931157.671231896</v>
      </c>
      <c r="E31" s="5">
        <f t="shared" si="1"/>
        <v>3.7400734129610355E-2</v>
      </c>
      <c r="G31" s="4">
        <f t="shared" si="5"/>
        <v>4000</v>
      </c>
      <c r="H31">
        <f t="shared" si="4"/>
        <v>4500</v>
      </c>
      <c r="I31">
        <v>4</v>
      </c>
    </row>
    <row r="32" spans="1:9">
      <c r="A32" s="2">
        <v>1760</v>
      </c>
      <c r="C32" s="2">
        <f t="shared" si="0"/>
        <v>1760</v>
      </c>
      <c r="D32" s="2">
        <f t="shared" si="6"/>
        <v>-532071104.86476827</v>
      </c>
      <c r="E32" s="5">
        <f t="shared" si="1"/>
        <v>-0.2263117017690055</v>
      </c>
      <c r="G32" s="4">
        <f t="shared" si="5"/>
        <v>4500</v>
      </c>
      <c r="H32">
        <f>H31+500</f>
        <v>5000</v>
      </c>
      <c r="I32">
        <v>5</v>
      </c>
    </row>
    <row r="33" spans="1:9">
      <c r="A33" s="2">
        <v>1736</v>
      </c>
      <c r="C33" s="2">
        <f t="shared" si="0"/>
        <v>1736</v>
      </c>
      <c r="D33" s="2">
        <f t="shared" si="6"/>
        <v>-580761693.99756825</v>
      </c>
      <c r="E33" s="5">
        <f t="shared" si="1"/>
        <v>-0.24702180984672198</v>
      </c>
      <c r="I33">
        <f t="shared" ref="I33" si="7">SUM(I22:I32)</f>
        <v>50</v>
      </c>
    </row>
    <row r="34" spans="1:9">
      <c r="A34" s="2">
        <v>2170</v>
      </c>
      <c r="C34" s="2">
        <f t="shared" si="0"/>
        <v>2170</v>
      </c>
      <c r="D34" s="2">
        <f>(A34-G$9)^3</f>
        <v>-64153722.912768073</v>
      </c>
      <c r="E34" s="5">
        <f t="shared" si="1"/>
        <v>-2.7287214198365228E-2</v>
      </c>
    </row>
    <row r="35" spans="1:9">
      <c r="A35" s="2">
        <v>1857</v>
      </c>
      <c r="C35" s="2">
        <f t="shared" si="0"/>
        <v>1857</v>
      </c>
      <c r="D35" s="2">
        <f>(A35-G$9)^3</f>
        <v>-362955350.30636823</v>
      </c>
      <c r="E35" s="5">
        <f t="shared" si="1"/>
        <v>-0.15437982300293634</v>
      </c>
    </row>
    <row r="36" spans="1:9">
      <c r="A36" s="2">
        <v>2439</v>
      </c>
      <c r="C36" s="2">
        <f t="shared" si="0"/>
        <v>2439</v>
      </c>
      <c r="D36" s="2">
        <f>(A36-G$9)^3</f>
        <v>-2264605.8359680087</v>
      </c>
      <c r="E36" s="5">
        <f t="shared" si="1"/>
        <v>-9.632299064693627E-4</v>
      </c>
    </row>
    <row r="37" spans="1:9">
      <c r="A37" s="2">
        <v>1052</v>
      </c>
      <c r="C37" s="2">
        <f t="shared" si="0"/>
        <v>1052</v>
      </c>
      <c r="D37" s="2">
        <f>(A37-G$9)^3</f>
        <v>-3500176449.4023695</v>
      </c>
      <c r="E37" s="5">
        <f t="shared" si="1"/>
        <v>-1.4887688534737742</v>
      </c>
    </row>
    <row r="38" spans="1:9">
      <c r="A38" s="2">
        <v>2067</v>
      </c>
      <c r="C38" s="2">
        <f t="shared" si="0"/>
        <v>2067</v>
      </c>
      <c r="D38" s="2">
        <f t="shared" ref="D38:D43" si="8">(A38-G$9)^3</f>
        <v>-127506570.19436812</v>
      </c>
      <c r="E38" s="5">
        <f t="shared" si="1"/>
        <v>-5.4233783085722569E-2</v>
      </c>
    </row>
    <row r="39" spans="1:9">
      <c r="A39" s="2">
        <v>4220</v>
      </c>
      <c r="C39" s="2">
        <f t="shared" si="0"/>
        <v>4220</v>
      </c>
      <c r="D39" s="2">
        <f t="shared" si="8"/>
        <v>4489511906.84723</v>
      </c>
      <c r="E39" s="5">
        <f t="shared" si="1"/>
        <v>1.9095738717272468</v>
      </c>
    </row>
    <row r="40" spans="1:9">
      <c r="A40" s="2">
        <v>1422</v>
      </c>
      <c r="C40" s="2">
        <f t="shared" si="0"/>
        <v>1422</v>
      </c>
      <c r="D40" s="2">
        <f t="shared" si="8"/>
        <v>-1514219332.5383687</v>
      </c>
      <c r="E40" s="5">
        <f t="shared" si="1"/>
        <v>-0.64405969590358236</v>
      </c>
    </row>
    <row r="41" spans="1:9">
      <c r="A41" s="2">
        <v>1271</v>
      </c>
      <c r="C41" s="2">
        <f t="shared" si="0"/>
        <v>1271</v>
      </c>
      <c r="D41" s="2">
        <f t="shared" si="8"/>
        <v>-2193554203.0455685</v>
      </c>
      <c r="E41" s="5">
        <f t="shared" si="1"/>
        <v>-0.9330087277338045</v>
      </c>
    </row>
    <row r="42" spans="1:9">
      <c r="A42" s="2">
        <v>3770</v>
      </c>
      <c r="C42" s="2">
        <f t="shared" si="0"/>
        <v>3770</v>
      </c>
      <c r="D42" s="2">
        <f t="shared" si="8"/>
        <v>1726617968.6072311</v>
      </c>
      <c r="E42" s="5">
        <f t="shared" si="1"/>
        <v>0.73440156251251432</v>
      </c>
    </row>
    <row r="43" spans="1:9">
      <c r="A43" s="2">
        <v>3708</v>
      </c>
      <c r="C43" s="2">
        <f t="shared" si="0"/>
        <v>3708</v>
      </c>
      <c r="D43" s="2">
        <f t="shared" si="8"/>
        <v>1472517179.3208315</v>
      </c>
      <c r="E43" s="5">
        <f t="shared" si="1"/>
        <v>0.62632205675008723</v>
      </c>
    </row>
    <row r="44" spans="1:9">
      <c r="A44" s="2">
        <v>4418</v>
      </c>
      <c r="C44" s="2">
        <f t="shared" si="0"/>
        <v>4418</v>
      </c>
      <c r="D44" s="2">
        <f>(A44-G$9)^3</f>
        <v>6307834259.8328304</v>
      </c>
      <c r="E44" s="5">
        <f t="shared" si="1"/>
        <v>2.6829810767161026</v>
      </c>
    </row>
    <row r="45" spans="1:9">
      <c r="A45" s="2">
        <v>1329</v>
      </c>
      <c r="C45" s="2">
        <f t="shared" si="0"/>
        <v>1329</v>
      </c>
      <c r="D45" s="2">
        <f>(A45-G$9)^3</f>
        <v>-1912719380.0279689</v>
      </c>
      <c r="E45" s="5">
        <f t="shared" si="1"/>
        <v>-0.81355813902110985</v>
      </c>
    </row>
    <row r="46" spans="1:9">
      <c r="A46" s="2">
        <v>3628</v>
      </c>
      <c r="C46" s="2">
        <f t="shared" si="0"/>
        <v>3628</v>
      </c>
      <c r="D46" s="2">
        <f>(A46-G$9)^3</f>
        <v>1183212847.5448315</v>
      </c>
      <c r="E46" s="5">
        <f t="shared" si="1"/>
        <v>0.50326903798107869</v>
      </c>
    </row>
    <row r="47" spans="1:9">
      <c r="A47" s="2">
        <v>4930</v>
      </c>
      <c r="C47" s="2">
        <f t="shared" si="0"/>
        <v>4930</v>
      </c>
      <c r="D47" s="2">
        <f>(A47-G$9)^3</f>
        <v>13138909908.959229</v>
      </c>
      <c r="E47" s="5">
        <f t="shared" si="1"/>
        <v>5.5885182143878236</v>
      </c>
    </row>
    <row r="48" spans="1:9">
      <c r="A48" s="2">
        <v>4663</v>
      </c>
      <c r="C48" s="2">
        <f t="shared" si="0"/>
        <v>4663</v>
      </c>
      <c r="D48" s="2">
        <f t="shared" ref="D48:D53" si="9">(A48-G$9)^3</f>
        <v>9164493576.8968315</v>
      </c>
      <c r="E48" s="5">
        <f t="shared" si="1"/>
        <v>3.8980356540236833</v>
      </c>
    </row>
    <row r="49" spans="1:5">
      <c r="A49" s="2">
        <v>3189</v>
      </c>
      <c r="C49" s="2">
        <f t="shared" si="0"/>
        <v>3189</v>
      </c>
      <c r="D49" s="2">
        <f t="shared" si="9"/>
        <v>236809014.56403184</v>
      </c>
      <c r="E49" s="5">
        <f t="shared" si="1"/>
        <v>0.10072460351675812</v>
      </c>
    </row>
    <row r="50" spans="1:5">
      <c r="A50" s="2">
        <v>696</v>
      </c>
      <c r="C50" s="2">
        <f t="shared" si="0"/>
        <v>696</v>
      </c>
      <c r="D50" s="2">
        <f t="shared" si="9"/>
        <v>-6584627600.6855698</v>
      </c>
      <c r="E50" s="5">
        <f t="shared" si="1"/>
        <v>-2.8007126570142535</v>
      </c>
    </row>
    <row r="51" spans="1:5">
      <c r="A51" s="2">
        <v>2722</v>
      </c>
      <c r="C51" s="2">
        <f t="shared" si="0"/>
        <v>2722</v>
      </c>
      <c r="D51" s="2">
        <f t="shared" si="9"/>
        <v>3489674.8216319885</v>
      </c>
      <c r="E51" s="5">
        <f t="shared" si="1"/>
        <v>1.4843020797092724E-3</v>
      </c>
    </row>
    <row r="52" spans="1:5">
      <c r="A52" s="2">
        <v>749</v>
      </c>
      <c r="C52" s="2">
        <f t="shared" si="0"/>
        <v>749</v>
      </c>
      <c r="D52" s="2">
        <f t="shared" si="9"/>
        <v>-6041694619.8039694</v>
      </c>
      <c r="E52" s="5">
        <f t="shared" si="1"/>
        <v>-2.5697809531002367</v>
      </c>
    </row>
    <row r="53" spans="1:5">
      <c r="A53" s="2">
        <v>2953</v>
      </c>
      <c r="C53" s="2">
        <f t="shared" si="0"/>
        <v>2953</v>
      </c>
      <c r="D53" s="2">
        <f t="shared" si="9"/>
        <v>56041183.184831925</v>
      </c>
      <c r="E53" s="5">
        <f t="shared" si="1"/>
        <v>2.383661773726907E-2</v>
      </c>
    </row>
    <row r="54" spans="1:5">
      <c r="A54" s="2">
        <v>2004</v>
      </c>
      <c r="C54" s="2">
        <f t="shared" si="0"/>
        <v>2004</v>
      </c>
      <c r="D54" s="2">
        <f>(A54-G$9)^3</f>
        <v>-181629211.66796815</v>
      </c>
      <c r="E54" s="5">
        <f t="shared" si="1"/>
        <v>-7.7254366207291064E-2</v>
      </c>
    </row>
    <row r="55" spans="1:5">
      <c r="A55" s="2">
        <v>2067</v>
      </c>
      <c r="C55" s="2">
        <f t="shared" si="0"/>
        <v>2067</v>
      </c>
      <c r="D55" s="2">
        <f>(A55-G$9)^3</f>
        <v>-127506570.19436812</v>
      </c>
      <c r="E55" s="5">
        <f t="shared" si="1"/>
        <v>-5.4233783085722569E-2</v>
      </c>
    </row>
    <row r="56" spans="1:5">
      <c r="A56" s="2">
        <v>1590</v>
      </c>
      <c r="C56" s="2">
        <f t="shared" si="0"/>
        <v>1590</v>
      </c>
      <c r="D56" s="2">
        <f>(A56-G$9)^3</f>
        <v>-942114285.08876848</v>
      </c>
      <c r="E56" s="5">
        <f t="shared" si="1"/>
        <v>-0.40071991350388997</v>
      </c>
    </row>
  </sheetData>
  <conditionalFormatting sqref="H14">
    <cfRule type="containsText" dxfId="17" priority="3" operator="containsText" text="negative">
      <formula>NOT(ISERROR(SEARCH("negative",H14)))</formula>
    </cfRule>
    <cfRule type="containsText" dxfId="16" priority="4" operator="containsText" text="positive">
      <formula>NOT(ISERROR(SEARCH("positive",H14)))</formula>
    </cfRule>
  </conditionalFormatting>
  <conditionalFormatting sqref="H6">
    <cfRule type="containsText" dxfId="15" priority="1" operator="containsText" text="negative">
      <formula>NOT(ISERROR(SEARCH("negative",H6)))</formula>
    </cfRule>
    <cfRule type="containsText" dxfId="14" priority="2" operator="containsText" text="positive">
      <formula>NOT(ISERROR(SEARCH("positive",H6)))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D64"/>
  <sheetViews>
    <sheetView workbookViewId="0"/>
  </sheetViews>
  <sheetFormatPr baseColWidth="10" defaultRowHeight="15" x14ac:dyDescent="0"/>
  <sheetData>
    <row r="1" spans="1:4">
      <c r="A1" s="1" t="s">
        <v>58</v>
      </c>
    </row>
    <row r="3" spans="1:4">
      <c r="A3" s="1" t="str">
        <f>larger_skew!A6</f>
        <v>Data</v>
      </c>
      <c r="C3" s="1" t="s">
        <v>58</v>
      </c>
    </row>
    <row r="4" spans="1:4">
      <c r="A4" s="1">
        <f>larger_skew!A7</f>
        <v>602</v>
      </c>
      <c r="C4" t="s">
        <v>51</v>
      </c>
      <c r="D4" s="21">
        <f>QUARTILE(A4:A53,1)</f>
        <v>1547.25</v>
      </c>
    </row>
    <row r="5" spans="1:4">
      <c r="A5" s="1">
        <f>larger_skew!A8</f>
        <v>4119</v>
      </c>
      <c r="C5" t="s">
        <v>54</v>
      </c>
      <c r="D5">
        <f>MIN(A4:A53)</f>
        <v>139</v>
      </c>
    </row>
    <row r="6" spans="1:4">
      <c r="A6" s="1">
        <f>larger_skew!A9</f>
        <v>1751</v>
      </c>
      <c r="C6" t="s">
        <v>52</v>
      </c>
      <c r="D6">
        <f>MEDIAN(A4:A53)</f>
        <v>2304.5</v>
      </c>
    </row>
    <row r="7" spans="1:4">
      <c r="A7" s="1">
        <f>larger_skew!A10</f>
        <v>3091</v>
      </c>
      <c r="C7" t="s">
        <v>55</v>
      </c>
      <c r="D7">
        <f>MAX(A4:A53)</f>
        <v>4930</v>
      </c>
    </row>
    <row r="8" spans="1:4">
      <c r="A8" s="1">
        <f>larger_skew!A11</f>
        <v>3779</v>
      </c>
      <c r="C8" t="s">
        <v>53</v>
      </c>
      <c r="D8">
        <f>QUARTILE(A4:A53,3)</f>
        <v>3637.75</v>
      </c>
    </row>
    <row r="9" spans="1:4">
      <c r="A9" s="1">
        <f>larger_skew!A12</f>
        <v>3262</v>
      </c>
    </row>
    <row r="10" spans="1:4">
      <c r="A10" s="1">
        <f>larger_skew!A13</f>
        <v>1853</v>
      </c>
    </row>
    <row r="11" spans="1:4">
      <c r="A11" s="1">
        <f>larger_skew!A14</f>
        <v>3564</v>
      </c>
    </row>
    <row r="12" spans="1:4">
      <c r="A12" s="1">
        <f>larger_skew!A15</f>
        <v>139</v>
      </c>
    </row>
    <row r="13" spans="1:4">
      <c r="A13" s="1">
        <f>larger_skew!A16</f>
        <v>4567</v>
      </c>
    </row>
    <row r="14" spans="1:4">
      <c r="A14" s="1">
        <f>larger_skew!A17</f>
        <v>1605</v>
      </c>
    </row>
    <row r="15" spans="1:4">
      <c r="A15" s="1">
        <f>larger_skew!A18</f>
        <v>1281</v>
      </c>
    </row>
    <row r="16" spans="1:4">
      <c r="A16" s="1">
        <f>larger_skew!A19</f>
        <v>3470</v>
      </c>
    </row>
    <row r="17" spans="1:1">
      <c r="A17" s="1">
        <f>larger_skew!A20</f>
        <v>1533</v>
      </c>
    </row>
    <row r="18" spans="1:1">
      <c r="A18" s="1">
        <f>larger_skew!A21</f>
        <v>1483</v>
      </c>
    </row>
    <row r="19" spans="1:1">
      <c r="A19" s="1">
        <f>larger_skew!A22</f>
        <v>1368</v>
      </c>
    </row>
    <row r="20" spans="1:1">
      <c r="A20" s="1">
        <f>larger_skew!A23</f>
        <v>1642</v>
      </c>
    </row>
    <row r="21" spans="1:1">
      <c r="A21" s="1">
        <f>larger_skew!A24</f>
        <v>3459</v>
      </c>
    </row>
    <row r="22" spans="1:1">
      <c r="A22" s="1">
        <f>larger_skew!A25</f>
        <v>4645</v>
      </c>
    </row>
    <row r="23" spans="1:1">
      <c r="A23" s="1">
        <f>larger_skew!A26</f>
        <v>246</v>
      </c>
    </row>
    <row r="24" spans="1:1">
      <c r="A24" s="1">
        <f>larger_skew!A27</f>
        <v>4471</v>
      </c>
    </row>
    <row r="25" spans="1:1">
      <c r="A25" s="1">
        <f>larger_skew!A28</f>
        <v>2803</v>
      </c>
    </row>
    <row r="26" spans="1:1">
      <c r="A26" s="1">
        <f>larger_skew!A29</f>
        <v>3641</v>
      </c>
    </row>
    <row r="27" spans="1:1">
      <c r="A27" s="1">
        <f>larger_skew!A30</f>
        <v>4717</v>
      </c>
    </row>
    <row r="28" spans="1:1">
      <c r="A28" s="1">
        <f>larger_skew!A31</f>
        <v>3015</v>
      </c>
    </row>
    <row r="29" spans="1:1">
      <c r="A29" s="1">
        <f>larger_skew!A32</f>
        <v>1760</v>
      </c>
    </row>
    <row r="30" spans="1:1">
      <c r="A30" s="1">
        <f>larger_skew!A33</f>
        <v>1736</v>
      </c>
    </row>
    <row r="31" spans="1:1">
      <c r="A31" s="1">
        <f>larger_skew!A34</f>
        <v>2170</v>
      </c>
    </row>
    <row r="32" spans="1:1">
      <c r="A32" s="1">
        <f>larger_skew!A35</f>
        <v>1857</v>
      </c>
    </row>
    <row r="33" spans="1:1">
      <c r="A33" s="1">
        <f>larger_skew!A36</f>
        <v>2439</v>
      </c>
    </row>
    <row r="34" spans="1:1">
      <c r="A34" s="1">
        <f>larger_skew!A37</f>
        <v>1052</v>
      </c>
    </row>
    <row r="35" spans="1:1">
      <c r="A35" s="1">
        <f>larger_skew!A38</f>
        <v>2067</v>
      </c>
    </row>
    <row r="36" spans="1:1">
      <c r="A36" s="1">
        <f>larger_skew!A39</f>
        <v>4220</v>
      </c>
    </row>
    <row r="37" spans="1:1">
      <c r="A37" s="1">
        <f>larger_skew!A40</f>
        <v>1422</v>
      </c>
    </row>
    <row r="38" spans="1:1">
      <c r="A38" s="1">
        <f>larger_skew!A41</f>
        <v>1271</v>
      </c>
    </row>
    <row r="39" spans="1:1">
      <c r="A39" s="1">
        <f>larger_skew!A42</f>
        <v>3770</v>
      </c>
    </row>
    <row r="40" spans="1:1">
      <c r="A40" s="1">
        <f>larger_skew!A43</f>
        <v>3708</v>
      </c>
    </row>
    <row r="41" spans="1:1">
      <c r="A41" s="1">
        <f>larger_skew!A44</f>
        <v>4418</v>
      </c>
    </row>
    <row r="42" spans="1:1">
      <c r="A42" s="1">
        <f>larger_skew!A45</f>
        <v>1329</v>
      </c>
    </row>
    <row r="43" spans="1:1">
      <c r="A43" s="1">
        <f>larger_skew!A46</f>
        <v>3628</v>
      </c>
    </row>
    <row r="44" spans="1:1">
      <c r="A44" s="1">
        <f>larger_skew!A47</f>
        <v>4930</v>
      </c>
    </row>
    <row r="45" spans="1:1">
      <c r="A45" s="1">
        <f>larger_skew!A48</f>
        <v>4663</v>
      </c>
    </row>
    <row r="46" spans="1:1">
      <c r="A46" s="1">
        <f>larger_skew!A49</f>
        <v>3189</v>
      </c>
    </row>
    <row r="47" spans="1:1">
      <c r="A47" s="1">
        <f>larger_skew!A50</f>
        <v>696</v>
      </c>
    </row>
    <row r="48" spans="1:1">
      <c r="A48" s="1">
        <f>larger_skew!A51</f>
        <v>2722</v>
      </c>
    </row>
    <row r="49" spans="1:1">
      <c r="A49" s="1">
        <f>larger_skew!A52</f>
        <v>749</v>
      </c>
    </row>
    <row r="50" spans="1:1">
      <c r="A50" s="1">
        <f>larger_skew!A53</f>
        <v>2953</v>
      </c>
    </row>
    <row r="51" spans="1:1">
      <c r="A51" s="1">
        <f>larger_skew!A54</f>
        <v>2004</v>
      </c>
    </row>
    <row r="52" spans="1:1">
      <c r="A52" s="1">
        <f>larger_skew!A55</f>
        <v>2067</v>
      </c>
    </row>
    <row r="53" spans="1:1">
      <c r="A53" s="1">
        <f>larger_skew!A56</f>
        <v>1590</v>
      </c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workbookViewId="0">
      <selection activeCell="A3" sqref="A3"/>
    </sheetView>
  </sheetViews>
  <sheetFormatPr baseColWidth="10" defaultRowHeight="15" x14ac:dyDescent="0"/>
  <cols>
    <col min="2" max="2" width="3.1640625" bestFit="1" customWidth="1"/>
    <col min="3" max="3" width="24.6640625" bestFit="1" customWidth="1"/>
    <col min="5" max="5" width="3" bestFit="1" customWidth="1"/>
    <col min="6" max="6" width="3.83203125" customWidth="1"/>
    <col min="7" max="16" width="3.5" customWidth="1"/>
    <col min="17" max="17" width="3.6640625" bestFit="1" customWidth="1"/>
    <col min="18" max="18" width="2.6640625" bestFit="1" customWidth="1"/>
    <col min="19" max="19" width="3.6640625" bestFit="1" customWidth="1"/>
    <col min="20" max="20" width="2.6640625" bestFit="1" customWidth="1"/>
    <col min="21" max="21" width="3.6640625" bestFit="1" customWidth="1"/>
  </cols>
  <sheetData>
    <row r="1" spans="1:21">
      <c r="A1" s="1" t="s">
        <v>47</v>
      </c>
    </row>
    <row r="4" spans="1:21">
      <c r="A4">
        <f>larger_skew!H23</f>
        <v>500</v>
      </c>
      <c r="B4">
        <f>larger_skew!I23</f>
        <v>2</v>
      </c>
      <c r="C4" s="17" t="str">
        <f>REPT("n",B4)</f>
        <v>nn</v>
      </c>
    </row>
    <row r="5" spans="1:21">
      <c r="A5">
        <f>larger_skew!H24</f>
        <v>1000</v>
      </c>
      <c r="B5">
        <f>larger_skew!I24</f>
        <v>3</v>
      </c>
      <c r="C5" s="17" t="str">
        <f t="shared" ref="C5:C13" si="0">REPT("n",B5)</f>
        <v>nnn</v>
      </c>
    </row>
    <row r="6" spans="1:21">
      <c r="A6">
        <f>larger_skew!H25</f>
        <v>1500</v>
      </c>
      <c r="B6">
        <f>larger_skew!I25</f>
        <v>7</v>
      </c>
      <c r="C6" s="17" t="str">
        <f t="shared" si="0"/>
        <v>nnnnnnn</v>
      </c>
    </row>
    <row r="7" spans="1:21">
      <c r="A7">
        <f>larger_skew!H26</f>
        <v>2000</v>
      </c>
      <c r="B7">
        <f>larger_skew!I26</f>
        <v>9</v>
      </c>
      <c r="C7" s="17" t="str">
        <f t="shared" si="0"/>
        <v>nnnnnnnnn</v>
      </c>
    </row>
    <row r="8" spans="1:21">
      <c r="A8">
        <f>larger_skew!H27</f>
        <v>2500</v>
      </c>
      <c r="B8">
        <f>larger_skew!I27</f>
        <v>5</v>
      </c>
      <c r="C8" s="17" t="str">
        <f t="shared" si="0"/>
        <v>nnnnn</v>
      </c>
    </row>
    <row r="9" spans="1:21">
      <c r="A9">
        <f>larger_skew!H28</f>
        <v>3000</v>
      </c>
      <c r="B9">
        <f>larger_skew!I28</f>
        <v>3</v>
      </c>
      <c r="C9" s="17" t="str">
        <f t="shared" si="0"/>
        <v>nnn</v>
      </c>
    </row>
    <row r="10" spans="1:21">
      <c r="A10">
        <f>larger_skew!H29</f>
        <v>3500</v>
      </c>
      <c r="B10">
        <f>larger_skew!I29</f>
        <v>6</v>
      </c>
      <c r="C10" s="17" t="str">
        <f t="shared" si="0"/>
        <v>nnnnnn</v>
      </c>
    </row>
    <row r="11" spans="1:21">
      <c r="A11">
        <f>larger_skew!H30</f>
        <v>4000</v>
      </c>
      <c r="B11">
        <f>larger_skew!I30</f>
        <v>6</v>
      </c>
      <c r="C11" s="17" t="str">
        <f t="shared" si="0"/>
        <v>nnnnnn</v>
      </c>
      <c r="M11" s="18"/>
      <c r="N11" s="18"/>
      <c r="O11" s="18"/>
      <c r="P11" s="18"/>
      <c r="Q11" s="18"/>
      <c r="R11" s="18"/>
      <c r="S11" s="18"/>
      <c r="T11" s="18"/>
      <c r="U11" s="18"/>
    </row>
    <row r="12" spans="1:21">
      <c r="A12">
        <f>larger_skew!H31</f>
        <v>4500</v>
      </c>
      <c r="B12">
        <f>larger_skew!I31</f>
        <v>4</v>
      </c>
      <c r="C12" s="17" t="str">
        <f t="shared" si="0"/>
        <v>nnnn</v>
      </c>
      <c r="M12" s="19"/>
      <c r="N12" s="19"/>
      <c r="O12" s="19"/>
      <c r="P12" s="19"/>
      <c r="Q12" s="19"/>
      <c r="R12" s="19"/>
      <c r="S12" s="19"/>
      <c r="T12" s="19"/>
      <c r="U12" s="19"/>
    </row>
    <row r="13" spans="1:21">
      <c r="A13">
        <f>larger_skew!H32</f>
        <v>5000</v>
      </c>
      <c r="B13">
        <f>larger_skew!I32</f>
        <v>5</v>
      </c>
      <c r="C13" s="17" t="str">
        <f t="shared" si="0"/>
        <v>nnnnn</v>
      </c>
      <c r="M13" s="14"/>
      <c r="N13" s="14"/>
      <c r="O13" s="14"/>
      <c r="P13" s="14"/>
      <c r="Q13" s="14"/>
      <c r="R13" s="14"/>
      <c r="S13" s="14"/>
      <c r="T13" s="14"/>
      <c r="U13" s="14"/>
    </row>
    <row r="14" spans="1:21"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78">
      <c r="E15" s="27" t="s">
        <v>48</v>
      </c>
      <c r="F15" s="12" t="s">
        <v>59</v>
      </c>
      <c r="G15" s="24" t="str">
        <f>REPT(CHAR(161),B4)</f>
        <v>°°</v>
      </c>
      <c r="H15" s="25" t="str">
        <f>REPT(CHAR(161),B5)</f>
        <v>°°°</v>
      </c>
      <c r="I15" s="25" t="str">
        <f>REPT(CHAR(161),B6)</f>
        <v>°°°°°°°</v>
      </c>
      <c r="J15" s="25" t="str">
        <f>REPT(CHAR(161),B7)</f>
        <v>°°°°°°°°°</v>
      </c>
      <c r="K15" s="25" t="str">
        <f>REPT(CHAR(161),B8)</f>
        <v>°°°°°</v>
      </c>
      <c r="L15" s="25" t="str">
        <f>REPT(CHAR(161),B9)</f>
        <v>°°°</v>
      </c>
      <c r="M15" s="25" t="str">
        <f>REPT(CHAR(161),B10)</f>
        <v>°°°°°°</v>
      </c>
      <c r="N15" s="25" t="str">
        <f>REPT(CHAR(161),B11)</f>
        <v>°°°°°°</v>
      </c>
      <c r="O15" s="25" t="str">
        <f>REPT(CHAR(161),B12)</f>
        <v>°°°°</v>
      </c>
      <c r="P15" s="25" t="str">
        <f>REPT(CHAR(161),B13)</f>
        <v>°°°°°</v>
      </c>
      <c r="Q15" s="20"/>
      <c r="R15" s="20"/>
      <c r="S15" s="20"/>
      <c r="T15" s="20"/>
      <c r="U15" s="20"/>
    </row>
    <row r="16" spans="1:21" ht="25" customHeight="1">
      <c r="E16" s="13"/>
      <c r="F16" s="13"/>
      <c r="G16" s="22">
        <v>500</v>
      </c>
      <c r="H16" s="22">
        <v>1000</v>
      </c>
      <c r="I16" s="22">
        <v>1500</v>
      </c>
      <c r="J16" s="22">
        <v>2000</v>
      </c>
      <c r="K16" s="22">
        <v>2500</v>
      </c>
      <c r="L16" s="22">
        <v>3000</v>
      </c>
      <c r="M16" s="22">
        <v>3500</v>
      </c>
      <c r="N16" s="22">
        <v>4000</v>
      </c>
      <c r="O16" s="22">
        <v>4500</v>
      </c>
      <c r="P16" s="22">
        <v>5000</v>
      </c>
    </row>
    <row r="17" spans="5:16">
      <c r="E17" s="13"/>
      <c r="F17" s="13"/>
      <c r="G17" s="22" t="s">
        <v>49</v>
      </c>
      <c r="H17" s="22" t="s">
        <v>49</v>
      </c>
      <c r="I17" s="22" t="s">
        <v>49</v>
      </c>
      <c r="J17" s="22" t="s">
        <v>49</v>
      </c>
      <c r="K17" s="22" t="s">
        <v>49</v>
      </c>
      <c r="L17" s="22" t="s">
        <v>49</v>
      </c>
      <c r="M17" s="23"/>
      <c r="N17" s="23"/>
      <c r="O17" s="23"/>
      <c r="P17" s="23"/>
    </row>
    <row r="18" spans="5:16" ht="25">
      <c r="E18" s="13"/>
      <c r="F18" s="13"/>
      <c r="G18" s="22">
        <v>0</v>
      </c>
      <c r="H18" s="22">
        <f>G16</f>
        <v>500</v>
      </c>
      <c r="I18" s="22">
        <f t="shared" ref="I18:P18" si="1">H16</f>
        <v>1000</v>
      </c>
      <c r="J18" s="22">
        <f t="shared" si="1"/>
        <v>1500</v>
      </c>
      <c r="K18" s="22">
        <f t="shared" si="1"/>
        <v>2000</v>
      </c>
      <c r="L18" s="22">
        <f t="shared" si="1"/>
        <v>2500</v>
      </c>
      <c r="M18" s="22">
        <f t="shared" si="1"/>
        <v>3000</v>
      </c>
      <c r="N18" s="22">
        <f t="shared" si="1"/>
        <v>3500</v>
      </c>
      <c r="O18" s="22">
        <f t="shared" si="1"/>
        <v>4000</v>
      </c>
      <c r="P18" s="22">
        <f t="shared" si="1"/>
        <v>4500</v>
      </c>
    </row>
    <row r="19" spans="5:16">
      <c r="E19" s="13"/>
      <c r="F19" s="13"/>
      <c r="G19" s="26" t="s">
        <v>50</v>
      </c>
      <c r="H19" s="16"/>
      <c r="I19" s="16"/>
      <c r="J19" s="16"/>
      <c r="K19" s="16"/>
      <c r="L19" s="16"/>
      <c r="M19" s="15"/>
      <c r="N19" s="15"/>
      <c r="O19" s="15"/>
      <c r="P19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57"/>
  <sheetViews>
    <sheetView workbookViewId="0"/>
  </sheetViews>
  <sheetFormatPr baseColWidth="10" defaultRowHeight="15" x14ac:dyDescent="0"/>
  <cols>
    <col min="7" max="7" width="13.5" customWidth="1"/>
  </cols>
  <sheetData>
    <row r="1" spans="1:8">
      <c r="A1" s="1" t="s">
        <v>38</v>
      </c>
    </row>
    <row r="3" spans="1:8">
      <c r="A3" t="s">
        <v>36</v>
      </c>
      <c r="B3" s="9">
        <f>larger_skew!G9</f>
        <v>2570.3200000000002</v>
      </c>
      <c r="C3" t="s">
        <v>45</v>
      </c>
    </row>
    <row r="4" spans="1:8">
      <c r="A4" t="s">
        <v>37</v>
      </c>
      <c r="B4" s="9">
        <f>larger_skew!G10</f>
        <v>1329.7016918797069</v>
      </c>
      <c r="C4" t="s">
        <v>44</v>
      </c>
    </row>
    <row r="5" spans="1:8">
      <c r="A5" t="s">
        <v>6</v>
      </c>
      <c r="B5">
        <f>larger_skew!G12</f>
        <v>50</v>
      </c>
    </row>
    <row r="7" spans="1:8">
      <c r="C7" s="1" t="s">
        <v>39</v>
      </c>
      <c r="D7" s="1" t="s">
        <v>35</v>
      </c>
      <c r="F7" t="s">
        <v>17</v>
      </c>
      <c r="G7" s="10">
        <f ca="1">MIN(D8:D57)</f>
        <v>-187.09239484564841</v>
      </c>
    </row>
    <row r="8" spans="1:8">
      <c r="C8">
        <v>1</v>
      </c>
      <c r="D8" s="9">
        <f ca="1">NORMINV(E8,B$3,B$4)</f>
        <v>3261.8388924191731</v>
      </c>
      <c r="E8" s="7">
        <f ca="1">RAND()</f>
        <v>0.69848760964442458</v>
      </c>
      <c r="F8" t="s">
        <v>18</v>
      </c>
      <c r="G8" s="10">
        <f ca="1">MAX(D8:D57)</f>
        <v>6210.5780027825213</v>
      </c>
    </row>
    <row r="9" spans="1:8">
      <c r="C9">
        <f>C8+1</f>
        <v>2</v>
      </c>
      <c r="D9" s="9">
        <f ca="1">NORMINV(E9,B$3,B$4)</f>
        <v>2034.6770610940628</v>
      </c>
      <c r="E9" s="7">
        <f t="shared" ref="E9:E57" ca="1" si="0">RAND()</f>
        <v>0.34353686450073428</v>
      </c>
      <c r="F9" t="s">
        <v>41</v>
      </c>
      <c r="G9" s="10">
        <f ca="1">(G8-G7)/10</f>
        <v>639.76703976281692</v>
      </c>
    </row>
    <row r="10" spans="1:8">
      <c r="C10">
        <f t="shared" ref="C10:C17" si="1">C9+1</f>
        <v>3</v>
      </c>
      <c r="D10" s="9">
        <f ca="1">NORMINV(E10,B$3,B$4)</f>
        <v>3019.5491688249258</v>
      </c>
      <c r="E10" s="7">
        <f t="shared" ca="1" si="0"/>
        <v>0.63225889675860181</v>
      </c>
      <c r="F10" t="s">
        <v>9</v>
      </c>
      <c r="G10" s="7">
        <f ca="1">SKEW(D8:D57)</f>
        <v>-9.5436311760607635E-3</v>
      </c>
      <c r="H10" t="str">
        <f ca="1">F10&amp;" = "&amp;ROUND(G10,4)</f>
        <v>Skewness = -0.0095</v>
      </c>
    </row>
    <row r="11" spans="1:8">
      <c r="C11">
        <f t="shared" si="1"/>
        <v>4</v>
      </c>
      <c r="D11" s="9">
        <f ca="1">NORMINV(E11,B$3,B$4)</f>
        <v>1695.4144712489392</v>
      </c>
      <c r="E11" s="7">
        <f t="shared" ca="1" si="0"/>
        <v>0.25527829193275853</v>
      </c>
      <c r="F11" t="s">
        <v>43</v>
      </c>
      <c r="G11" s="7">
        <f ca="1">KURT(D8:D57)</f>
        <v>-0.177624191929183</v>
      </c>
    </row>
    <row r="12" spans="1:8">
      <c r="C12">
        <f t="shared" si="1"/>
        <v>5</v>
      </c>
      <c r="D12" s="9">
        <f ca="1">NORMINV(E12,B$3,B$4)</f>
        <v>4335.3705659889829</v>
      </c>
      <c r="E12" s="7">
        <f t="shared" ca="1" si="0"/>
        <v>0.90781236458760184</v>
      </c>
    </row>
    <row r="13" spans="1:8">
      <c r="C13">
        <f t="shared" si="1"/>
        <v>6</v>
      </c>
      <c r="D13" s="9">
        <f ca="1">NORMINV(E13,B$3,B$4)</f>
        <v>1651.3673863897113</v>
      </c>
      <c r="E13" s="7">
        <f t="shared" ca="1" si="0"/>
        <v>0.24475234861965578</v>
      </c>
      <c r="F13" t="s">
        <v>36</v>
      </c>
      <c r="G13" s="5">
        <f ca="1">AVERAGE(D8:D57)</f>
        <v>2674.8640760557882</v>
      </c>
    </row>
    <row r="14" spans="1:8">
      <c r="C14">
        <f t="shared" si="1"/>
        <v>7</v>
      </c>
      <c r="D14" s="9">
        <f ca="1">NORMINV(E14,B$3,B$4)</f>
        <v>351.23524759427573</v>
      </c>
      <c r="E14" s="7">
        <f t="shared" ca="1" si="0"/>
        <v>4.7572654656863333E-2</v>
      </c>
      <c r="F14" t="s">
        <v>22</v>
      </c>
      <c r="G14" s="5">
        <f ca="1">MEDIAN(D8:D57)</f>
        <v>2652.0058025727121</v>
      </c>
    </row>
    <row r="15" spans="1:8">
      <c r="C15">
        <f t="shared" si="1"/>
        <v>8</v>
      </c>
      <c r="D15" s="9">
        <f ca="1">NORMINV(E15,B$3,B$4)</f>
        <v>4921.4468424262968</v>
      </c>
      <c r="E15" s="7">
        <f t="shared" ca="1" si="0"/>
        <v>0.96148301462127383</v>
      </c>
      <c r="G15" s="28" t="str">
        <f ca="1">IF(G13&gt;G14,"Positive Skew","Negative Skew")</f>
        <v>Positive Skew</v>
      </c>
    </row>
    <row r="16" spans="1:8">
      <c r="C16">
        <f t="shared" si="1"/>
        <v>9</v>
      </c>
      <c r="D16" s="9">
        <f ca="1">NORMINV(E16,B$3,B$4)</f>
        <v>2655.7878707213345</v>
      </c>
      <c r="E16" s="7">
        <f t="shared" ca="1" si="0"/>
        <v>0.52562475787544083</v>
      </c>
    </row>
    <row r="17" spans="3:7">
      <c r="C17">
        <f t="shared" si="1"/>
        <v>10</v>
      </c>
      <c r="D17" s="9">
        <f ca="1">NORMINV(E17,B$3,B$4)</f>
        <v>4772.5075511263612</v>
      </c>
      <c r="E17" s="7">
        <f t="shared" ca="1" si="0"/>
        <v>0.95115443647990583</v>
      </c>
      <c r="F17" s="3" t="s">
        <v>40</v>
      </c>
      <c r="G17" s="3" t="s">
        <v>19</v>
      </c>
    </row>
    <row r="18" spans="3:7">
      <c r="C18">
        <f t="shared" ref="C18:C54" si="2">C17+1</f>
        <v>11</v>
      </c>
      <c r="D18" s="9">
        <f ca="1">NORMINV(E18,B$3,B$4)</f>
        <v>3521.7026146965663</v>
      </c>
      <c r="E18" s="7">
        <f t="shared" ca="1" si="0"/>
        <v>0.76284552903796254</v>
      </c>
      <c r="F18" s="5">
        <f ca="1">G7</f>
        <v>-187.09239484564841</v>
      </c>
      <c r="G18">
        <f t="array" aca="1" ref="G18:G28" ca="1">FREQUENCY(D8:D57,F18:F28)</f>
        <v>1</v>
      </c>
    </row>
    <row r="19" spans="3:7">
      <c r="C19">
        <f t="shared" si="2"/>
        <v>12</v>
      </c>
      <c r="D19" s="9">
        <f ca="1">NORMINV(E19,B$3,B$4)</f>
        <v>4250.3917556800488</v>
      </c>
      <c r="E19" s="7">
        <f t="shared" ca="1" si="0"/>
        <v>0.89679437155360464</v>
      </c>
      <c r="F19" s="5">
        <f ca="1">F18+G$9</f>
        <v>452.67464491716851</v>
      </c>
      <c r="G19">
        <f ca="1"/>
        <v>4</v>
      </c>
    </row>
    <row r="20" spans="3:7">
      <c r="C20">
        <f t="shared" si="2"/>
        <v>13</v>
      </c>
      <c r="D20" s="9">
        <f ca="1">NORMINV(E20,B$3,B$4)</f>
        <v>2233.0162786373903</v>
      </c>
      <c r="E20" s="7">
        <f t="shared" ca="1" si="0"/>
        <v>0.39987575218407534</v>
      </c>
      <c r="F20" s="5">
        <f ca="1">F19+G$9</f>
        <v>1092.4416846799854</v>
      </c>
      <c r="G20">
        <f ca="1"/>
        <v>2</v>
      </c>
    </row>
    <row r="21" spans="3:7">
      <c r="C21">
        <f t="shared" si="2"/>
        <v>14</v>
      </c>
      <c r="D21" s="9">
        <f ca="1">NORMINV(E21,B$3,B$4)</f>
        <v>2312.3201242012879</v>
      </c>
      <c r="E21" s="7">
        <f t="shared" ca="1" si="0"/>
        <v>0.42307682693243298</v>
      </c>
      <c r="F21" s="5">
        <f ca="1">F20+G$9</f>
        <v>1732.2087244428023</v>
      </c>
      <c r="G21">
        <f ca="1"/>
        <v>7</v>
      </c>
    </row>
    <row r="22" spans="3:7">
      <c r="C22">
        <f t="shared" si="2"/>
        <v>15</v>
      </c>
      <c r="D22" s="9">
        <f ca="1">NORMINV(E22,B$3,B$4)</f>
        <v>1433.0241171198129</v>
      </c>
      <c r="E22" s="7">
        <f t="shared" ca="1" si="0"/>
        <v>0.19619212217239512</v>
      </c>
      <c r="F22" s="5">
        <f ca="1">F21+G$9</f>
        <v>2371.9757642056193</v>
      </c>
      <c r="G22">
        <f ca="1"/>
        <v>5</v>
      </c>
    </row>
    <row r="23" spans="3:7">
      <c r="C23">
        <f t="shared" si="2"/>
        <v>16</v>
      </c>
      <c r="D23" s="9">
        <f ca="1">NORMINV(E23,B$3,B$4)</f>
        <v>1676.5995453591479</v>
      </c>
      <c r="E23" s="7">
        <f t="shared" ca="1" si="0"/>
        <v>0.2507533285594109</v>
      </c>
      <c r="F23" s="5">
        <f ca="1">F22+G$9</f>
        <v>3011.7428039684364</v>
      </c>
      <c r="G23">
        <f ca="1"/>
        <v>10</v>
      </c>
    </row>
    <row r="24" spans="3:7">
      <c r="C24">
        <f t="shared" si="2"/>
        <v>17</v>
      </c>
      <c r="D24" s="9">
        <f ca="1">NORMINV(E24,B$3,B$4)</f>
        <v>4056.9450087371024</v>
      </c>
      <c r="E24" s="7">
        <f t="shared" ca="1" si="0"/>
        <v>0.86821947710890124</v>
      </c>
      <c r="F24" s="5">
        <f ca="1">F23+G$9</f>
        <v>3651.5098437312536</v>
      </c>
      <c r="G24">
        <f ca="1"/>
        <v>9</v>
      </c>
    </row>
    <row r="25" spans="3:7">
      <c r="C25">
        <f t="shared" si="2"/>
        <v>18</v>
      </c>
      <c r="D25" s="9">
        <f ca="1">NORMINV(E25,B$3,B$4)</f>
        <v>2636.9747203479392</v>
      </c>
      <c r="E25" s="7">
        <f t="shared" ca="1" si="0"/>
        <v>0.51998963687696997</v>
      </c>
      <c r="F25" s="5">
        <f ca="1">F24+G$9</f>
        <v>4291.2768834940707</v>
      </c>
      <c r="G25">
        <f ca="1"/>
        <v>6</v>
      </c>
    </row>
    <row r="26" spans="3:7">
      <c r="C26">
        <f t="shared" si="2"/>
        <v>19</v>
      </c>
      <c r="D26" s="9">
        <f ca="1">NORMINV(E26,B$3,B$4)</f>
        <v>6210.5780027825213</v>
      </c>
      <c r="E26" s="7">
        <f t="shared" ca="1" si="0"/>
        <v>0.99690600650887273</v>
      </c>
      <c r="F26" s="5">
        <f ca="1">F25+G$9</f>
        <v>4931.0439232568879</v>
      </c>
      <c r="G26">
        <f ca="1"/>
        <v>4</v>
      </c>
    </row>
    <row r="27" spans="3:7">
      <c r="C27">
        <f t="shared" si="2"/>
        <v>20</v>
      </c>
      <c r="D27" s="9">
        <f ca="1">NORMINV(E27,B$3,B$4)</f>
        <v>3891.649274541277</v>
      </c>
      <c r="E27" s="7">
        <f t="shared" ca="1" si="0"/>
        <v>0.83981638989788554</v>
      </c>
      <c r="F27" s="5">
        <f ca="1">F26+G$9</f>
        <v>5570.810963019705</v>
      </c>
      <c r="G27">
        <f ca="1"/>
        <v>1</v>
      </c>
    </row>
    <row r="28" spans="3:7">
      <c r="C28">
        <f t="shared" si="2"/>
        <v>21</v>
      </c>
      <c r="D28" s="9">
        <f ca="1">NORMINV(E28,B$3,B$4)</f>
        <v>4638.1450322917344</v>
      </c>
      <c r="E28" s="7">
        <f t="shared" ca="1" si="0"/>
        <v>0.940039403601163</v>
      </c>
      <c r="F28" s="5">
        <f ca="1">F27+G$9</f>
        <v>6210.5780027825222</v>
      </c>
      <c r="G28">
        <f ca="1"/>
        <v>1</v>
      </c>
    </row>
    <row r="29" spans="3:7">
      <c r="C29">
        <f t="shared" si="2"/>
        <v>22</v>
      </c>
      <c r="D29" s="9">
        <f ca="1">NORMINV(E29,B$3,B$4)</f>
        <v>3154.230971592357</v>
      </c>
      <c r="E29" s="7">
        <f t="shared" ca="1" si="0"/>
        <v>0.66971607470219774</v>
      </c>
      <c r="F29" s="5"/>
      <c r="G29">
        <f ca="1">SUM(G18:G28)</f>
        <v>50</v>
      </c>
    </row>
    <row r="30" spans="3:7">
      <c r="C30">
        <f t="shared" si="2"/>
        <v>23</v>
      </c>
      <c r="D30" s="9">
        <f ca="1">NORMINV(E30,B$3,B$4)</f>
        <v>2919.9283630101718</v>
      </c>
      <c r="E30" s="7">
        <f t="shared" ca="1" si="0"/>
        <v>0.60369480541773379</v>
      </c>
    </row>
    <row r="31" spans="3:7">
      <c r="C31">
        <f t="shared" si="2"/>
        <v>24</v>
      </c>
      <c r="D31" s="9">
        <f ca="1">NORMINV(E31,B$3,B$4)</f>
        <v>2877.74028546915</v>
      </c>
      <c r="E31" s="7">
        <f t="shared" ca="1" si="0"/>
        <v>0.59141831450266369</v>
      </c>
    </row>
    <row r="32" spans="3:7">
      <c r="C32">
        <f t="shared" si="2"/>
        <v>25</v>
      </c>
      <c r="D32" s="9">
        <f ca="1">NORMINV(E32,B$3,B$4)</f>
        <v>-49.557200339374958</v>
      </c>
      <c r="E32" s="7">
        <f t="shared" ca="1" si="0"/>
        <v>2.4403465490905107E-2</v>
      </c>
    </row>
    <row r="33" spans="3:5">
      <c r="C33">
        <f t="shared" si="2"/>
        <v>26</v>
      </c>
      <c r="D33" s="9">
        <f ca="1">NORMINV(E33,B$3,B$4)</f>
        <v>1326.7357641132314</v>
      </c>
      <c r="E33" s="7">
        <f t="shared" ca="1" si="0"/>
        <v>0.17483347183113707</v>
      </c>
    </row>
    <row r="34" spans="3:5">
      <c r="C34">
        <f t="shared" si="2"/>
        <v>27</v>
      </c>
      <c r="D34" s="9">
        <f ca="1">NORMINV(E34,B$3,B$4)</f>
        <v>4084.8622817040487</v>
      </c>
      <c r="E34" s="7">
        <f t="shared" ca="1" si="0"/>
        <v>0.87265031349692679</v>
      </c>
    </row>
    <row r="35" spans="3:5">
      <c r="C35">
        <f t="shared" si="2"/>
        <v>28</v>
      </c>
      <c r="D35" s="9">
        <f ca="1">NORMINV(E35,B$3,B$4)</f>
        <v>560.19131710993133</v>
      </c>
      <c r="E35" s="7">
        <f t="shared" ca="1" si="0"/>
        <v>6.5303315896550695E-2</v>
      </c>
    </row>
    <row r="36" spans="3:5">
      <c r="C36">
        <f t="shared" si="2"/>
        <v>29</v>
      </c>
      <c r="D36" s="9">
        <f ca="1">NORMINV(E36,B$3,B$4)</f>
        <v>1824.2703040402521</v>
      </c>
      <c r="E36" s="7">
        <f t="shared" ca="1" si="0"/>
        <v>0.28737645548979063</v>
      </c>
    </row>
    <row r="37" spans="3:5">
      <c r="C37">
        <f t="shared" si="2"/>
        <v>30</v>
      </c>
      <c r="D37" s="9">
        <f ca="1">NORMINV(E37,B$3,B$4)</f>
        <v>913.99907140127652</v>
      </c>
      <c r="E37" s="7">
        <f t="shared" ca="1" si="0"/>
        <v>0.10644949489886746</v>
      </c>
    </row>
    <row r="38" spans="3:5">
      <c r="C38">
        <f t="shared" si="2"/>
        <v>31</v>
      </c>
      <c r="D38" s="9">
        <f ca="1">NORMINV(E38,B$3,B$4)</f>
        <v>3539.4859834391596</v>
      </c>
      <c r="E38" s="7">
        <f t="shared" ca="1" si="0"/>
        <v>0.76695625740456919</v>
      </c>
    </row>
    <row r="39" spans="3:5">
      <c r="C39">
        <f t="shared" si="2"/>
        <v>32</v>
      </c>
      <c r="D39" s="9">
        <f ca="1">NORMINV(E39,B$3,B$4)</f>
        <v>2394.0318242900053</v>
      </c>
      <c r="E39" s="7">
        <f t="shared" ca="1" si="0"/>
        <v>0.44726386804987905</v>
      </c>
    </row>
    <row r="40" spans="3:5">
      <c r="C40">
        <f t="shared" si="2"/>
        <v>33</v>
      </c>
      <c r="D40" s="9">
        <f ca="1">NORMINV(E40,B$3,B$4)</f>
        <v>2688.9330580325955</v>
      </c>
      <c r="E40" s="7">
        <f t="shared" ca="1" si="0"/>
        <v>0.53553961316466736</v>
      </c>
    </row>
    <row r="41" spans="3:5">
      <c r="C41">
        <f t="shared" si="2"/>
        <v>34</v>
      </c>
      <c r="D41" s="9">
        <f ca="1">NORMINV(E41,B$3,B$4)</f>
        <v>5077.8108202484727</v>
      </c>
      <c r="E41" s="7">
        <f t="shared" ca="1" si="0"/>
        <v>0.97033597100559033</v>
      </c>
    </row>
    <row r="42" spans="3:5">
      <c r="C42">
        <f t="shared" si="2"/>
        <v>35</v>
      </c>
      <c r="D42" s="9">
        <f ca="1">NORMINV(E42,B$3,B$4)</f>
        <v>2447.1665375776233</v>
      </c>
      <c r="E42" s="7">
        <f t="shared" ca="1" si="0"/>
        <v>0.46310377523437718</v>
      </c>
    </row>
    <row r="43" spans="3:5">
      <c r="C43">
        <f t="shared" si="2"/>
        <v>36</v>
      </c>
      <c r="D43" s="9">
        <f ca="1">NORMINV(E43,B$3,B$4)</f>
        <v>1518.9851472047915</v>
      </c>
      <c r="E43" s="7">
        <f t="shared" ca="1" si="0"/>
        <v>0.21457276740036724</v>
      </c>
    </row>
    <row r="44" spans="3:5">
      <c r="C44">
        <f t="shared" si="2"/>
        <v>37</v>
      </c>
      <c r="D44" s="9">
        <f ca="1">NORMINV(E44,B$3,B$4)</f>
        <v>3339.3035200539971</v>
      </c>
      <c r="E44" s="7">
        <f t="shared" ca="1" si="0"/>
        <v>0.71847352583683999</v>
      </c>
    </row>
    <row r="45" spans="3:5">
      <c r="C45">
        <f t="shared" si="2"/>
        <v>38</v>
      </c>
      <c r="D45" s="9">
        <f ca="1">NORMINV(E45,B$3,B$4)</f>
        <v>62.519981632714916</v>
      </c>
      <c r="E45" s="7">
        <f t="shared" ca="1" si="0"/>
        <v>2.9648357632104383E-2</v>
      </c>
    </row>
    <row r="46" spans="3:5">
      <c r="C46">
        <f t="shared" si="2"/>
        <v>39</v>
      </c>
      <c r="D46" s="9">
        <f ca="1">NORMINV(E46,B$3,B$4)</f>
        <v>2186.5360159778538</v>
      </c>
      <c r="E46" s="7">
        <f t="shared" ca="1" si="0"/>
        <v>0.3864345168320793</v>
      </c>
    </row>
    <row r="47" spans="3:5">
      <c r="C47">
        <f t="shared" si="2"/>
        <v>40</v>
      </c>
      <c r="D47" s="9">
        <f ca="1">NORMINV(E47,B$3,B$4)</f>
        <v>3156.0462189590189</v>
      </c>
      <c r="E47" s="7">
        <f t="shared" ca="1" si="0"/>
        <v>0.67021048540969685</v>
      </c>
    </row>
    <row r="48" spans="3:5">
      <c r="C48">
        <f t="shared" si="2"/>
        <v>41</v>
      </c>
      <c r="D48" s="9">
        <f ca="1">NORMINV(E48,B$3,B$4)</f>
        <v>3026.3621901067831</v>
      </c>
      <c r="E48" s="7">
        <f t="shared" ca="1" si="0"/>
        <v>0.63418790138586956</v>
      </c>
    </row>
    <row r="49" spans="3:5">
      <c r="C49">
        <f t="shared" si="2"/>
        <v>42</v>
      </c>
      <c r="D49" s="9">
        <f ca="1">NORMINV(E49,B$3,B$4)</f>
        <v>-187.09239484564841</v>
      </c>
      <c r="E49" s="7">
        <f t="shared" ca="1" si="0"/>
        <v>1.9053241305318824E-2</v>
      </c>
    </row>
    <row r="50" spans="3:5">
      <c r="C50">
        <f t="shared" si="2"/>
        <v>43</v>
      </c>
      <c r="D50" s="9">
        <f ca="1">NORMINV(E50,B$3,B$4)</f>
        <v>3929.7597946203869</v>
      </c>
      <c r="E50" s="7">
        <f t="shared" ca="1" si="0"/>
        <v>0.84669579009401563</v>
      </c>
    </row>
    <row r="51" spans="3:5">
      <c r="C51">
        <f t="shared" si="2"/>
        <v>44</v>
      </c>
      <c r="D51" s="9">
        <f ca="1">NORMINV(E51,B$3,B$4)</f>
        <v>2625.650995225129</v>
      </c>
      <c r="E51" s="7">
        <f t="shared" ca="1" si="0"/>
        <v>0.516595831200791</v>
      </c>
    </row>
    <row r="52" spans="3:5">
      <c r="C52">
        <f t="shared" si="2"/>
        <v>45</v>
      </c>
      <c r="D52" s="9">
        <f ca="1">NORMINV(E52,B$3,B$4)</f>
        <v>2648.2237344240893</v>
      </c>
      <c r="E52" s="7">
        <f t="shared" ca="1" si="0"/>
        <v>0.52335961747772519</v>
      </c>
    </row>
    <row r="53" spans="3:5">
      <c r="C53">
        <f t="shared" si="2"/>
        <v>46</v>
      </c>
      <c r="D53" s="9">
        <f ca="1">NORMINV(E53,B$3,B$4)</f>
        <v>3121.9010514150559</v>
      </c>
      <c r="E53" s="7">
        <f t="shared" ca="1" si="0"/>
        <v>0.66086156340944024</v>
      </c>
    </row>
    <row r="54" spans="3:5">
      <c r="C54">
        <f t="shared" si="2"/>
        <v>47</v>
      </c>
      <c r="D54" s="9">
        <f ca="1">NORMINV(E54,B$3,B$4)</f>
        <v>2631.9074454923307</v>
      </c>
      <c r="E54" s="7">
        <f t="shared" ca="1" si="0"/>
        <v>0.51847110086770287</v>
      </c>
    </row>
    <row r="55" spans="3:5">
      <c r="C55">
        <f t="shared" ref="C55:C57" si="3">C54+1</f>
        <v>48</v>
      </c>
      <c r="D55" s="9">
        <f ca="1">NORMINV(E55,B$3,B$4)</f>
        <v>1709.1385404206355</v>
      </c>
      <c r="E55" s="7">
        <f t="shared" ca="1" si="0"/>
        <v>0.25860563648373192</v>
      </c>
    </row>
    <row r="56" spans="3:5">
      <c r="C56">
        <f t="shared" si="3"/>
        <v>49</v>
      </c>
      <c r="D56" s="9">
        <f ca="1">NORMINV(E56,B$3,B$4)</f>
        <v>4207.4110795982351</v>
      </c>
      <c r="E56" s="7">
        <f t="shared" ca="1" si="0"/>
        <v>0.89087067144072696</v>
      </c>
    </row>
    <row r="57" spans="3:5">
      <c r="C57">
        <f t="shared" si="3"/>
        <v>50</v>
      </c>
      <c r="D57" s="9">
        <f ca="1">NORMINV(E57,B$3,B$4)</f>
        <v>446.17956858626985</v>
      </c>
      <c r="E57" s="7">
        <f t="shared" ca="1" si="0"/>
        <v>5.5082008410444194E-2</v>
      </c>
    </row>
  </sheetData>
  <conditionalFormatting sqref="D8:D57">
    <cfRule type="cellIs" dxfId="13" priority="1" operator="lessThan">
      <formula>0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56"/>
  <sheetViews>
    <sheetView zoomScale="125" zoomScaleNormal="125" zoomScalePageLayoutView="125" workbookViewId="0">
      <selection activeCell="I14" sqref="I14"/>
    </sheetView>
  </sheetViews>
  <sheetFormatPr baseColWidth="10" defaultRowHeight="15" x14ac:dyDescent="0"/>
  <cols>
    <col min="4" max="4" width="7" bestFit="1" customWidth="1"/>
    <col min="5" max="5" width="15.1640625" bestFit="1" customWidth="1"/>
    <col min="6" max="6" width="13.1640625" bestFit="1" customWidth="1"/>
    <col min="7" max="7" width="22" bestFit="1" customWidth="1"/>
    <col min="8" max="8" width="10.5" customWidth="1"/>
    <col min="9" max="9" width="57.6640625" bestFit="1" customWidth="1"/>
  </cols>
  <sheetData>
    <row r="1" spans="1:9">
      <c r="A1" s="1" t="s">
        <v>0</v>
      </c>
    </row>
    <row r="5" spans="1:9">
      <c r="A5" s="1" t="s">
        <v>27</v>
      </c>
      <c r="F5" t="s">
        <v>13</v>
      </c>
      <c r="G5" s="1" t="s">
        <v>29</v>
      </c>
      <c r="H5" s="7">
        <f>SKEW(data_h1)</f>
        <v>-0.39797232985647052</v>
      </c>
    </row>
    <row r="6" spans="1:9" ht="16" thickBot="1">
      <c r="A6" s="3" t="s">
        <v>25</v>
      </c>
      <c r="B6" s="3" t="s">
        <v>26</v>
      </c>
      <c r="D6" s="1" t="str">
        <f>A6</f>
        <v>Height</v>
      </c>
      <c r="E6" s="3" t="s">
        <v>11</v>
      </c>
      <c r="F6" s="1" t="s">
        <v>16</v>
      </c>
      <c r="G6" s="1" t="s">
        <v>30</v>
      </c>
      <c r="H6" s="8">
        <f>(H12*H13)/((H12-1)*(H12-2)*H11)</f>
        <v>-0.39797232985647213</v>
      </c>
      <c r="I6" t="str">
        <f>IF(H6&gt;0,"SKEW is positive so positive skewness",IF(H6&lt;0,"SKEW is negative so negative skewness","SKEW is zero so no skewness"))</f>
        <v>SKEW is negative so negative skewness</v>
      </c>
    </row>
    <row r="7" spans="1:9" ht="16" thickTop="1">
      <c r="A7">
        <v>45</v>
      </c>
      <c r="B7">
        <v>45</v>
      </c>
      <c r="D7" s="2">
        <f t="shared" ref="D7:D27" si="0">A7</f>
        <v>45</v>
      </c>
      <c r="E7" s="2">
        <f t="shared" ref="E7:E16" si="1">(D7-H$9)^3</f>
        <v>-1.1576249999999906</v>
      </c>
      <c r="F7" s="5">
        <f>(D7-H$9)/H$10</f>
        <v>-0.13240099008942516</v>
      </c>
      <c r="G7" t="s">
        <v>15</v>
      </c>
      <c r="H7" s="6">
        <f>(1/H12)*SUM(F7:F26)</f>
        <v>-0.34677034191713096</v>
      </c>
    </row>
    <row r="8" spans="1:9">
      <c r="A8">
        <v>51</v>
      </c>
      <c r="B8">
        <v>45</v>
      </c>
      <c r="D8" s="2">
        <f t="shared" si="0"/>
        <v>51</v>
      </c>
      <c r="E8" s="2">
        <f t="shared" si="1"/>
        <v>121.28737500000021</v>
      </c>
      <c r="F8" s="5">
        <f t="shared" ref="F8:F16" si="2">((D8-H$9)/H$10)^3</f>
        <v>0.24317638488289217</v>
      </c>
      <c r="G8" s="1" t="s">
        <v>10</v>
      </c>
      <c r="H8" s="5"/>
    </row>
    <row r="9" spans="1:9">
      <c r="A9">
        <v>57</v>
      </c>
      <c r="B9">
        <v>41</v>
      </c>
      <c r="D9" s="2">
        <f t="shared" si="0"/>
        <v>57</v>
      </c>
      <c r="E9" s="2">
        <f t="shared" si="1"/>
        <v>1312.932375000001</v>
      </c>
      <c r="F9" s="5">
        <f t="shared" si="2"/>
        <v>2.6323774304473937</v>
      </c>
      <c r="G9" t="s">
        <v>5</v>
      </c>
      <c r="H9" s="11">
        <f>AVERAGE(data_h1)</f>
        <v>46.05</v>
      </c>
    </row>
    <row r="10" spans="1:9">
      <c r="A10">
        <v>57</v>
      </c>
      <c r="B10">
        <v>37</v>
      </c>
      <c r="D10" s="2">
        <f t="shared" si="0"/>
        <v>57</v>
      </c>
      <c r="E10" s="2">
        <f t="shared" si="1"/>
        <v>1312.932375000001</v>
      </c>
      <c r="F10" s="5">
        <f t="shared" si="2"/>
        <v>2.6323774304473937</v>
      </c>
      <c r="G10" t="s">
        <v>7</v>
      </c>
      <c r="H10" s="2">
        <f>STDEV(data_h1)</f>
        <v>7.9304542910956703</v>
      </c>
    </row>
    <row r="11" spans="1:9">
      <c r="A11">
        <v>47</v>
      </c>
      <c r="B11">
        <v>35</v>
      </c>
      <c r="D11" s="2">
        <f t="shared" si="0"/>
        <v>47</v>
      </c>
      <c r="E11" s="2">
        <f t="shared" si="1"/>
        <v>0.85737500000000766</v>
      </c>
      <c r="F11" s="5">
        <f t="shared" si="2"/>
        <v>1.7190029299337319E-3</v>
      </c>
      <c r="G11" t="s">
        <v>8</v>
      </c>
      <c r="H11" s="2">
        <f>H10^3</f>
        <v>498.76296606024982</v>
      </c>
    </row>
    <row r="12" spans="1:9">
      <c r="A12">
        <v>51</v>
      </c>
      <c r="B12">
        <v>33</v>
      </c>
      <c r="D12" s="2">
        <f t="shared" si="0"/>
        <v>51</v>
      </c>
      <c r="E12" s="2">
        <f t="shared" si="1"/>
        <v>121.28737500000021</v>
      </c>
      <c r="F12" s="5">
        <f t="shared" si="2"/>
        <v>0.24317638488289217</v>
      </c>
      <c r="G12" t="s">
        <v>6</v>
      </c>
      <c r="H12" s="2">
        <f>COUNT(data_h1)</f>
        <v>20</v>
      </c>
    </row>
    <row r="13" spans="1:9">
      <c r="A13">
        <v>51</v>
      </c>
      <c r="B13">
        <v>31</v>
      </c>
      <c r="D13" s="2">
        <f t="shared" si="0"/>
        <v>51</v>
      </c>
      <c r="E13" s="2">
        <f t="shared" si="1"/>
        <v>121.28737500000021</v>
      </c>
      <c r="F13" s="5">
        <f t="shared" si="2"/>
        <v>0.24317638488289217</v>
      </c>
      <c r="G13" t="s">
        <v>12</v>
      </c>
      <c r="H13" s="2">
        <f>SUM(E7:E26)</f>
        <v>-3394.244999999989</v>
      </c>
    </row>
    <row r="14" spans="1:9">
      <c r="A14">
        <v>43</v>
      </c>
      <c r="B14">
        <v>31</v>
      </c>
      <c r="D14" s="2">
        <f t="shared" si="0"/>
        <v>43</v>
      </c>
      <c r="E14" s="2">
        <f t="shared" si="1"/>
        <v>-28.372624999999921</v>
      </c>
      <c r="F14" s="5">
        <f t="shared" si="2"/>
        <v>-5.6885989800157993E-2</v>
      </c>
      <c r="G14" t="s">
        <v>22</v>
      </c>
      <c r="H14" s="10">
        <f>MEDIAN(data_h1)</f>
        <v>47</v>
      </c>
      <c r="I14" t="str">
        <f>IF(H9&gt;H14,"mean &gt; median so positive skew",IF(H14&gt;H9,"median &gt; mean so negative skew","mean = median so not skewed"))</f>
        <v>median &gt; mean so negative skew</v>
      </c>
    </row>
    <row r="15" spans="1:9">
      <c r="A15" s="2">
        <v>54</v>
      </c>
      <c r="B15">
        <v>31</v>
      </c>
      <c r="D15" s="2">
        <f t="shared" si="0"/>
        <v>54</v>
      </c>
      <c r="E15" s="2">
        <f t="shared" si="1"/>
        <v>502.45987500000052</v>
      </c>
      <c r="F15" s="5">
        <f t="shared" si="2"/>
        <v>1.0074121560567191</v>
      </c>
      <c r="G15" t="s">
        <v>17</v>
      </c>
      <c r="H15" s="4">
        <f>MIN(data_h1)</f>
        <v>31</v>
      </c>
    </row>
    <row r="16" spans="1:9">
      <c r="A16" s="2">
        <v>31</v>
      </c>
      <c r="B16">
        <v>29</v>
      </c>
      <c r="D16" s="2">
        <f t="shared" si="0"/>
        <v>31</v>
      </c>
      <c r="E16" s="2">
        <f t="shared" si="1"/>
        <v>-3408.8626249999979</v>
      </c>
      <c r="F16" s="5">
        <f t="shared" si="2"/>
        <v>-6.8346345999318077</v>
      </c>
      <c r="G16" t="s">
        <v>18</v>
      </c>
      <c r="H16" s="4">
        <f>MAX(data_h1)</f>
        <v>57</v>
      </c>
    </row>
    <row r="17" spans="1:8">
      <c r="A17" s="2">
        <v>39</v>
      </c>
      <c r="B17">
        <v>29</v>
      </c>
      <c r="D17" s="2">
        <f t="shared" si="0"/>
        <v>39</v>
      </c>
      <c r="E17" s="2">
        <f t="shared" ref="E17:E27" si="3">(D17-H$9)^3</f>
        <v>-350.40262499999955</v>
      </c>
      <c r="F17" s="5">
        <f t="shared" ref="F17:F27" si="4">((D17-H$9)/H$10)^3</f>
        <v>-0.70254339003524069</v>
      </c>
      <c r="H17" s="6"/>
    </row>
    <row r="18" spans="1:8">
      <c r="A18" s="2">
        <v>55</v>
      </c>
      <c r="B18">
        <v>29</v>
      </c>
      <c r="D18" s="2">
        <f t="shared" si="0"/>
        <v>55</v>
      </c>
      <c r="E18" s="2">
        <f t="shared" si="3"/>
        <v>716.91737500000067</v>
      </c>
      <c r="F18" s="5">
        <f t="shared" si="4"/>
        <v>1.4373909527865747</v>
      </c>
    </row>
    <row r="19" spans="1:8">
      <c r="A19" s="2">
        <v>45</v>
      </c>
      <c r="B19">
        <v>27</v>
      </c>
      <c r="D19" s="2">
        <f t="shared" si="0"/>
        <v>45</v>
      </c>
      <c r="E19" s="2">
        <f t="shared" si="3"/>
        <v>-1.1576249999999906</v>
      </c>
      <c r="F19" s="5">
        <f t="shared" si="4"/>
        <v>-2.3209922924793715E-3</v>
      </c>
    </row>
    <row r="20" spans="1:8">
      <c r="A20" s="2">
        <v>53</v>
      </c>
      <c r="B20">
        <v>27</v>
      </c>
      <c r="D20" s="2">
        <f t="shared" si="0"/>
        <v>53</v>
      </c>
      <c r="E20" s="2">
        <f t="shared" si="3"/>
        <v>335.70237500000042</v>
      </c>
      <c r="F20" s="5">
        <f t="shared" si="4"/>
        <v>0.67306997079540187</v>
      </c>
    </row>
    <row r="21" spans="1:8">
      <c r="A21" s="2">
        <v>35</v>
      </c>
      <c r="B21">
        <v>25</v>
      </c>
      <c r="D21" s="2">
        <f t="shared" si="0"/>
        <v>35</v>
      </c>
      <c r="E21" s="2">
        <f t="shared" si="3"/>
        <v>-1349.232624999999</v>
      </c>
      <c r="F21" s="5">
        <f t="shared" si="4"/>
        <v>-2.7051579945031716</v>
      </c>
    </row>
    <row r="22" spans="1:8">
      <c r="A22" s="2">
        <v>49</v>
      </c>
      <c r="B22">
        <v>5</v>
      </c>
      <c r="D22" s="2">
        <f t="shared" si="0"/>
        <v>49</v>
      </c>
      <c r="E22" s="2">
        <f t="shared" si="3"/>
        <v>25.672375000000073</v>
      </c>
      <c r="F22" s="5">
        <f t="shared" si="4"/>
        <v>5.1472095458063506E-2</v>
      </c>
      <c r="H22" t="s">
        <v>14</v>
      </c>
    </row>
    <row r="23" spans="1:8">
      <c r="A23" s="2">
        <v>41</v>
      </c>
      <c r="B23">
        <v>21</v>
      </c>
      <c r="D23" s="2">
        <f t="shared" si="0"/>
        <v>41</v>
      </c>
      <c r="E23" s="2">
        <f t="shared" si="3"/>
        <v>-128.78762499999979</v>
      </c>
      <c r="F23" s="5">
        <f t="shared" si="4"/>
        <v>-0.25821408918408428</v>
      </c>
      <c r="H23" s="7">
        <f>SKEW(data_h1)*(H12-2)/SQRT(H12*(H12-1))</f>
        <v>-0.3674798956454679</v>
      </c>
    </row>
    <row r="24" spans="1:8">
      <c r="A24" s="2">
        <v>35</v>
      </c>
      <c r="B24">
        <v>17</v>
      </c>
      <c r="D24" s="2">
        <f t="shared" si="0"/>
        <v>35</v>
      </c>
      <c r="E24" s="2">
        <f t="shared" si="3"/>
        <v>-1349.232624999999</v>
      </c>
      <c r="F24" s="5">
        <f t="shared" si="4"/>
        <v>-2.7051579945031716</v>
      </c>
      <c r="H24" s="4"/>
    </row>
    <row r="25" spans="1:8">
      <c r="A25" s="2">
        <v>47</v>
      </c>
      <c r="B25">
        <v>17</v>
      </c>
      <c r="D25" s="2">
        <f t="shared" si="0"/>
        <v>47</v>
      </c>
      <c r="E25" s="2">
        <f t="shared" si="3"/>
        <v>0.85737500000000766</v>
      </c>
      <c r="F25" s="5">
        <f t="shared" si="4"/>
        <v>1.7190029299337319E-3</v>
      </c>
    </row>
    <row r="26" spans="1:8">
      <c r="A26" s="2">
        <v>35</v>
      </c>
      <c r="B26">
        <v>13</v>
      </c>
      <c r="D26" s="2">
        <f t="shared" si="0"/>
        <v>35</v>
      </c>
      <c r="E26" s="2">
        <f t="shared" si="3"/>
        <v>-1349.232624999999</v>
      </c>
      <c r="F26" s="5">
        <f t="shared" si="4"/>
        <v>-2.7051579945031716</v>
      </c>
    </row>
    <row r="27" spans="1:8">
      <c r="A27" s="2">
        <v>130</v>
      </c>
      <c r="B27">
        <v>150</v>
      </c>
      <c r="D27" s="2">
        <f t="shared" si="0"/>
        <v>130</v>
      </c>
      <c r="E27" s="2">
        <f t="shared" si="3"/>
        <v>591646.22987500008</v>
      </c>
      <c r="F27" s="5">
        <f t="shared" si="4"/>
        <v>1186.2272665279042</v>
      </c>
    </row>
    <row r="28" spans="1:8">
      <c r="A28" s="2"/>
    </row>
    <row r="29" spans="1:8">
      <c r="A29" s="2"/>
    </row>
    <row r="30" spans="1:8">
      <c r="A30" s="2"/>
    </row>
    <row r="31" spans="1:8">
      <c r="A31" s="2"/>
    </row>
    <row r="32" spans="1:8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</sheetData>
  <conditionalFormatting sqref="I14">
    <cfRule type="containsText" dxfId="12" priority="3" operator="containsText" text="negative">
      <formula>NOT(ISERROR(SEARCH("negative",I14)))</formula>
    </cfRule>
    <cfRule type="containsText" dxfId="11" priority="4" operator="containsText" text="positive">
      <formula>NOT(ISERROR(SEARCH("positive",I14)))</formula>
    </cfRule>
  </conditionalFormatting>
  <conditionalFormatting sqref="I6">
    <cfRule type="containsText" dxfId="10" priority="1" operator="containsText" text="negative">
      <formula>NOT(ISERROR(SEARCH("negative",I6)))</formula>
    </cfRule>
    <cfRule type="containsText" dxfId="9" priority="2" operator="containsText" text="positive">
      <formula>NOT(ISERROR(SEARCH("positive",I6)))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I56"/>
  <sheetViews>
    <sheetView topLeftCell="B3" zoomScale="125" zoomScaleNormal="125" zoomScalePageLayoutView="125" workbookViewId="0">
      <selection activeCell="I14" sqref="I14"/>
    </sheetView>
  </sheetViews>
  <sheetFormatPr baseColWidth="10" defaultRowHeight="15" x14ac:dyDescent="0"/>
  <cols>
    <col min="4" max="4" width="7" bestFit="1" customWidth="1"/>
    <col min="5" max="5" width="15.1640625" bestFit="1" customWidth="1"/>
    <col min="6" max="6" width="13.1640625" bestFit="1" customWidth="1"/>
    <col min="7" max="7" width="22" bestFit="1" customWidth="1"/>
    <col min="8" max="8" width="10.5" customWidth="1"/>
    <col min="9" max="9" width="57.6640625" bestFit="1" customWidth="1"/>
  </cols>
  <sheetData>
    <row r="1" spans="1:9">
      <c r="A1" s="1" t="s">
        <v>0</v>
      </c>
    </row>
    <row r="5" spans="1:9">
      <c r="A5" s="1" t="s">
        <v>28</v>
      </c>
      <c r="F5" t="s">
        <v>13</v>
      </c>
      <c r="G5" s="1" t="s">
        <v>29</v>
      </c>
      <c r="H5" s="7">
        <f>SKEW(data_h2)</f>
        <v>3.4594395854362094</v>
      </c>
    </row>
    <row r="6" spans="1:9" ht="16" thickBot="1">
      <c r="A6" s="3" t="s">
        <v>25</v>
      </c>
      <c r="B6" s="3" t="s">
        <v>26</v>
      </c>
      <c r="D6" s="1" t="str">
        <f>A6</f>
        <v>Height</v>
      </c>
      <c r="E6" s="3" t="s">
        <v>11</v>
      </c>
      <c r="F6" s="1" t="s">
        <v>16</v>
      </c>
      <c r="G6" s="1" t="s">
        <v>30</v>
      </c>
      <c r="H6" s="8">
        <f>(H12*H13)/((H12-1)*(H12-2)*H11)</f>
        <v>3.459439585436209</v>
      </c>
      <c r="I6" t="str">
        <f>IF(H6&gt;0,"SKEW is positive so positive skewness",IF(H6&lt;0,"SKEW is negative so negative skewness","SKEW is zero so no skewness"))</f>
        <v>SKEW is positive so positive skewness</v>
      </c>
    </row>
    <row r="7" spans="1:9" ht="16" thickTop="1">
      <c r="A7">
        <v>45</v>
      </c>
      <c r="B7">
        <v>45</v>
      </c>
      <c r="D7" s="2">
        <f t="shared" ref="D7:D27" si="0">A7</f>
        <v>45</v>
      </c>
      <c r="E7" s="2">
        <f t="shared" ref="E7:E16" si="1">(D7-H$9)^3</f>
        <v>-128.60555015657081</v>
      </c>
      <c r="F7" s="5">
        <f>(D7-H$9)/H$10</f>
        <v>-0.25386159636732103</v>
      </c>
      <c r="G7" t="s">
        <v>15</v>
      </c>
      <c r="H7" s="6">
        <f>(1/H12)*SUM(F7:F27)</f>
        <v>2.9696134128114404</v>
      </c>
    </row>
    <row r="8" spans="1:9">
      <c r="A8">
        <v>51</v>
      </c>
      <c r="B8">
        <v>45</v>
      </c>
      <c r="D8" s="2">
        <f t="shared" si="0"/>
        <v>51</v>
      </c>
      <c r="E8" s="2">
        <f t="shared" si="1"/>
        <v>0.86383759853146691</v>
      </c>
      <c r="F8" s="5">
        <f t="shared" ref="F8:F27" si="2">((D8-H$9)/H$10)^3</f>
        <v>1.0989132537323955E-4</v>
      </c>
      <c r="G8" s="1" t="s">
        <v>10</v>
      </c>
      <c r="H8" s="5"/>
    </row>
    <row r="9" spans="1:9">
      <c r="A9">
        <v>57</v>
      </c>
      <c r="B9">
        <v>41</v>
      </c>
      <c r="D9" s="2">
        <f t="shared" si="0"/>
        <v>57</v>
      </c>
      <c r="E9" s="2">
        <f t="shared" si="1"/>
        <v>336.04751106791872</v>
      </c>
      <c r="F9" s="5">
        <f t="shared" si="2"/>
        <v>4.2749593722721912E-2</v>
      </c>
      <c r="G9" t="s">
        <v>5</v>
      </c>
      <c r="H9" s="11">
        <f>AVERAGE(data_h2)</f>
        <v>50.047619047619051</v>
      </c>
    </row>
    <row r="10" spans="1:9">
      <c r="A10">
        <v>57</v>
      </c>
      <c r="B10">
        <v>37</v>
      </c>
      <c r="D10" s="2">
        <f t="shared" si="0"/>
        <v>57</v>
      </c>
      <c r="E10" s="2">
        <f t="shared" si="1"/>
        <v>336.04751106791872</v>
      </c>
      <c r="F10" s="5">
        <f t="shared" si="2"/>
        <v>4.2749593722721912E-2</v>
      </c>
      <c r="G10" t="s">
        <v>7</v>
      </c>
      <c r="H10" s="2">
        <f>STDEV(data_h2)</f>
        <v>19.883350297362341</v>
      </c>
    </row>
    <row r="11" spans="1:9">
      <c r="A11">
        <v>47</v>
      </c>
      <c r="B11">
        <v>35</v>
      </c>
      <c r="D11" s="2">
        <f t="shared" si="0"/>
        <v>47</v>
      </c>
      <c r="E11" s="2">
        <f t="shared" si="1"/>
        <v>-28.306230428679498</v>
      </c>
      <c r="F11" s="5">
        <f t="shared" si="2"/>
        <v>-3.6009189498303631E-3</v>
      </c>
      <c r="G11" t="s">
        <v>8</v>
      </c>
      <c r="H11" s="2">
        <f>H10^3</f>
        <v>7860.8351987519709</v>
      </c>
    </row>
    <row r="12" spans="1:9">
      <c r="A12">
        <v>51</v>
      </c>
      <c r="B12">
        <v>33</v>
      </c>
      <c r="D12" s="2">
        <f t="shared" si="0"/>
        <v>51</v>
      </c>
      <c r="E12" s="2">
        <f t="shared" si="1"/>
        <v>0.86383759853146691</v>
      </c>
      <c r="F12" s="5">
        <f t="shared" si="2"/>
        <v>1.0989132537323955E-4</v>
      </c>
      <c r="G12" t="s">
        <v>6</v>
      </c>
      <c r="H12" s="2">
        <f>COUNT(data_h2)</f>
        <v>21</v>
      </c>
    </row>
    <row r="13" spans="1:9">
      <c r="A13">
        <v>51</v>
      </c>
      <c r="B13">
        <v>31</v>
      </c>
      <c r="D13" s="2">
        <f t="shared" si="0"/>
        <v>51</v>
      </c>
      <c r="E13" s="2">
        <f t="shared" si="1"/>
        <v>0.86383759853146691</v>
      </c>
      <c r="F13" s="5">
        <f t="shared" si="2"/>
        <v>1.0989132537323955E-4</v>
      </c>
      <c r="G13" t="s">
        <v>12</v>
      </c>
      <c r="H13" s="2">
        <f>SUM(E7:E27)</f>
        <v>492083.43310657586</v>
      </c>
    </row>
    <row r="14" spans="1:9">
      <c r="A14">
        <v>43</v>
      </c>
      <c r="B14">
        <v>31</v>
      </c>
      <c r="D14" s="2">
        <f t="shared" si="0"/>
        <v>43</v>
      </c>
      <c r="E14" s="2">
        <f t="shared" si="1"/>
        <v>-350.04772702731935</v>
      </c>
      <c r="F14" s="5">
        <f t="shared" si="2"/>
        <v>-4.4530602433046164E-2</v>
      </c>
      <c r="G14" t="s">
        <v>22</v>
      </c>
      <c r="H14" s="10">
        <f>MEDIAN(data_h2)</f>
        <v>47</v>
      </c>
      <c r="I14" t="str">
        <f>IF(H9&gt;H14,"mean &gt; median so positive skew",IF(H14&gt;H9,"median &gt; mean so negative skew","mean = median so not skewed"))</f>
        <v>mean &gt; median so positive skew</v>
      </c>
    </row>
    <row r="15" spans="1:9">
      <c r="A15" s="2">
        <v>54</v>
      </c>
      <c r="B15">
        <v>31</v>
      </c>
      <c r="D15" s="2">
        <f t="shared" si="0"/>
        <v>54</v>
      </c>
      <c r="E15" s="2">
        <f t="shared" si="1"/>
        <v>61.741388618939474</v>
      </c>
      <c r="F15" s="5">
        <f t="shared" si="2"/>
        <v>7.8543039076486264E-3</v>
      </c>
      <c r="G15" t="s">
        <v>17</v>
      </c>
      <c r="H15" s="4">
        <f>MIN(data_h2)</f>
        <v>31</v>
      </c>
    </row>
    <row r="16" spans="1:9">
      <c r="A16" s="2">
        <v>31</v>
      </c>
      <c r="B16">
        <v>29</v>
      </c>
      <c r="D16" s="2">
        <f t="shared" si="0"/>
        <v>31</v>
      </c>
      <c r="E16" s="2">
        <f t="shared" si="1"/>
        <v>-6910.7007882518128</v>
      </c>
      <c r="F16" s="5">
        <f t="shared" si="2"/>
        <v>-0.87913060298592594</v>
      </c>
      <c r="G16" t="s">
        <v>18</v>
      </c>
      <c r="H16" s="4">
        <f>MAX(data_h2)</f>
        <v>130</v>
      </c>
    </row>
    <row r="17" spans="1:8">
      <c r="A17" s="2">
        <v>39</v>
      </c>
      <c r="B17">
        <v>29</v>
      </c>
      <c r="D17" s="2">
        <f t="shared" si="0"/>
        <v>39</v>
      </c>
      <c r="E17" s="2">
        <f t="shared" ref="E17:E27" si="3">(D17-H$9)^3</f>
        <v>-1348.3606521973882</v>
      </c>
      <c r="F17" s="5">
        <f t="shared" si="2"/>
        <v>-0.1715289302097901</v>
      </c>
      <c r="H17" s="6"/>
    </row>
    <row r="18" spans="1:8">
      <c r="A18" s="2">
        <v>55</v>
      </c>
      <c r="B18">
        <v>29</v>
      </c>
      <c r="D18" s="2">
        <f t="shared" si="0"/>
        <v>55</v>
      </c>
      <c r="E18" s="2">
        <f t="shared" si="3"/>
        <v>121.46247705431354</v>
      </c>
      <c r="F18" s="5">
        <f t="shared" si="2"/>
        <v>1.5451599478080598E-2</v>
      </c>
    </row>
    <row r="19" spans="1:8">
      <c r="A19" s="2">
        <v>45</v>
      </c>
      <c r="B19">
        <v>27</v>
      </c>
      <c r="D19" s="2">
        <f t="shared" si="0"/>
        <v>45</v>
      </c>
      <c r="E19" s="2">
        <f t="shared" si="3"/>
        <v>-128.60555015657081</v>
      </c>
      <c r="F19" s="5">
        <f t="shared" si="2"/>
        <v>-1.6360290847591989E-2</v>
      </c>
    </row>
    <row r="20" spans="1:8">
      <c r="A20" s="2">
        <v>53</v>
      </c>
      <c r="B20">
        <v>27</v>
      </c>
      <c r="D20" s="2">
        <f t="shared" si="0"/>
        <v>53</v>
      </c>
      <c r="E20" s="2">
        <f t="shared" si="3"/>
        <v>25.734585897851112</v>
      </c>
      <c r="F20" s="5">
        <f t="shared" si="2"/>
        <v>3.2737724741942033E-3</v>
      </c>
    </row>
    <row r="21" spans="1:8">
      <c r="A21" s="2">
        <v>35</v>
      </c>
      <c r="B21">
        <v>25</v>
      </c>
      <c r="D21" s="2">
        <f t="shared" si="0"/>
        <v>35</v>
      </c>
      <c r="E21" s="2">
        <f t="shared" si="3"/>
        <v>-3407.2450059388857</v>
      </c>
      <c r="F21" s="5">
        <f t="shared" si="2"/>
        <v>-0.43344567336557815</v>
      </c>
    </row>
    <row r="22" spans="1:8">
      <c r="A22" s="2">
        <v>49</v>
      </c>
      <c r="B22">
        <v>5</v>
      </c>
      <c r="D22" s="2">
        <f t="shared" si="0"/>
        <v>49</v>
      </c>
      <c r="E22" s="2">
        <f t="shared" si="3"/>
        <v>-1.149767843645406</v>
      </c>
      <c r="F22" s="5">
        <f t="shared" si="2"/>
        <v>-1.462653540717848E-4</v>
      </c>
      <c r="H22" t="s">
        <v>14</v>
      </c>
    </row>
    <row r="23" spans="1:8">
      <c r="A23" s="2">
        <v>41</v>
      </c>
      <c r="B23">
        <v>21</v>
      </c>
      <c r="D23" s="2">
        <f t="shared" si="0"/>
        <v>41</v>
      </c>
      <c r="E23" s="2">
        <f t="shared" si="3"/>
        <v>-740.63276104092517</v>
      </c>
      <c r="F23" s="5">
        <f t="shared" si="2"/>
        <v>-9.4218075091882347E-2</v>
      </c>
      <c r="H23" s="7">
        <f>SKEW(data_h2)*(H12-2)/SQRT(H12*(H12-1))</f>
        <v>3.2072639765988282</v>
      </c>
    </row>
    <row r="24" spans="1:8">
      <c r="A24" s="2">
        <v>35</v>
      </c>
      <c r="B24">
        <v>17</v>
      </c>
      <c r="D24" s="2">
        <f t="shared" si="0"/>
        <v>35</v>
      </c>
      <c r="E24" s="2">
        <f t="shared" si="3"/>
        <v>-3407.2450059388857</v>
      </c>
      <c r="F24" s="5">
        <f t="shared" si="2"/>
        <v>-0.43344567336557815</v>
      </c>
      <c r="H24" s="4"/>
    </row>
    <row r="25" spans="1:8">
      <c r="A25" s="2">
        <v>47</v>
      </c>
      <c r="B25">
        <v>17</v>
      </c>
      <c r="D25" s="2">
        <f t="shared" si="0"/>
        <v>47</v>
      </c>
      <c r="E25" s="2">
        <f t="shared" si="3"/>
        <v>-28.306230428679498</v>
      </c>
      <c r="F25" s="5">
        <f t="shared" si="2"/>
        <v>-3.6009189498303631E-3</v>
      </c>
    </row>
    <row r="26" spans="1:8">
      <c r="A26" s="2">
        <v>35</v>
      </c>
      <c r="B26">
        <v>13</v>
      </c>
      <c r="D26" s="2">
        <f t="shared" si="0"/>
        <v>35</v>
      </c>
      <c r="E26" s="2">
        <f t="shared" si="3"/>
        <v>-3407.2450059388857</v>
      </c>
      <c r="F26" s="5">
        <f t="shared" si="2"/>
        <v>-0.43344567336557815</v>
      </c>
    </row>
    <row r="27" spans="1:8">
      <c r="A27" s="2">
        <v>130</v>
      </c>
      <c r="B27">
        <v>150</v>
      </c>
      <c r="D27" s="2">
        <f t="shared" si="0"/>
        <v>130</v>
      </c>
      <c r="E27" s="2">
        <f t="shared" si="3"/>
        <v>511086.25839542155</v>
      </c>
      <c r="F27" s="5">
        <f t="shared" si="2"/>
        <v>65.016788353044788</v>
      </c>
    </row>
    <row r="28" spans="1:8">
      <c r="A28" s="2"/>
    </row>
    <row r="29" spans="1:8">
      <c r="A29" s="2"/>
    </row>
    <row r="30" spans="1:8">
      <c r="A30" s="2"/>
    </row>
    <row r="31" spans="1:8">
      <c r="A31" s="2"/>
    </row>
    <row r="32" spans="1:8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</sheetData>
  <conditionalFormatting sqref="I14">
    <cfRule type="containsText" dxfId="8" priority="3" operator="containsText" text="negative">
      <formula>NOT(ISERROR(SEARCH("negative",I14)))</formula>
    </cfRule>
    <cfRule type="containsText" dxfId="7" priority="4" operator="containsText" text="positive">
      <formula>NOT(ISERROR(SEARCH("positive",I14)))</formula>
    </cfRule>
  </conditionalFormatting>
  <conditionalFormatting sqref="I6">
    <cfRule type="containsText" dxfId="6" priority="1" operator="containsText" text="negative">
      <formula>NOT(ISERROR(SEARCH("negative",I6)))</formula>
    </cfRule>
    <cfRule type="containsText" dxfId="5" priority="2" operator="containsText" text="positive">
      <formula>NOT(ISERROR(SEARCH("positive",I6)))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F56"/>
  <sheetViews>
    <sheetView zoomScale="125" zoomScaleNormal="125" zoomScalePageLayoutView="125" workbookViewId="0">
      <selection activeCell="E18" sqref="E18"/>
    </sheetView>
  </sheetViews>
  <sheetFormatPr baseColWidth="10" defaultRowHeight="15" x14ac:dyDescent="0"/>
  <cols>
    <col min="2" max="2" width="15.1640625" bestFit="1" customWidth="1"/>
    <col min="3" max="3" width="16.83203125" bestFit="1" customWidth="1"/>
    <col min="4" max="4" width="22" bestFit="1" customWidth="1"/>
    <col min="5" max="5" width="9.83203125" customWidth="1"/>
    <col min="6" max="6" width="37.33203125" bestFit="1" customWidth="1"/>
  </cols>
  <sheetData>
    <row r="1" spans="1:6">
      <c r="A1" s="1" t="s">
        <v>0</v>
      </c>
    </row>
    <row r="2" spans="1:6">
      <c r="A2" t="s">
        <v>32</v>
      </c>
    </row>
    <row r="5" spans="1:6">
      <c r="D5" s="1" t="s">
        <v>29</v>
      </c>
      <c r="E5" s="7">
        <f>SKEW(A7:A16)</f>
        <v>0.35954307140679742</v>
      </c>
    </row>
    <row r="6" spans="1:6" ht="16" thickBot="1">
      <c r="A6" s="1" t="s">
        <v>2</v>
      </c>
      <c r="B6" s="3" t="s">
        <v>11</v>
      </c>
      <c r="C6" s="1" t="s">
        <v>16</v>
      </c>
      <c r="D6" s="1" t="s">
        <v>30</v>
      </c>
      <c r="E6" s="8">
        <f>E12*(E13/((E12-1)*(E12-2)*E11))</f>
        <v>0.3595430714067977</v>
      </c>
      <c r="F6" t="str">
        <f>IF(E6&gt;0,"SKEW is positive so positive skewness",IF(E6&lt;0,"SKEW is negative so negative skewness","SKEW is zero so no skewness"))</f>
        <v>SKEW is positive so positive skewness</v>
      </c>
    </row>
    <row r="7" spans="1:6" ht="16" thickTop="1">
      <c r="A7">
        <v>3</v>
      </c>
      <c r="B7" s="2">
        <f>(A7-E$9)^3</f>
        <v>-2.1969999999999992</v>
      </c>
      <c r="C7" s="5">
        <f>((A7-E$9)/E$10)^3</f>
        <v>-0.65826343990061131</v>
      </c>
      <c r="D7" t="s">
        <v>15</v>
      </c>
      <c r="E7" s="6">
        <f>(1/E12)*SUM(C7:C16)</f>
        <v>0.25887101141289465</v>
      </c>
    </row>
    <row r="8" spans="1:6">
      <c r="A8">
        <v>4</v>
      </c>
      <c r="B8" s="2">
        <f>(A8-E$9)^3</f>
        <v>-2.6999999999999955E-2</v>
      </c>
      <c r="C8" s="5">
        <f>((A8-E$9)/E$10)^3</f>
        <v>-8.0897191066529265E-3</v>
      </c>
      <c r="D8" s="1" t="s">
        <v>10</v>
      </c>
      <c r="E8" s="5"/>
    </row>
    <row r="9" spans="1:6">
      <c r="A9">
        <v>5</v>
      </c>
      <c r="B9" s="2">
        <f>(A9-E$9)^3</f>
        <v>0.34300000000000025</v>
      </c>
      <c r="C9" s="5">
        <f>((A9-E$9)/E$10)^3</f>
        <v>0.10276939457710965</v>
      </c>
      <c r="D9" t="s">
        <v>5</v>
      </c>
      <c r="E9" s="7">
        <f>AVERAGE(A7:A16)</f>
        <v>4.3</v>
      </c>
    </row>
    <row r="10" spans="1:6">
      <c r="A10">
        <v>2</v>
      </c>
      <c r="B10" s="2">
        <f>(A10-E$9)^3</f>
        <v>-12.166999999999996</v>
      </c>
      <c r="C10" s="5">
        <f>((A10-E$9)/E$10)^3</f>
        <v>-3.6454671248387518</v>
      </c>
      <c r="D10" t="s">
        <v>7</v>
      </c>
      <c r="E10" s="7">
        <f>STDEV(A7:A16)</f>
        <v>1.494434118097326</v>
      </c>
    </row>
    <row r="11" spans="1:6">
      <c r="A11">
        <v>3</v>
      </c>
      <c r="B11" s="2">
        <f>(A11-E$9)^3</f>
        <v>-2.1969999999999992</v>
      </c>
      <c r="C11" s="5">
        <f>((A11-E$9)/E$10)^3</f>
        <v>-0.65826343990061131</v>
      </c>
      <c r="D11" t="s">
        <v>8</v>
      </c>
      <c r="E11" s="7">
        <f>E10^3</f>
        <v>3.33756953041736</v>
      </c>
    </row>
    <row r="12" spans="1:6">
      <c r="A12">
        <v>4</v>
      </c>
      <c r="B12" s="2">
        <f>(A12-E$9)^3</f>
        <v>-2.6999999999999955E-2</v>
      </c>
      <c r="C12" s="5">
        <f>((A12-E$9)/E$10)^3</f>
        <v>-8.0897191066529265E-3</v>
      </c>
      <c r="D12" t="s">
        <v>6</v>
      </c>
      <c r="E12" s="7">
        <f>COUNT(A7:A16)</f>
        <v>10</v>
      </c>
    </row>
    <row r="13" spans="1:6">
      <c r="A13">
        <v>5</v>
      </c>
      <c r="B13" s="2">
        <f>(A13-E$9)^3</f>
        <v>0.34300000000000025</v>
      </c>
      <c r="C13" s="5">
        <f>((A13-E$9)/E$10)^3</f>
        <v>0.10276939457710965</v>
      </c>
      <c r="D13" t="s">
        <v>12</v>
      </c>
      <c r="E13" s="7">
        <f>SUM(B7:B16)</f>
        <v>8.6400000000000095</v>
      </c>
    </row>
    <row r="14" spans="1:6">
      <c r="A14">
        <v>6</v>
      </c>
      <c r="B14" s="2">
        <f>(A14-E$9)^3</f>
        <v>4.9130000000000011</v>
      </c>
      <c r="C14" s="5">
        <f>((A14-E$9)/E$10)^3</f>
        <v>1.4720292581846635</v>
      </c>
      <c r="D14" t="s">
        <v>22</v>
      </c>
      <c r="E14" s="7">
        <f>MEDIAN(A7:A16)</f>
        <v>4</v>
      </c>
      <c r="F14" t="str">
        <f>IF(E9&gt;E14,"mean &gt; median so positive skew",IF(E14&gt;E9,"median greater than mean so negative skew","mean = median so not skewed"))</f>
        <v>mean &gt; median so positive skew</v>
      </c>
    </row>
    <row r="15" spans="1:6">
      <c r="A15" s="2">
        <v>4</v>
      </c>
      <c r="B15" s="2">
        <f>(A15-E$9)^3</f>
        <v>-2.6999999999999955E-2</v>
      </c>
      <c r="C15" s="5">
        <f>((A15-E$9)/E$10)^3</f>
        <v>-8.0897191066529265E-3</v>
      </c>
      <c r="D15" t="s">
        <v>17</v>
      </c>
      <c r="E15" s="7">
        <f>MIN(A7:A16)</f>
        <v>2</v>
      </c>
    </row>
    <row r="16" spans="1:6">
      <c r="A16" s="2">
        <v>7</v>
      </c>
      <c r="B16" s="2">
        <f>(A16-E$9)^3</f>
        <v>19.683000000000003</v>
      </c>
      <c r="C16" s="5">
        <f>((A16-E$9)/E$10)^3</f>
        <v>5.8974052287499958</v>
      </c>
      <c r="D16" t="s">
        <v>18</v>
      </c>
      <c r="E16" s="7">
        <f>MAX(A7:A16)</f>
        <v>7</v>
      </c>
    </row>
    <row r="17" spans="1:5">
      <c r="A17" s="2"/>
      <c r="D17" t="s">
        <v>14</v>
      </c>
      <c r="E17" s="6"/>
    </row>
    <row r="18" spans="1:5">
      <c r="A18" s="2"/>
      <c r="E18" s="7">
        <f>(SKEW(A7:A16)*(E12-2))/SQRT(E12*(E12-1))</f>
        <v>0.30319333935414394</v>
      </c>
    </row>
    <row r="19" spans="1:5">
      <c r="A19" s="2"/>
    </row>
    <row r="20" spans="1:5">
      <c r="A20" s="2"/>
    </row>
    <row r="21" spans="1:5">
      <c r="A21" s="2"/>
    </row>
    <row r="22" spans="1:5">
      <c r="A22" s="2"/>
    </row>
    <row r="23" spans="1:5">
      <c r="A23" s="2"/>
    </row>
    <row r="24" spans="1:5">
      <c r="A24" s="2"/>
      <c r="E24" s="4"/>
    </row>
    <row r="25" spans="1:5">
      <c r="A25" s="2"/>
    </row>
    <row r="26" spans="1:5">
      <c r="A26" s="2"/>
    </row>
    <row r="27" spans="1:5">
      <c r="A27" s="2"/>
    </row>
    <row r="28" spans="1:5">
      <c r="A28" s="2"/>
    </row>
    <row r="29" spans="1:5">
      <c r="A29" s="2"/>
    </row>
    <row r="30" spans="1:5">
      <c r="A30" s="2"/>
    </row>
    <row r="31" spans="1:5">
      <c r="A31" s="2"/>
    </row>
    <row r="32" spans="1:5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</sheetData>
  <conditionalFormatting sqref="F14">
    <cfRule type="containsText" dxfId="4" priority="3" operator="containsText" text="negative">
      <formula>NOT(ISERROR(SEARCH("negative",F14)))</formula>
    </cfRule>
    <cfRule type="containsText" dxfId="3" priority="4" operator="containsText" text="positive">
      <formula>NOT(ISERROR(SEARCH("positive",F14)))</formula>
    </cfRule>
  </conditionalFormatting>
  <conditionalFormatting sqref="F6">
    <cfRule type="containsText" dxfId="2" priority="1" operator="containsText" text="negative">
      <formula>NOT(ISERROR(SEARCH("negative",F6)))</formula>
    </cfRule>
    <cfRule type="containsText" dxfId="1" priority="2" operator="containsText" text="positive">
      <formula>NOT(ISERROR(SEARCH("positive",F6)))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57"/>
  <sheetViews>
    <sheetView workbookViewId="0">
      <selection activeCell="G11" sqref="G11"/>
    </sheetView>
  </sheetViews>
  <sheetFormatPr baseColWidth="10" defaultRowHeight="15" x14ac:dyDescent="0"/>
  <sheetData>
    <row r="1" spans="1:8">
      <c r="A1" s="1" t="s">
        <v>38</v>
      </c>
    </row>
    <row r="3" spans="1:8">
      <c r="A3" t="s">
        <v>36</v>
      </c>
      <c r="B3" s="9">
        <v>2570.3200000000002</v>
      </c>
      <c r="C3" t="s">
        <v>45</v>
      </c>
    </row>
    <row r="4" spans="1:8">
      <c r="A4" t="s">
        <v>37</v>
      </c>
      <c r="B4" s="9">
        <v>1329.7016918797069</v>
      </c>
      <c r="C4" t="s">
        <v>44</v>
      </c>
    </row>
    <row r="5" spans="1:8">
      <c r="A5" t="s">
        <v>6</v>
      </c>
      <c r="B5">
        <f>larger_skew!G12</f>
        <v>50</v>
      </c>
    </row>
    <row r="7" spans="1:8">
      <c r="C7" s="1" t="s">
        <v>39</v>
      </c>
      <c r="D7" s="1" t="s">
        <v>35</v>
      </c>
      <c r="F7" t="s">
        <v>17</v>
      </c>
      <c r="G7" s="10">
        <f>MIN(D8:D57)</f>
        <v>-347.5539798725822</v>
      </c>
    </row>
    <row r="8" spans="1:8">
      <c r="C8">
        <v>1</v>
      </c>
      <c r="D8" s="9">
        <v>2168.9487534464856</v>
      </c>
      <c r="F8" t="s">
        <v>18</v>
      </c>
      <c r="G8" s="10">
        <f>MAX(D8:D57)</f>
        <v>6329.4366840427483</v>
      </c>
    </row>
    <row r="9" spans="1:8">
      <c r="C9">
        <f>C8+1</f>
        <v>2</v>
      </c>
      <c r="D9" s="9">
        <v>3217.7214758741729</v>
      </c>
      <c r="F9" t="s">
        <v>41</v>
      </c>
      <c r="G9" s="10">
        <f>(G8-G7)/10</f>
        <v>667.69906639153305</v>
      </c>
    </row>
    <row r="10" spans="1:8">
      <c r="C10">
        <f t="shared" ref="C10:C57" si="0">C9+1</f>
        <v>3</v>
      </c>
      <c r="D10" s="9">
        <v>3714.0609819709348</v>
      </c>
      <c r="F10" t="s">
        <v>42</v>
      </c>
      <c r="G10" s="7">
        <f>SKEW(D8:D57)</f>
        <v>0.19999405659278643</v>
      </c>
      <c r="H10" t="str">
        <f>F10&amp;" "&amp;ROUND(G10,4)</f>
        <v>Skew 0.2</v>
      </c>
    </row>
    <row r="11" spans="1:8">
      <c r="C11">
        <f t="shared" si="0"/>
        <v>4</v>
      </c>
      <c r="D11" s="9">
        <v>922.92224194876826</v>
      </c>
      <c r="F11" t="s">
        <v>43</v>
      </c>
      <c r="G11" s="7">
        <f>KURT(D8:D57)</f>
        <v>-0.11462471403144736</v>
      </c>
    </row>
    <row r="12" spans="1:8">
      <c r="C12">
        <f t="shared" si="0"/>
        <v>5</v>
      </c>
      <c r="D12" s="9">
        <v>1674.8849716501222</v>
      </c>
    </row>
    <row r="13" spans="1:8">
      <c r="C13">
        <f t="shared" si="0"/>
        <v>6</v>
      </c>
      <c r="D13" s="9">
        <v>2514.5004796565768</v>
      </c>
      <c r="F13" s="3" t="s">
        <v>40</v>
      </c>
      <c r="G13" s="3" t="s">
        <v>19</v>
      </c>
    </row>
    <row r="14" spans="1:8">
      <c r="C14">
        <f t="shared" si="0"/>
        <v>7</v>
      </c>
      <c r="D14" s="9">
        <v>546.41133905514721</v>
      </c>
      <c r="F14" s="5">
        <f>G7</f>
        <v>-347.5539798725822</v>
      </c>
      <c r="G14">
        <f t="array" ref="G14:G24">FREQUENCY(D8:D57,F14:F24)</f>
        <v>1</v>
      </c>
    </row>
    <row r="15" spans="1:8">
      <c r="C15">
        <f t="shared" si="0"/>
        <v>8</v>
      </c>
      <c r="D15" s="9">
        <v>4578.9894914246042</v>
      </c>
      <c r="F15" s="5">
        <f>F14+G$9</f>
        <v>320.14508651895085</v>
      </c>
      <c r="G15">
        <v>6</v>
      </c>
    </row>
    <row r="16" spans="1:8">
      <c r="C16">
        <f t="shared" si="0"/>
        <v>9</v>
      </c>
      <c r="D16" s="9">
        <v>3638.9964542361085</v>
      </c>
      <c r="F16" s="5">
        <f>F15+G$9</f>
        <v>987.8441529104839</v>
      </c>
      <c r="G16">
        <v>5</v>
      </c>
    </row>
    <row r="17" spans="3:7">
      <c r="C17">
        <f t="shared" si="0"/>
        <v>10</v>
      </c>
      <c r="D17" s="9">
        <v>218.97780427825637</v>
      </c>
      <c r="F17" s="5">
        <f>F16+G$9</f>
        <v>1655.543219302017</v>
      </c>
      <c r="G17">
        <v>4</v>
      </c>
    </row>
    <row r="18" spans="3:7">
      <c r="C18">
        <f t="shared" si="0"/>
        <v>11</v>
      </c>
      <c r="D18" s="9">
        <v>3262.4834079031539</v>
      </c>
      <c r="F18" s="5">
        <f>F17+G$9</f>
        <v>2323.24228569355</v>
      </c>
      <c r="G18">
        <v>8</v>
      </c>
    </row>
    <row r="19" spans="3:7">
      <c r="C19">
        <f t="shared" si="0"/>
        <v>12</v>
      </c>
      <c r="D19" s="9">
        <v>2978.85118315213</v>
      </c>
      <c r="F19" s="5">
        <f>F18+G$9</f>
        <v>2990.9413520850831</v>
      </c>
      <c r="G19">
        <v>9</v>
      </c>
    </row>
    <row r="20" spans="3:7">
      <c r="C20">
        <f t="shared" si="0"/>
        <v>13</v>
      </c>
      <c r="D20" s="9">
        <v>2515.2642191432451</v>
      </c>
      <c r="F20" s="5">
        <f>F19+G$9</f>
        <v>3658.6404184766161</v>
      </c>
      <c r="G20">
        <v>9</v>
      </c>
    </row>
    <row r="21" spans="3:7">
      <c r="C21">
        <f t="shared" si="0"/>
        <v>14</v>
      </c>
      <c r="D21" s="9">
        <v>1556.778504630583</v>
      </c>
      <c r="F21" s="5">
        <f>F20+G$9</f>
        <v>4326.3394848681492</v>
      </c>
      <c r="G21">
        <v>4</v>
      </c>
    </row>
    <row r="22" spans="3:7">
      <c r="C22">
        <f t="shared" si="0"/>
        <v>15</v>
      </c>
      <c r="D22" s="9">
        <v>2114.7144031725838</v>
      </c>
      <c r="F22" s="5">
        <f>F21+G$9</f>
        <v>4994.0385512596822</v>
      </c>
      <c r="G22">
        <v>3</v>
      </c>
    </row>
    <row r="23" spans="3:7">
      <c r="C23">
        <f t="shared" si="0"/>
        <v>16</v>
      </c>
      <c r="D23" s="9">
        <v>3309.3945087937291</v>
      </c>
      <c r="F23" s="5">
        <f>F22+G$9</f>
        <v>5661.7376176512153</v>
      </c>
      <c r="G23">
        <v>0</v>
      </c>
    </row>
    <row r="24" spans="3:7">
      <c r="C24">
        <f t="shared" si="0"/>
        <v>17</v>
      </c>
      <c r="D24" s="9">
        <v>4101.4674707298072</v>
      </c>
      <c r="F24" s="5">
        <f>F23+G$9</f>
        <v>6329.4366840427483</v>
      </c>
      <c r="G24">
        <v>1</v>
      </c>
    </row>
    <row r="25" spans="3:7">
      <c r="C25">
        <f t="shared" si="0"/>
        <v>18</v>
      </c>
      <c r="D25" s="9">
        <v>2817.1683780740345</v>
      </c>
      <c r="F25" s="5"/>
      <c r="G25">
        <f>SUM(G14:G24)</f>
        <v>50</v>
      </c>
    </row>
    <row r="26" spans="3:7">
      <c r="C26">
        <f t="shared" si="0"/>
        <v>19</v>
      </c>
      <c r="D26" s="9">
        <v>2069.3260034566961</v>
      </c>
    </row>
    <row r="27" spans="3:7">
      <c r="C27">
        <f t="shared" si="0"/>
        <v>20</v>
      </c>
      <c r="D27" s="9">
        <v>23.547505251267467</v>
      </c>
    </row>
    <row r="28" spans="3:7">
      <c r="C28">
        <f t="shared" si="0"/>
        <v>21</v>
      </c>
      <c r="D28" s="9">
        <v>3449.5261101020633</v>
      </c>
    </row>
    <row r="29" spans="3:7">
      <c r="C29">
        <f t="shared" si="0"/>
        <v>22</v>
      </c>
      <c r="D29" s="9">
        <v>2399.0896510330294</v>
      </c>
    </row>
    <row r="30" spans="3:7">
      <c r="C30">
        <f t="shared" si="0"/>
        <v>23</v>
      </c>
      <c r="D30" s="9">
        <v>4862.1072714169377</v>
      </c>
    </row>
    <row r="31" spans="3:7">
      <c r="C31">
        <f t="shared" si="0"/>
        <v>24</v>
      </c>
      <c r="D31" s="9">
        <v>1573.4090786767795</v>
      </c>
    </row>
    <row r="32" spans="3:7">
      <c r="C32">
        <f t="shared" si="0"/>
        <v>25</v>
      </c>
      <c r="D32" s="9">
        <v>1875.5035728176767</v>
      </c>
    </row>
    <row r="33" spans="3:4">
      <c r="C33">
        <f t="shared" si="0"/>
        <v>26</v>
      </c>
      <c r="D33" s="9">
        <v>3185.202792605322</v>
      </c>
    </row>
    <row r="34" spans="3:4">
      <c r="C34">
        <f t="shared" si="0"/>
        <v>27</v>
      </c>
      <c r="D34" s="9">
        <v>1953.9204841048158</v>
      </c>
    </row>
    <row r="35" spans="3:4">
      <c r="C35">
        <f t="shared" si="0"/>
        <v>28</v>
      </c>
      <c r="D35" s="9">
        <v>968.5538724498706</v>
      </c>
    </row>
    <row r="36" spans="3:4">
      <c r="C36">
        <f t="shared" si="0"/>
        <v>29</v>
      </c>
      <c r="D36" s="9">
        <v>2896.4661239041475</v>
      </c>
    </row>
    <row r="37" spans="3:4">
      <c r="C37">
        <f t="shared" si="0"/>
        <v>30</v>
      </c>
      <c r="D37" s="9">
        <v>234.04819402066369</v>
      </c>
    </row>
    <row r="38" spans="3:4">
      <c r="C38">
        <f t="shared" si="0"/>
        <v>31</v>
      </c>
      <c r="D38" s="9">
        <v>789.90375926508023</v>
      </c>
    </row>
    <row r="39" spans="3:4">
      <c r="C39">
        <f t="shared" si="0"/>
        <v>32</v>
      </c>
      <c r="D39" s="9">
        <v>2620.2197106532508</v>
      </c>
    </row>
    <row r="40" spans="3:4">
      <c r="C40">
        <f t="shared" si="0"/>
        <v>33</v>
      </c>
      <c r="D40" s="9">
        <v>4409.1848193772657</v>
      </c>
    </row>
    <row r="41" spans="3:4">
      <c r="C41">
        <f t="shared" si="0"/>
        <v>34</v>
      </c>
      <c r="D41" s="9">
        <v>3000.0582546139749</v>
      </c>
    </row>
    <row r="42" spans="3:4">
      <c r="C42">
        <f t="shared" si="0"/>
        <v>35</v>
      </c>
      <c r="D42" s="9">
        <v>1331.1987320099579</v>
      </c>
    </row>
    <row r="43" spans="3:4">
      <c r="C43">
        <f t="shared" si="0"/>
        <v>36</v>
      </c>
      <c r="D43" s="9">
        <v>3967.3767498559446</v>
      </c>
    </row>
    <row r="44" spans="3:4">
      <c r="C44">
        <f t="shared" si="0"/>
        <v>37</v>
      </c>
      <c r="D44" s="9">
        <v>184.75921288163818</v>
      </c>
    </row>
    <row r="45" spans="3:4">
      <c r="C45">
        <f t="shared" si="0"/>
        <v>38</v>
      </c>
      <c r="D45" s="9">
        <v>-347.5539798725822</v>
      </c>
    </row>
    <row r="46" spans="3:4">
      <c r="C46">
        <f t="shared" si="0"/>
        <v>39</v>
      </c>
      <c r="D46" s="9">
        <v>2173.5014487136391</v>
      </c>
    </row>
    <row r="47" spans="3:4">
      <c r="C47">
        <f t="shared" si="0"/>
        <v>40</v>
      </c>
      <c r="D47" s="9">
        <v>1789.2339443846727</v>
      </c>
    </row>
    <row r="48" spans="3:4">
      <c r="C48">
        <f t="shared" si="0"/>
        <v>41</v>
      </c>
      <c r="D48" s="9">
        <v>142.02993344425613</v>
      </c>
    </row>
    <row r="49" spans="3:4">
      <c r="C49">
        <f t="shared" si="0"/>
        <v>42</v>
      </c>
      <c r="D49" s="9">
        <v>2632.5152442437065</v>
      </c>
    </row>
    <row r="50" spans="3:4">
      <c r="C50">
        <f t="shared" si="0"/>
        <v>43</v>
      </c>
      <c r="D50" s="9">
        <v>916.20166345450843</v>
      </c>
    </row>
    <row r="51" spans="3:4">
      <c r="C51">
        <f t="shared" si="0"/>
        <v>44</v>
      </c>
      <c r="D51" s="9">
        <v>2387.1326364043143</v>
      </c>
    </row>
    <row r="52" spans="3:4">
      <c r="C52">
        <f t="shared" si="0"/>
        <v>45</v>
      </c>
      <c r="D52" s="9">
        <v>3447.7311308902963</v>
      </c>
    </row>
    <row r="53" spans="3:4">
      <c r="C53">
        <f t="shared" si="0"/>
        <v>46</v>
      </c>
      <c r="D53" s="9">
        <v>-18.111953422098395</v>
      </c>
    </row>
    <row r="54" spans="3:4">
      <c r="C54">
        <f t="shared" si="0"/>
        <v>47</v>
      </c>
      <c r="D54" s="9">
        <v>6329.4366840427483</v>
      </c>
    </row>
    <row r="55" spans="3:4">
      <c r="C55">
        <f t="shared" si="0"/>
        <v>48</v>
      </c>
      <c r="D55" s="9">
        <v>3134.6320342231602</v>
      </c>
    </row>
    <row r="56" spans="3:4">
      <c r="C56">
        <f t="shared" si="0"/>
        <v>49</v>
      </c>
      <c r="D56" s="9">
        <v>3949.2852552050263</v>
      </c>
    </row>
    <row r="57" spans="3:4">
      <c r="C57">
        <f t="shared" si="0"/>
        <v>50</v>
      </c>
      <c r="D57" s="9">
        <v>1184.1247642837998</v>
      </c>
    </row>
  </sheetData>
  <conditionalFormatting sqref="D8:D57">
    <cfRule type="cellIs" dxfId="0" priority="1" operator="lessThan">
      <formula>0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D39"/>
  <sheetViews>
    <sheetView workbookViewId="0"/>
  </sheetViews>
  <sheetFormatPr baseColWidth="10" defaultRowHeight="15" x14ac:dyDescent="0"/>
  <sheetData>
    <row r="1" spans="1:4">
      <c r="A1" s="1" t="s">
        <v>57</v>
      </c>
    </row>
    <row r="3" spans="1:4">
      <c r="A3" s="1" t="s">
        <v>46</v>
      </c>
      <c r="C3" s="1" t="s">
        <v>56</v>
      </c>
    </row>
    <row r="4" spans="1:4">
      <c r="A4">
        <v>1</v>
      </c>
      <c r="C4" t="s">
        <v>51</v>
      </c>
      <c r="D4" s="21">
        <f>QUARTILE(A4:A39,1)</f>
        <v>1</v>
      </c>
    </row>
    <row r="5" spans="1:4">
      <c r="A5">
        <v>2</v>
      </c>
      <c r="C5" t="s">
        <v>54</v>
      </c>
      <c r="D5">
        <f>MIN(A4:A39)</f>
        <v>0</v>
      </c>
    </row>
    <row r="6" spans="1:4">
      <c r="A6">
        <v>2</v>
      </c>
      <c r="C6" t="s">
        <v>52</v>
      </c>
      <c r="D6">
        <f>MEDIAN(A4:A39)</f>
        <v>2.5</v>
      </c>
    </row>
    <row r="7" spans="1:4">
      <c r="A7">
        <v>2</v>
      </c>
      <c r="C7" t="s">
        <v>55</v>
      </c>
      <c r="D7">
        <f>MAX(A4:A39)</f>
        <v>10</v>
      </c>
    </row>
    <row r="8" spans="1:4">
      <c r="A8">
        <v>10</v>
      </c>
      <c r="C8" t="s">
        <v>53</v>
      </c>
      <c r="D8">
        <f>QUARTILE(A4:A39,3)</f>
        <v>6.25</v>
      </c>
    </row>
    <row r="9" spans="1:4">
      <c r="A9">
        <v>10</v>
      </c>
    </row>
    <row r="10" spans="1:4">
      <c r="A10">
        <v>8</v>
      </c>
    </row>
    <row r="11" spans="1:4">
      <c r="A11">
        <v>7</v>
      </c>
    </row>
    <row r="12" spans="1:4">
      <c r="A12">
        <v>5</v>
      </c>
    </row>
    <row r="13" spans="1:4">
      <c r="A13">
        <v>8</v>
      </c>
    </row>
    <row r="14" spans="1:4">
      <c r="A14">
        <v>6</v>
      </c>
    </row>
    <row r="15" spans="1:4">
      <c r="A15">
        <v>5</v>
      </c>
    </row>
    <row r="16" spans="1:4">
      <c r="A16">
        <v>10</v>
      </c>
    </row>
    <row r="17" spans="1:1">
      <c r="A17">
        <v>7</v>
      </c>
    </row>
    <row r="18" spans="1:1">
      <c r="A18">
        <v>5</v>
      </c>
    </row>
    <row r="19" spans="1:1">
      <c r="A19">
        <v>1</v>
      </c>
    </row>
    <row r="20" spans="1:1">
      <c r="A20">
        <v>4</v>
      </c>
    </row>
    <row r="21" spans="1:1">
      <c r="A21">
        <v>7</v>
      </c>
    </row>
    <row r="22" spans="1:1">
      <c r="A22">
        <v>3</v>
      </c>
    </row>
    <row r="23" spans="1:1">
      <c r="A23">
        <v>6</v>
      </c>
    </row>
    <row r="24" spans="1:1">
      <c r="A24">
        <v>1</v>
      </c>
    </row>
    <row r="25" spans="1:1">
      <c r="A25">
        <v>3</v>
      </c>
    </row>
    <row r="26" spans="1:1">
      <c r="A26">
        <v>1</v>
      </c>
    </row>
    <row r="27" spans="1:1">
      <c r="A27">
        <v>7</v>
      </c>
    </row>
    <row r="28" spans="1:1">
      <c r="A28">
        <v>4</v>
      </c>
    </row>
    <row r="29" spans="1:1">
      <c r="A29">
        <v>1</v>
      </c>
    </row>
    <row r="30" spans="1:1">
      <c r="A30">
        <v>1</v>
      </c>
    </row>
    <row r="31" spans="1:1">
      <c r="A31">
        <v>2</v>
      </c>
    </row>
    <row r="32" spans="1:1">
      <c r="A32">
        <v>1</v>
      </c>
    </row>
    <row r="33" spans="1:1">
      <c r="A33">
        <v>2</v>
      </c>
    </row>
    <row r="34" spans="1:1">
      <c r="A34">
        <v>0</v>
      </c>
    </row>
    <row r="35" spans="1:1">
      <c r="A35">
        <v>2</v>
      </c>
    </row>
    <row r="36" spans="1:1">
      <c r="A36">
        <v>0</v>
      </c>
    </row>
    <row r="37" spans="1:1">
      <c r="A37">
        <v>2</v>
      </c>
    </row>
    <row r="38" spans="1:1">
      <c r="A38">
        <v>0</v>
      </c>
    </row>
    <row r="39" spans="1:1">
      <c r="A39">
        <v>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basic_skew</vt:lpstr>
      <vt:lpstr>larger_skew</vt:lpstr>
      <vt:lpstr>boxplot_Larger_skew</vt:lpstr>
      <vt:lpstr>dotplot</vt:lpstr>
      <vt:lpstr>simul_large</vt:lpstr>
      <vt:lpstr>gorillas_h_0kk</vt:lpstr>
      <vt:lpstr>gorillas_h_kk</vt:lpstr>
      <vt:lpstr>basic_skew (2)</vt:lpstr>
      <vt:lpstr>simul_large (2)</vt:lpstr>
      <vt:lpstr>boxplot_eg</vt:lpstr>
    </vt:vector>
  </TitlesOfParts>
  <Company>duncan williamson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Williamson</dc:creator>
  <cp:lastModifiedBy>Duncan Williamson</cp:lastModifiedBy>
  <dcterms:created xsi:type="dcterms:W3CDTF">2013-12-30T02:18:32Z</dcterms:created>
  <dcterms:modified xsi:type="dcterms:W3CDTF">2014-01-05T04:39:43Z</dcterms:modified>
</cp:coreProperties>
</file>