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b743f10aa3c8938/Desktop/BUSINESS GAME/"/>
    </mc:Choice>
  </mc:AlternateContent>
  <xr:revisionPtr revIDLastSave="6546" documentId="8_{A9B09DBF-4D2E-4CDB-8501-7F943FC6C08B}" xr6:coauthVersionLast="45" xr6:coauthVersionMax="45" xr10:uidLastSave="{DB418C47-D093-4A6D-8E96-85A1B2B33345}"/>
  <bookViews>
    <workbookView xWindow="-98" yWindow="-98" windowWidth="20715" windowHeight="13276" tabRatio="796" xr2:uid="{454381B8-7200-48DE-83ED-3BD7007FE795}"/>
  </bookViews>
  <sheets>
    <sheet name="Operation" sheetId="2" r:id="rId1"/>
    <sheet name="Marketing" sheetId="3" r:id="rId2"/>
    <sheet name="Distribution" sheetId="4" r:id="rId3"/>
    <sheet name="Finance" sheetId="6" r:id="rId4"/>
    <sheet name="Margins" sheetId="8" r:id="rId5"/>
    <sheet name="Demand forecast" sheetId="1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T65" i="14" l="1"/>
  <c r="S65" i="14"/>
  <c r="R65" i="14" s="1"/>
  <c r="L65" i="14"/>
  <c r="K65" i="14"/>
  <c r="J65" i="14" s="1"/>
  <c r="B65" i="14"/>
  <c r="C65" i="14"/>
  <c r="D65" i="14" s="1"/>
  <c r="M5" i="2"/>
  <c r="F27" i="6" l="1"/>
  <c r="E27" i="6"/>
  <c r="V43" i="2"/>
  <c r="V45" i="2"/>
  <c r="K41" i="8" l="1"/>
  <c r="W20" i="2" l="1"/>
  <c r="N34" i="2"/>
  <c r="N33" i="2"/>
  <c r="M34" i="2"/>
  <c r="M33" i="2"/>
  <c r="M32" i="2"/>
  <c r="L34" i="2"/>
  <c r="L33" i="2"/>
  <c r="L32" i="2"/>
  <c r="L42" i="2" s="1"/>
  <c r="K45" i="2"/>
  <c r="C16" i="2"/>
  <c r="C22" i="2" s="1"/>
  <c r="W32" i="2"/>
  <c r="W31" i="2"/>
  <c r="W30" i="2"/>
  <c r="K28" i="6" l="1"/>
  <c r="B27" i="6" l="1"/>
  <c r="C27" i="6"/>
  <c r="D27" i="6"/>
  <c r="V72" i="2" l="1"/>
  <c r="V73" i="2"/>
  <c r="V74" i="2"/>
  <c r="V75" i="2"/>
  <c r="V76" i="2"/>
  <c r="V77" i="2"/>
  <c r="V78" i="2"/>
  <c r="V79" i="2"/>
  <c r="V80" i="2"/>
  <c r="V81" i="2"/>
  <c r="V71" i="2"/>
  <c r="R72" i="2"/>
  <c r="R73" i="2"/>
  <c r="R74" i="2"/>
  <c r="R75" i="2"/>
  <c r="R76" i="2"/>
  <c r="R77" i="2"/>
  <c r="R78" i="2"/>
  <c r="R79" i="2"/>
  <c r="R80" i="2"/>
  <c r="R81" i="2"/>
  <c r="R71" i="2"/>
  <c r="M72" i="2"/>
  <c r="M73" i="2"/>
  <c r="M74" i="2"/>
  <c r="M75" i="2"/>
  <c r="M76" i="2"/>
  <c r="M77" i="2"/>
  <c r="M78" i="2"/>
  <c r="M79" i="2"/>
  <c r="M80" i="2"/>
  <c r="M81" i="2"/>
  <c r="M71" i="2"/>
  <c r="I72" i="2"/>
  <c r="I73" i="2"/>
  <c r="I74" i="2"/>
  <c r="I75" i="2"/>
  <c r="I76" i="2"/>
  <c r="I77" i="2"/>
  <c r="I78" i="2"/>
  <c r="I79" i="2"/>
  <c r="I80" i="2"/>
  <c r="I81" i="2"/>
  <c r="I71" i="2"/>
  <c r="I70" i="2"/>
  <c r="R70" i="2"/>
  <c r="M75" i="14"/>
  <c r="E74" i="14"/>
  <c r="C66" i="14"/>
  <c r="B66" i="14" s="1"/>
  <c r="F75" i="14" l="1"/>
  <c r="O5" i="2" s="1"/>
  <c r="D61" i="3"/>
  <c r="E61" i="3"/>
  <c r="C61" i="3"/>
  <c r="D50" i="3"/>
  <c r="E50" i="3"/>
  <c r="C50" i="3"/>
  <c r="D39" i="3"/>
  <c r="E39" i="3"/>
  <c r="C39" i="3"/>
  <c r="E26" i="3"/>
  <c r="D26" i="3"/>
  <c r="C26" i="3"/>
  <c r="D19" i="3"/>
  <c r="E19" i="3"/>
  <c r="C19" i="3"/>
  <c r="D12" i="3"/>
  <c r="C12" i="3"/>
  <c r="J55" i="8" l="1"/>
  <c r="I55" i="8"/>
  <c r="J46" i="8"/>
  <c r="K46" i="8"/>
  <c r="I46" i="8"/>
  <c r="J37" i="8"/>
  <c r="K37" i="8"/>
  <c r="I37" i="8"/>
  <c r="S55" i="2"/>
  <c r="E89" i="2"/>
  <c r="L74" i="14"/>
  <c r="L75" i="14"/>
  <c r="M74" i="14"/>
  <c r="J50" i="8"/>
  <c r="J41" i="8"/>
  <c r="J32" i="8"/>
  <c r="K32" i="8"/>
  <c r="I50" i="8"/>
  <c r="I41" i="8"/>
  <c r="I32" i="8"/>
  <c r="E12" i="8"/>
  <c r="C64" i="8"/>
  <c r="D34" i="8"/>
  <c r="C34" i="8"/>
  <c r="C49" i="8"/>
  <c r="X83" i="2"/>
  <c r="T83" i="2"/>
  <c r="K83" i="2"/>
  <c r="G83" i="2"/>
  <c r="O83" i="2"/>
  <c r="O88" i="2"/>
  <c r="N88" i="2"/>
  <c r="V32" i="2"/>
  <c r="V31" i="2"/>
  <c r="V30" i="2"/>
  <c r="M7" i="2" l="1"/>
  <c r="M6" i="2"/>
  <c r="D14" i="8" l="1"/>
  <c r="E14" i="8" s="1"/>
  <c r="D13" i="8"/>
  <c r="E13" i="8" s="1"/>
  <c r="D12" i="8"/>
  <c r="E57" i="3" l="1"/>
  <c r="E35" i="3"/>
  <c r="I61" i="4"/>
  <c r="G61" i="4"/>
  <c r="E61" i="4"/>
  <c r="E46" i="3" l="1"/>
  <c r="D35" i="3"/>
  <c r="G23" i="3" l="1"/>
  <c r="F23" i="3"/>
  <c r="E23" i="3"/>
  <c r="D23" i="3"/>
  <c r="G16" i="3"/>
  <c r="F16" i="3"/>
  <c r="E16" i="3"/>
  <c r="D16" i="3"/>
  <c r="G9" i="3"/>
  <c r="F9" i="3"/>
  <c r="E9" i="3"/>
  <c r="D9" i="3"/>
  <c r="D46" i="3"/>
  <c r="G35" i="3"/>
  <c r="F57" i="3"/>
  <c r="G57" i="3"/>
  <c r="D57" i="3"/>
  <c r="F46" i="3"/>
  <c r="G46" i="3"/>
  <c r="F35" i="3"/>
  <c r="E18" i="4"/>
  <c r="D18" i="4"/>
  <c r="C18" i="4"/>
  <c r="D10" i="4"/>
  <c r="C10" i="4"/>
  <c r="U32" i="2" l="1"/>
  <c r="U31" i="2"/>
  <c r="U30" i="2"/>
  <c r="C60" i="6" l="1"/>
  <c r="C38" i="3"/>
  <c r="C25" i="3"/>
  <c r="C18" i="3"/>
  <c r="C11" i="3"/>
  <c r="D21" i="3" l="1"/>
  <c r="C21" i="3"/>
  <c r="D14" i="3"/>
  <c r="C14" i="3"/>
  <c r="D7" i="3"/>
  <c r="C7" i="3"/>
  <c r="N23" i="2"/>
  <c r="F7" i="3" s="1"/>
  <c r="T30" i="2"/>
  <c r="L5" i="2"/>
  <c r="P26" i="8" l="1"/>
  <c r="P27" i="8" s="1"/>
  <c r="O26" i="8"/>
  <c r="O27" i="8" s="1"/>
  <c r="N26" i="8"/>
  <c r="N27" i="8" s="1"/>
  <c r="M26" i="8"/>
  <c r="M27" i="8" s="1"/>
  <c r="L26" i="8"/>
  <c r="L27" i="8" s="1"/>
  <c r="K26" i="8"/>
  <c r="K27" i="8" s="1"/>
  <c r="J26" i="8"/>
  <c r="J27" i="8" s="1"/>
  <c r="I26" i="8"/>
  <c r="I27" i="8" s="1"/>
  <c r="R27" i="8" s="1"/>
  <c r="I17" i="8"/>
  <c r="P17" i="8"/>
  <c r="P18" i="8" s="1"/>
  <c r="O17" i="8"/>
  <c r="O18" i="8" s="1"/>
  <c r="N17" i="8"/>
  <c r="N18" i="8" s="1"/>
  <c r="M17" i="8"/>
  <c r="M18" i="8" s="1"/>
  <c r="L17" i="8"/>
  <c r="L18" i="8" s="1"/>
  <c r="K17" i="8"/>
  <c r="K18" i="8" s="1"/>
  <c r="R18" i="8" s="1"/>
  <c r="J17" i="8"/>
  <c r="J18" i="8" s="1"/>
  <c r="I18" i="8"/>
  <c r="J8" i="8"/>
  <c r="J9" i="8" s="1"/>
  <c r="K8" i="8"/>
  <c r="K9" i="8" s="1"/>
  <c r="L8" i="8"/>
  <c r="L9" i="8" s="1"/>
  <c r="M8" i="8"/>
  <c r="M9" i="8" s="1"/>
  <c r="N8" i="8"/>
  <c r="N9" i="8" s="1"/>
  <c r="O8" i="8"/>
  <c r="O9" i="8" s="1"/>
  <c r="P8" i="8"/>
  <c r="P9" i="8" s="1"/>
  <c r="I8" i="8"/>
  <c r="I9" i="8" s="1"/>
  <c r="D7" i="8"/>
  <c r="E7" i="8" s="1"/>
  <c r="D8" i="8"/>
  <c r="E8" i="8" s="1"/>
  <c r="D6" i="8"/>
  <c r="E6" i="8" s="1"/>
  <c r="S18" i="8" l="1"/>
  <c r="S9" i="8"/>
  <c r="S27" i="8"/>
  <c r="R9" i="8"/>
  <c r="J13" i="3"/>
  <c r="J12" i="3"/>
  <c r="J11" i="3"/>
  <c r="D55" i="3"/>
  <c r="E55" i="3"/>
  <c r="F55" i="3"/>
  <c r="G55" i="3"/>
  <c r="D44" i="3"/>
  <c r="E44" i="3"/>
  <c r="F44" i="3"/>
  <c r="G44" i="3"/>
  <c r="D33" i="3"/>
  <c r="E33" i="3"/>
  <c r="F33" i="3"/>
  <c r="G33" i="3"/>
  <c r="C55" i="3"/>
  <c r="C44" i="3"/>
  <c r="C33" i="3"/>
  <c r="T32" i="2"/>
  <c r="T31" i="2"/>
  <c r="L7" i="2" l="1"/>
  <c r="L6" i="2"/>
  <c r="V49" i="14"/>
  <c r="S47" i="14"/>
  <c r="T41" i="14"/>
  <c r="V48" i="14" s="1"/>
  <c r="L41" i="14"/>
  <c r="D41" i="14"/>
  <c r="T40" i="14"/>
  <c r="V50" i="14" s="1"/>
  <c r="L40" i="14"/>
  <c r="N49" i="14" s="1"/>
  <c r="D40" i="14"/>
  <c r="F48" i="14" s="1"/>
  <c r="F47" i="14" l="1"/>
  <c r="N48" i="14"/>
  <c r="K47" i="14"/>
  <c r="L47" i="14" s="1"/>
  <c r="T47" i="14"/>
  <c r="F50" i="14"/>
  <c r="C47" i="14"/>
  <c r="D47" i="14" s="1"/>
  <c r="V47" i="14"/>
  <c r="F49" i="14"/>
  <c r="N50" i="14"/>
  <c r="N47" i="14"/>
  <c r="M57" i="14" l="1"/>
  <c r="M58" i="14"/>
  <c r="M59" i="14"/>
  <c r="M55" i="14"/>
  <c r="M56" i="14"/>
  <c r="E56" i="14"/>
  <c r="E57" i="14"/>
  <c r="E58" i="14"/>
  <c r="E59" i="14"/>
  <c r="E55" i="14"/>
  <c r="C63" i="14"/>
  <c r="U58" i="14"/>
  <c r="U59" i="14"/>
  <c r="U55" i="14"/>
  <c r="U56" i="14"/>
  <c r="U57" i="14"/>
  <c r="S63" i="14"/>
  <c r="K63" i="14"/>
  <c r="B63" i="14" l="1"/>
  <c r="C64" i="14" s="1"/>
  <c r="C73" i="14"/>
  <c r="D63" i="14"/>
  <c r="T63" i="14"/>
  <c r="R63" i="14"/>
  <c r="S73" i="14" s="1"/>
  <c r="K73" i="14"/>
  <c r="K72" i="14"/>
  <c r="K74" i="14"/>
  <c r="J63" i="14"/>
  <c r="K64" i="14" s="1"/>
  <c r="L63" i="14"/>
  <c r="K75" i="14" s="1"/>
  <c r="D64" i="14" l="1"/>
  <c r="B64" i="14"/>
  <c r="C72" i="14"/>
  <c r="S74" i="14"/>
  <c r="S72" i="14"/>
  <c r="S75" i="14"/>
  <c r="J64" i="14"/>
  <c r="L73" i="14" s="1"/>
  <c r="L64" i="14"/>
  <c r="S64" i="14"/>
  <c r="C75" i="14"/>
  <c r="C74" i="14"/>
  <c r="D74" i="14" l="1"/>
  <c r="D75" i="14"/>
  <c r="T64" i="14"/>
  <c r="T74" i="14"/>
  <c r="T73" i="14"/>
  <c r="T75" i="14"/>
  <c r="R64" i="14"/>
  <c r="D73" i="14"/>
  <c r="U74" i="14" l="1"/>
  <c r="D66" i="14"/>
  <c r="K66" i="14"/>
  <c r="E75" i="14"/>
  <c r="U75" i="14" l="1"/>
  <c r="L66" i="14"/>
  <c r="J66" i="14"/>
  <c r="N75" i="14" s="1"/>
  <c r="O6" i="2" s="1"/>
  <c r="S66" i="14"/>
  <c r="R66" i="14" l="1"/>
  <c r="V75" i="14" s="1"/>
  <c r="O7" i="2" s="1"/>
  <c r="T66" i="14"/>
  <c r="L29" i="4" l="1"/>
  <c r="L21" i="4"/>
  <c r="T38" i="2" l="1"/>
  <c r="U38" i="2"/>
  <c r="V38" i="2"/>
  <c r="W38" i="2"/>
  <c r="S38" i="2"/>
  <c r="T37" i="2"/>
  <c r="U37" i="2"/>
  <c r="V37" i="2"/>
  <c r="W37" i="2"/>
  <c r="S37" i="2"/>
  <c r="T36" i="2"/>
  <c r="U36" i="2"/>
  <c r="V36" i="2"/>
  <c r="W36" i="2"/>
  <c r="S36" i="2"/>
  <c r="L27" i="4" l="1"/>
  <c r="M30" i="4" s="1"/>
  <c r="L19" i="4"/>
  <c r="M22" i="4" s="1"/>
  <c r="C13" i="4"/>
  <c r="D15" i="4" s="1"/>
  <c r="D13" i="4" s="1"/>
  <c r="E15" i="4" s="1"/>
  <c r="E13" i="4" s="1"/>
  <c r="F15" i="4" s="1"/>
  <c r="F13" i="4" s="1"/>
  <c r="C5" i="4"/>
  <c r="D7" i="4" s="1"/>
  <c r="D5" i="4" s="1"/>
  <c r="E7" i="4" s="1"/>
  <c r="E5" i="4" s="1"/>
  <c r="G15" i="4" l="1"/>
  <c r="G13" i="4" s="1"/>
  <c r="G18" i="4" s="1"/>
  <c r="F18" i="4"/>
  <c r="F7" i="4"/>
  <c r="F5" i="4" s="1"/>
  <c r="E10" i="4"/>
  <c r="N13" i="4" s="1"/>
  <c r="M19" i="4"/>
  <c r="N22" i="4" s="1"/>
  <c r="M21" i="4"/>
  <c r="M27" i="4"/>
  <c r="N30" i="4" s="1"/>
  <c r="M29" i="4"/>
  <c r="C62" i="6"/>
  <c r="D62" i="6"/>
  <c r="E62" i="6"/>
  <c r="F62" i="6"/>
  <c r="B62" i="6"/>
  <c r="C44" i="6"/>
  <c r="D44" i="6"/>
  <c r="E44" i="6"/>
  <c r="F44" i="6"/>
  <c r="B44" i="6"/>
  <c r="B63" i="6"/>
  <c r="J28" i="6"/>
  <c r="C19" i="6"/>
  <c r="D19" i="6"/>
  <c r="E19" i="6"/>
  <c r="F19" i="6"/>
  <c r="B19" i="6"/>
  <c r="T44" i="2"/>
  <c r="S30" i="2"/>
  <c r="S42" i="2" s="1"/>
  <c r="U44" i="2"/>
  <c r="V44" i="2"/>
  <c r="D64" i="8" s="1"/>
  <c r="W44" i="2"/>
  <c r="E64" i="8" s="1"/>
  <c r="T43" i="2"/>
  <c r="U43" i="2"/>
  <c r="D49" i="8"/>
  <c r="W43" i="2"/>
  <c r="E49" i="8" s="1"/>
  <c r="T42" i="2"/>
  <c r="U42" i="2"/>
  <c r="V42" i="2"/>
  <c r="W42" i="2"/>
  <c r="E34" i="8" s="1"/>
  <c r="S32" i="2"/>
  <c r="S44" i="2" s="1"/>
  <c r="S31" i="2"/>
  <c r="S43" i="2" s="1"/>
  <c r="F59" i="6"/>
  <c r="E59" i="6"/>
  <c r="D59" i="6"/>
  <c r="C59" i="6"/>
  <c r="G7" i="4" l="1"/>
  <c r="G5" i="4" s="1"/>
  <c r="G10" i="4" s="1"/>
  <c r="F10" i="4"/>
  <c r="N19" i="4"/>
  <c r="O22" i="4" s="1"/>
  <c r="N21" i="4"/>
  <c r="W45" i="2"/>
  <c r="F6" i="6" s="1"/>
  <c r="E6" i="6"/>
  <c r="N27" i="4"/>
  <c r="O30" i="4" s="1"/>
  <c r="N29" i="4"/>
  <c r="D63" i="6"/>
  <c r="L28" i="6"/>
  <c r="C63" i="6"/>
  <c r="U45" i="2"/>
  <c r="D6" i="6" s="1"/>
  <c r="T45" i="2"/>
  <c r="C6" i="6" s="1"/>
  <c r="S45" i="2"/>
  <c r="B6" i="6" s="1"/>
  <c r="O19" i="4" l="1"/>
  <c r="P22" i="4" s="1"/>
  <c r="O21" i="4"/>
  <c r="O27" i="4"/>
  <c r="P30" i="4" s="1"/>
  <c r="O29" i="4"/>
  <c r="E63" i="6"/>
  <c r="M28" i="6"/>
  <c r="F60" i="6"/>
  <c r="E60" i="6"/>
  <c r="D60" i="6"/>
  <c r="C58" i="6"/>
  <c r="D58" i="6"/>
  <c r="E58" i="6"/>
  <c r="F58" i="6"/>
  <c r="C57" i="6"/>
  <c r="D57" i="6"/>
  <c r="E57" i="6"/>
  <c r="F57" i="6"/>
  <c r="C13" i="6"/>
  <c r="D13" i="6"/>
  <c r="E13" i="6"/>
  <c r="F13" i="6"/>
  <c r="F63" i="6" l="1"/>
  <c r="P19" i="4"/>
  <c r="P21" i="4"/>
  <c r="P27" i="4"/>
  <c r="P29" i="4"/>
  <c r="D47" i="3" l="1"/>
  <c r="D58" i="3" s="1"/>
  <c r="E47" i="3"/>
  <c r="E58" i="3" s="1"/>
  <c r="F47" i="3"/>
  <c r="F58" i="3" s="1"/>
  <c r="G47" i="3"/>
  <c r="G58" i="3" s="1"/>
  <c r="C47" i="3"/>
  <c r="C58" i="3" s="1"/>
  <c r="B13" i="6"/>
  <c r="B58" i="6"/>
  <c r="B57" i="6"/>
  <c r="G62" i="2"/>
  <c r="F49" i="6" s="1"/>
  <c r="F62" i="2"/>
  <c r="E49" i="6" s="1"/>
  <c r="E62" i="2"/>
  <c r="D49" i="6" s="1"/>
  <c r="D62" i="2"/>
  <c r="C49" i="6" s="1"/>
  <c r="C62" i="2"/>
  <c r="B49" i="6" s="1"/>
  <c r="D41" i="2"/>
  <c r="C48" i="6" s="1"/>
  <c r="G41" i="2"/>
  <c r="F48" i="6" s="1"/>
  <c r="F41" i="2"/>
  <c r="E48" i="6" s="1"/>
  <c r="E41" i="2"/>
  <c r="D48" i="6" s="1"/>
  <c r="C41" i="2"/>
  <c r="B48" i="6" s="1"/>
  <c r="D20" i="2"/>
  <c r="C47" i="6" s="1"/>
  <c r="E20" i="2"/>
  <c r="D47" i="6" s="1"/>
  <c r="F20" i="2"/>
  <c r="E47" i="6" s="1"/>
  <c r="G20" i="2"/>
  <c r="F47" i="6" s="1"/>
  <c r="C20" i="2"/>
  <c r="B47" i="6" s="1"/>
  <c r="W70" i="2"/>
  <c r="L32" i="4"/>
  <c r="B21" i="6" s="1"/>
  <c r="M32" i="4"/>
  <c r="C21" i="6" s="1"/>
  <c r="N32" i="4"/>
  <c r="D21" i="6" s="1"/>
  <c r="O32" i="4"/>
  <c r="E21" i="6" s="1"/>
  <c r="P32" i="4"/>
  <c r="F21" i="6" s="1"/>
  <c r="M24" i="4"/>
  <c r="C22" i="6" s="1"/>
  <c r="N24" i="4"/>
  <c r="D22" i="6" s="1"/>
  <c r="O24" i="4"/>
  <c r="E22" i="6" s="1"/>
  <c r="P24" i="4"/>
  <c r="F22" i="6" s="1"/>
  <c r="L24" i="4"/>
  <c r="B22" i="6" s="1"/>
  <c r="D23" i="6" l="1"/>
  <c r="C23" i="6"/>
  <c r="F23" i="6"/>
  <c r="E23" i="6"/>
  <c r="C55" i="4"/>
  <c r="C54" i="4"/>
  <c r="C53" i="4"/>
  <c r="C52" i="4"/>
  <c r="C51" i="4"/>
  <c r="C50" i="4"/>
  <c r="C49" i="4"/>
  <c r="C48" i="4"/>
  <c r="C47" i="4"/>
  <c r="C46" i="4"/>
  <c r="C45" i="4"/>
  <c r="B23" i="6"/>
  <c r="B76" i="6"/>
  <c r="B73" i="6"/>
  <c r="E60" i="4" l="1"/>
  <c r="B16" i="6"/>
  <c r="K23" i="2" l="1"/>
  <c r="K42" i="2" s="1"/>
  <c r="L28" i="2"/>
  <c r="D54" i="3" s="1"/>
  <c r="D59" i="3" s="1"/>
  <c r="M28" i="2"/>
  <c r="E54" i="3" s="1"/>
  <c r="E59" i="3" s="1"/>
  <c r="N28" i="2"/>
  <c r="F54" i="3" s="1"/>
  <c r="O28" i="2"/>
  <c r="K28" i="2"/>
  <c r="C54" i="3" s="1"/>
  <c r="C59" i="3" s="1"/>
  <c r="C60" i="3" s="1"/>
  <c r="L27" i="2"/>
  <c r="D43" i="3" s="1"/>
  <c r="M27" i="2"/>
  <c r="E43" i="3" s="1"/>
  <c r="E48" i="3" s="1"/>
  <c r="N27" i="2"/>
  <c r="F43" i="3" s="1"/>
  <c r="O27" i="2"/>
  <c r="G43" i="3" s="1"/>
  <c r="K27" i="2"/>
  <c r="C43" i="3" s="1"/>
  <c r="C48" i="3" s="1"/>
  <c r="C49" i="3" s="1"/>
  <c r="L26" i="2"/>
  <c r="D32" i="3" s="1"/>
  <c r="D37" i="3" s="1"/>
  <c r="M26" i="2"/>
  <c r="E32" i="3" s="1"/>
  <c r="E37" i="3" s="1"/>
  <c r="N26" i="2"/>
  <c r="F32" i="3" s="1"/>
  <c r="O26" i="2"/>
  <c r="G32" i="3" s="1"/>
  <c r="K26" i="2"/>
  <c r="C32" i="3" s="1"/>
  <c r="I4" i="6" s="1"/>
  <c r="L25" i="2"/>
  <c r="M25" i="2"/>
  <c r="E21" i="3" s="1"/>
  <c r="N25" i="2"/>
  <c r="F21" i="3" s="1"/>
  <c r="O25" i="2"/>
  <c r="G21" i="3" s="1"/>
  <c r="K25" i="2"/>
  <c r="K44" i="2" s="1"/>
  <c r="K47" i="2" s="1"/>
  <c r="L24" i="2"/>
  <c r="M24" i="2"/>
  <c r="E14" i="3" s="1"/>
  <c r="N24" i="2"/>
  <c r="F14" i="3" s="1"/>
  <c r="O24" i="2"/>
  <c r="G14" i="3" s="1"/>
  <c r="K24" i="2"/>
  <c r="K43" i="2" s="1"/>
  <c r="K46" i="2" s="1"/>
  <c r="L23" i="2"/>
  <c r="M23" i="2"/>
  <c r="O23" i="2"/>
  <c r="G7" i="3" s="1"/>
  <c r="G54" i="3" l="1"/>
  <c r="K50" i="8"/>
  <c r="K51" i="8"/>
  <c r="K55" i="8"/>
  <c r="F59" i="3"/>
  <c r="F61" i="3"/>
  <c r="G59" i="3"/>
  <c r="G61" i="3" s="1"/>
  <c r="G50" i="3"/>
  <c r="G37" i="3"/>
  <c r="G39" i="3" s="1"/>
  <c r="F48" i="3"/>
  <c r="F50" i="3"/>
  <c r="F37" i="3"/>
  <c r="F39" i="3"/>
  <c r="S49" i="2"/>
  <c r="S17" i="2"/>
  <c r="E7" i="3"/>
  <c r="E12" i="3" s="1"/>
  <c r="S50" i="2"/>
  <c r="C37" i="2" l="1"/>
  <c r="C38" i="2" s="1"/>
  <c r="K12" i="3"/>
  <c r="C17" i="2"/>
  <c r="D12" i="2" s="1"/>
  <c r="K11" i="3"/>
  <c r="C9" i="4" a="1"/>
  <c r="D60" i="3"/>
  <c r="J8" i="6" s="1"/>
  <c r="E60" i="3"/>
  <c r="K8" i="6" s="1"/>
  <c r="F60" i="3"/>
  <c r="L8" i="6" s="1"/>
  <c r="G60" i="3"/>
  <c r="M8" i="6" s="1"/>
  <c r="I8" i="6"/>
  <c r="D49" i="3"/>
  <c r="J6" i="6" s="1"/>
  <c r="E49" i="3"/>
  <c r="K6" i="6" s="1"/>
  <c r="F49" i="3"/>
  <c r="L6" i="6" s="1"/>
  <c r="G49" i="3"/>
  <c r="M6" i="6" s="1"/>
  <c r="D38" i="3"/>
  <c r="J4" i="6" s="1"/>
  <c r="E38" i="3"/>
  <c r="K4" i="6" s="1"/>
  <c r="F38" i="3"/>
  <c r="L4" i="6" s="1"/>
  <c r="G38" i="3"/>
  <c r="M4" i="6" s="1"/>
  <c r="J19" i="3"/>
  <c r="J18" i="3"/>
  <c r="J17" i="3"/>
  <c r="S51" i="2"/>
  <c r="S56" i="2" s="1"/>
  <c r="S57" i="2" l="1"/>
  <c r="C58" i="2"/>
  <c r="C59" i="2" s="1"/>
  <c r="D54" i="2" s="1"/>
  <c r="K13" i="3"/>
  <c r="S16" i="2"/>
  <c r="S18" i="2" s="1"/>
  <c r="L19" i="6"/>
  <c r="E43" i="6" s="1"/>
  <c r="B56" i="6"/>
  <c r="B5" i="6" s="1"/>
  <c r="M19" i="6"/>
  <c r="F43" i="6" s="1"/>
  <c r="K19" i="6"/>
  <c r="D43" i="6" s="1"/>
  <c r="J19" i="6"/>
  <c r="C43" i="6" s="1"/>
  <c r="C9" i="4"/>
  <c r="I6" i="6"/>
  <c r="J24" i="3"/>
  <c r="L12" i="4"/>
  <c r="B54" i="6" s="1"/>
  <c r="N12" i="4"/>
  <c r="D54" i="6" s="1"/>
  <c r="O12" i="4"/>
  <c r="E54" i="6" s="1"/>
  <c r="P12" i="4"/>
  <c r="F54" i="6" s="1"/>
  <c r="M12" i="4"/>
  <c r="C54" i="6" s="1"/>
  <c r="C26" i="2"/>
  <c r="C47" i="2"/>
  <c r="J7" i="3"/>
  <c r="C26" i="4" s="1"/>
  <c r="J6" i="3"/>
  <c r="C25" i="4" s="1"/>
  <c r="C64" i="2" l="1"/>
  <c r="C50" i="2"/>
  <c r="I19" i="6"/>
  <c r="B43" i="6" s="1"/>
  <c r="F44" i="4"/>
  <c r="G44" i="4"/>
  <c r="H44" i="4" s="1"/>
  <c r="D55" i="4"/>
  <c r="D54" i="4"/>
  <c r="D53" i="4"/>
  <c r="D52" i="4"/>
  <c r="D51" i="4"/>
  <c r="D50" i="4"/>
  <c r="D49" i="4"/>
  <c r="D48" i="4"/>
  <c r="D47" i="4"/>
  <c r="D46" i="4"/>
  <c r="F46" i="4" s="1"/>
  <c r="V70" i="2"/>
  <c r="Y70" i="2" s="1"/>
  <c r="S70" i="2"/>
  <c r="W71" i="2" s="1"/>
  <c r="N70" i="2"/>
  <c r="S71" i="2" s="1"/>
  <c r="W72" i="2" s="1"/>
  <c r="M70" i="2"/>
  <c r="J70" i="2"/>
  <c r="C71" i="2"/>
  <c r="C80" i="2"/>
  <c r="C81" i="2"/>
  <c r="C79" i="2"/>
  <c r="C78" i="2"/>
  <c r="C77" i="2"/>
  <c r="C76" i="2"/>
  <c r="C75" i="2"/>
  <c r="C74" i="2"/>
  <c r="C73" i="2"/>
  <c r="C72" i="2"/>
  <c r="J72" i="2"/>
  <c r="N73" i="2" s="1"/>
  <c r="J73" i="2"/>
  <c r="F70" i="2"/>
  <c r="H70" i="2" s="1"/>
  <c r="D81" i="2"/>
  <c r="D80" i="2"/>
  <c r="D79" i="2"/>
  <c r="H79" i="2" s="1"/>
  <c r="D78" i="2"/>
  <c r="H78" i="2" s="1"/>
  <c r="D77" i="2"/>
  <c r="H77" i="2" s="1"/>
  <c r="D76" i="2"/>
  <c r="H76" i="2" s="1"/>
  <c r="D75" i="2"/>
  <c r="H75" i="2" s="1"/>
  <c r="D74" i="2"/>
  <c r="H74" i="2" s="1"/>
  <c r="D73" i="2"/>
  <c r="H73" i="2" s="1"/>
  <c r="D72" i="2"/>
  <c r="H72" i="2" s="1"/>
  <c r="D71" i="2"/>
  <c r="H71" i="2" s="1"/>
  <c r="E83" i="2"/>
  <c r="M44" i="4"/>
  <c r="N44" i="4" s="1"/>
  <c r="K44" i="4"/>
  <c r="M45" i="4" s="1"/>
  <c r="I44" i="4"/>
  <c r="J44" i="4" s="1"/>
  <c r="E57" i="4"/>
  <c r="G55" i="4"/>
  <c r="G54" i="4"/>
  <c r="I55" i="4" s="1"/>
  <c r="G53" i="4"/>
  <c r="I54" i="4" s="1"/>
  <c r="K55" i="4" s="1"/>
  <c r="G52" i="4"/>
  <c r="I53" i="4" s="1"/>
  <c r="K54" i="4" s="1"/>
  <c r="M55" i="4" s="1"/>
  <c r="G51" i="4"/>
  <c r="I52" i="4" s="1"/>
  <c r="K53" i="4" s="1"/>
  <c r="M54" i="4" s="1"/>
  <c r="G50" i="4"/>
  <c r="I51" i="4" s="1"/>
  <c r="K52" i="4" s="1"/>
  <c r="M53" i="4" s="1"/>
  <c r="G49" i="4"/>
  <c r="I50" i="4" s="1"/>
  <c r="K51" i="4" s="1"/>
  <c r="M52" i="4" s="1"/>
  <c r="G48" i="4"/>
  <c r="I49" i="4" s="1"/>
  <c r="K50" i="4" s="1"/>
  <c r="M51" i="4" s="1"/>
  <c r="G47" i="4"/>
  <c r="G46" i="4"/>
  <c r="I47" i="4" s="1"/>
  <c r="G45" i="4"/>
  <c r="I46" i="4" s="1"/>
  <c r="K47" i="4" s="1"/>
  <c r="D45" i="4"/>
  <c r="F45" i="4" s="1"/>
  <c r="N24" i="3"/>
  <c r="K24" i="3"/>
  <c r="L24" i="3"/>
  <c r="L13" i="4"/>
  <c r="C17" i="4" a="1"/>
  <c r="C57" i="2" l="1"/>
  <c r="C63" i="2"/>
  <c r="B52" i="6" s="1"/>
  <c r="D52" i="2"/>
  <c r="B11" i="6"/>
  <c r="Y71" i="2"/>
  <c r="G88" i="2"/>
  <c r="T88" i="2"/>
  <c r="K88" i="2"/>
  <c r="X88" i="2"/>
  <c r="F26" i="6" s="1"/>
  <c r="F29" i="6" s="1"/>
  <c r="E88" i="2"/>
  <c r="S13" i="2"/>
  <c r="U74" i="2"/>
  <c r="I7" i="6"/>
  <c r="I14" i="6" s="1"/>
  <c r="I5" i="6"/>
  <c r="I13" i="6" s="1"/>
  <c r="L70" i="2"/>
  <c r="M48" i="4"/>
  <c r="N48" i="4" s="1"/>
  <c r="K48" i="4"/>
  <c r="M49" i="4" s="1"/>
  <c r="N49" i="4" s="1"/>
  <c r="J47" i="4"/>
  <c r="C17" i="4"/>
  <c r="L10" i="4" s="1"/>
  <c r="B53" i="6" s="1"/>
  <c r="B20" i="6" s="1"/>
  <c r="B24" i="6" s="1"/>
  <c r="P10" i="4"/>
  <c r="F53" i="6" s="1"/>
  <c r="F20" i="6" s="1"/>
  <c r="F24" i="6" s="1"/>
  <c r="N10" i="4"/>
  <c r="D53" i="6" s="1"/>
  <c r="D20" i="6" s="1"/>
  <c r="D24" i="6" s="1"/>
  <c r="O10" i="4"/>
  <c r="E53" i="6" s="1"/>
  <c r="E20" i="6" s="1"/>
  <c r="E24" i="6" s="1"/>
  <c r="M10" i="4"/>
  <c r="C53" i="6" s="1"/>
  <c r="C20" i="6" s="1"/>
  <c r="C24" i="6" s="1"/>
  <c r="C16" i="6"/>
  <c r="J52" i="4"/>
  <c r="J55" i="4"/>
  <c r="N53" i="4"/>
  <c r="J51" i="4"/>
  <c r="N71" i="2"/>
  <c r="S72" i="2" s="1"/>
  <c r="W73" i="2" s="1"/>
  <c r="L78" i="2"/>
  <c r="L74" i="2"/>
  <c r="I88" i="2"/>
  <c r="J54" i="4"/>
  <c r="H53" i="4"/>
  <c r="L54" i="4"/>
  <c r="L50" i="4"/>
  <c r="I48" i="4"/>
  <c r="G60" i="4"/>
  <c r="H49" i="4"/>
  <c r="J50" i="4"/>
  <c r="J46" i="4"/>
  <c r="L53" i="4"/>
  <c r="N52" i="4"/>
  <c r="H52" i="4"/>
  <c r="H48" i="4"/>
  <c r="H45" i="4"/>
  <c r="J53" i="4"/>
  <c r="J49" i="4"/>
  <c r="L44" i="4"/>
  <c r="L52" i="4"/>
  <c r="L48" i="4"/>
  <c r="N55" i="4"/>
  <c r="N51" i="4"/>
  <c r="H55" i="4"/>
  <c r="H51" i="4"/>
  <c r="H47" i="4"/>
  <c r="L55" i="4"/>
  <c r="L51" i="4"/>
  <c r="L47" i="4"/>
  <c r="N54" i="4"/>
  <c r="N45" i="4"/>
  <c r="H54" i="4"/>
  <c r="H50" i="4"/>
  <c r="H46" i="4"/>
  <c r="L79" i="2"/>
  <c r="Q70" i="2"/>
  <c r="F83" i="2"/>
  <c r="Y75" i="2"/>
  <c r="Q73" i="2"/>
  <c r="L81" i="2"/>
  <c r="L77" i="2"/>
  <c r="L73" i="2"/>
  <c r="Q80" i="2"/>
  <c r="Q76" i="2"/>
  <c r="U70" i="2"/>
  <c r="U71" i="2"/>
  <c r="Q81" i="2"/>
  <c r="L80" i="2"/>
  <c r="L76" i="2"/>
  <c r="L72" i="2"/>
  <c r="Q79" i="2"/>
  <c r="L75" i="2"/>
  <c r="Q78" i="2"/>
  <c r="Y72" i="2"/>
  <c r="I45" i="4"/>
  <c r="K46" i="4" s="1"/>
  <c r="M47" i="4" s="1"/>
  <c r="G57" i="4"/>
  <c r="F50" i="4"/>
  <c r="F53" i="4"/>
  <c r="F49" i="4"/>
  <c r="F52" i="4"/>
  <c r="F48" i="4"/>
  <c r="F51" i="4"/>
  <c r="F47" i="4"/>
  <c r="U77" i="2"/>
  <c r="U81" i="2"/>
  <c r="Q77" i="2"/>
  <c r="Y77" i="2"/>
  <c r="U80" i="2"/>
  <c r="U79" i="2"/>
  <c r="I83" i="2"/>
  <c r="J71" i="2"/>
  <c r="M24" i="3"/>
  <c r="K45" i="4"/>
  <c r="M46" i="4" s="1"/>
  <c r="N46" i="4" s="1"/>
  <c r="P13" i="4"/>
  <c r="O13" i="4"/>
  <c r="M13" i="4"/>
  <c r="T13" i="2" l="1"/>
  <c r="T55" i="2"/>
  <c r="I89" i="2"/>
  <c r="C11" i="6" s="1"/>
  <c r="Q71" i="2"/>
  <c r="E42" i="6"/>
  <c r="D26" i="6"/>
  <c r="D29" i="6" s="1"/>
  <c r="F42" i="6"/>
  <c r="E26" i="6"/>
  <c r="E29" i="6" s="1"/>
  <c r="D42" i="6"/>
  <c r="C26" i="6"/>
  <c r="C29" i="6" s="1"/>
  <c r="C42" i="6"/>
  <c r="B26" i="6"/>
  <c r="B29" i="6" s="1"/>
  <c r="L44" i="2"/>
  <c r="L47" i="2" s="1"/>
  <c r="L43" i="2"/>
  <c r="L46" i="2" s="1"/>
  <c r="D16" i="6"/>
  <c r="B10" i="6"/>
  <c r="M88" i="2"/>
  <c r="K19" i="3"/>
  <c r="K18" i="3"/>
  <c r="N47" i="4"/>
  <c r="L45" i="4"/>
  <c r="J45" i="4"/>
  <c r="S14" i="2"/>
  <c r="F88" i="2"/>
  <c r="Q74" i="2"/>
  <c r="H57" i="4"/>
  <c r="D28" i="4" s="1"/>
  <c r="K49" i="4"/>
  <c r="K61" i="4" s="1"/>
  <c r="E16" i="6" s="1"/>
  <c r="I60" i="4"/>
  <c r="J48" i="4"/>
  <c r="J57" i="4" s="1"/>
  <c r="E28" i="4" s="1"/>
  <c r="U76" i="2"/>
  <c r="Q75" i="2"/>
  <c r="I57" i="4"/>
  <c r="L46" i="4"/>
  <c r="N72" i="2"/>
  <c r="N83" i="2" s="1"/>
  <c r="L71" i="2"/>
  <c r="L83" i="2" s="1"/>
  <c r="T15" i="2" s="1"/>
  <c r="U72" i="2"/>
  <c r="U78" i="2"/>
  <c r="M83" i="2"/>
  <c r="Y78" i="2"/>
  <c r="Y81" i="2"/>
  <c r="Y80" i="2"/>
  <c r="J83" i="2"/>
  <c r="M89" i="2" l="1"/>
  <c r="U55" i="2"/>
  <c r="S58" i="2"/>
  <c r="S59" i="2"/>
  <c r="T50" i="2"/>
  <c r="C10" i="6"/>
  <c r="R88" i="2"/>
  <c r="U75" i="2"/>
  <c r="Y73" i="2"/>
  <c r="U13" i="2"/>
  <c r="K57" i="4"/>
  <c r="B55" i="6"/>
  <c r="B12" i="6"/>
  <c r="T14" i="2"/>
  <c r="J88" i="2"/>
  <c r="C55" i="6" s="1"/>
  <c r="U14" i="2"/>
  <c r="Y76" i="2"/>
  <c r="M50" i="4"/>
  <c r="M61" i="4" s="1"/>
  <c r="F16" i="6" s="1"/>
  <c r="K60" i="4"/>
  <c r="L49" i="4"/>
  <c r="L57" i="4" s="1"/>
  <c r="F28" i="4" s="1"/>
  <c r="F55" i="4"/>
  <c r="F54" i="4"/>
  <c r="S73" i="2"/>
  <c r="Q72" i="2"/>
  <c r="Q83" i="2" s="1"/>
  <c r="U15" i="2" s="1"/>
  <c r="Y79" i="2"/>
  <c r="R83" i="2"/>
  <c r="R89" i="2" l="1"/>
  <c r="E11" i="6" s="1"/>
  <c r="C51" i="8"/>
  <c r="C66" i="8"/>
  <c r="D11" i="6"/>
  <c r="V83" i="2"/>
  <c r="B14" i="6"/>
  <c r="D26" i="2"/>
  <c r="D37" i="2"/>
  <c r="T51" i="2"/>
  <c r="K6" i="3"/>
  <c r="D25" i="4" s="1"/>
  <c r="C12" i="6"/>
  <c r="C14" i="6" s="1"/>
  <c r="D12" i="6"/>
  <c r="D55" i="6"/>
  <c r="V13" i="2"/>
  <c r="V88" i="2"/>
  <c r="M60" i="4"/>
  <c r="N50" i="4"/>
  <c r="N57" i="4" s="1"/>
  <c r="G28" i="4" s="1"/>
  <c r="M57" i="4"/>
  <c r="F57" i="4"/>
  <c r="C28" i="4" s="1"/>
  <c r="U73" i="2"/>
  <c r="U83" i="2" s="1"/>
  <c r="V15" i="2" s="1"/>
  <c r="S83" i="2"/>
  <c r="V55" i="2" s="1"/>
  <c r="D58" i="2" l="1"/>
  <c r="D51" i="8"/>
  <c r="D66" i="8"/>
  <c r="V89" i="2"/>
  <c r="F11" i="6" s="1"/>
  <c r="W13" i="2"/>
  <c r="D59" i="2"/>
  <c r="E54" i="2" s="1"/>
  <c r="D47" i="2"/>
  <c r="D50" i="2" s="1"/>
  <c r="D63" i="2" s="1"/>
  <c r="C52" i="6" s="1"/>
  <c r="K7" i="3"/>
  <c r="D26" i="4" s="1"/>
  <c r="V14" i="2"/>
  <c r="S88" i="2"/>
  <c r="Y74" i="2"/>
  <c r="Y83" i="2" s="1"/>
  <c r="W15" i="2" s="1"/>
  <c r="W83" i="2"/>
  <c r="W55" i="2" s="1"/>
  <c r="E66" i="8" l="1"/>
  <c r="E51" i="8"/>
  <c r="I51" i="8"/>
  <c r="C63" i="8"/>
  <c r="F10" i="6"/>
  <c r="D18" i="3"/>
  <c r="J5" i="6" s="1"/>
  <c r="J13" i="6" s="1"/>
  <c r="L12" i="3"/>
  <c r="E52" i="2"/>
  <c r="D57" i="2"/>
  <c r="L13" i="3"/>
  <c r="E12" i="6"/>
  <c r="E55" i="6"/>
  <c r="W14" i="2"/>
  <c r="W88" i="2"/>
  <c r="M43" i="2" l="1"/>
  <c r="M46" i="2" s="1"/>
  <c r="L18" i="3"/>
  <c r="D25" i="3"/>
  <c r="J7" i="6" s="1"/>
  <c r="J14" i="6" s="1"/>
  <c r="F55" i="6"/>
  <c r="F12" i="6"/>
  <c r="F14" i="6" s="1"/>
  <c r="U50" i="2" l="1"/>
  <c r="L19" i="3"/>
  <c r="M44" i="2"/>
  <c r="H80" i="2"/>
  <c r="C47" i="8" l="1"/>
  <c r="N43" i="2"/>
  <c r="N46" i="2" s="1"/>
  <c r="V50" i="2" s="1"/>
  <c r="O33" i="2" s="1"/>
  <c r="M47" i="2"/>
  <c r="U51" i="2" s="1"/>
  <c r="E26" i="2"/>
  <c r="L6" i="3"/>
  <c r="E25" i="4" s="1"/>
  <c r="E37" i="2"/>
  <c r="M12" i="3"/>
  <c r="H81" i="2"/>
  <c r="H83" i="2" s="1"/>
  <c r="C62" i="8" l="1"/>
  <c r="C65" i="8" s="1"/>
  <c r="E58" i="2"/>
  <c r="E59" i="2" s="1"/>
  <c r="F54" i="2" s="1"/>
  <c r="E47" i="2"/>
  <c r="L7" i="3"/>
  <c r="E26" i="4" s="1"/>
  <c r="E50" i="2"/>
  <c r="E57" i="2"/>
  <c r="E18" i="3"/>
  <c r="K5" i="6" s="1"/>
  <c r="K13" i="6" s="1"/>
  <c r="S15" i="2"/>
  <c r="S19" i="2" s="1"/>
  <c r="D10" i="6"/>
  <c r="D14" i="6" s="1"/>
  <c r="E10" i="6"/>
  <c r="E14" i="6" s="1"/>
  <c r="J5" i="3"/>
  <c r="C24" i="4" s="1"/>
  <c r="L14" i="4" s="1"/>
  <c r="C5" i="2"/>
  <c r="J51" i="8" l="1"/>
  <c r="D63" i="8"/>
  <c r="M13" i="3"/>
  <c r="E63" i="2"/>
  <c r="D52" i="6" s="1"/>
  <c r="F52" i="2"/>
  <c r="C8" i="2"/>
  <c r="D10" i="2" s="1"/>
  <c r="M18" i="3"/>
  <c r="C15" i="2"/>
  <c r="E25" i="3" l="1"/>
  <c r="K7" i="6" s="1"/>
  <c r="K14" i="6" s="1"/>
  <c r="M19" i="3"/>
  <c r="N44" i="2"/>
  <c r="C21" i="2"/>
  <c r="B50" i="6" s="1"/>
  <c r="D47" i="8"/>
  <c r="L45" i="2" l="1"/>
  <c r="T49" i="2" s="1"/>
  <c r="D16" i="2" s="1"/>
  <c r="T17" i="2"/>
  <c r="N47" i="2"/>
  <c r="V51" i="2" s="1"/>
  <c r="O34" i="2" s="1"/>
  <c r="F37" i="2"/>
  <c r="M6" i="3"/>
  <c r="F25" i="4" s="1"/>
  <c r="F26" i="2"/>
  <c r="B17" i="6"/>
  <c r="L11" i="4"/>
  <c r="L15" i="4"/>
  <c r="K17" i="3"/>
  <c r="I3" i="6"/>
  <c r="J23" i="3"/>
  <c r="D62" i="8" l="1"/>
  <c r="D65" i="8" s="1"/>
  <c r="T56" i="2"/>
  <c r="F58" i="2"/>
  <c r="F59" i="2" s="1"/>
  <c r="G54" i="2" s="1"/>
  <c r="M7" i="3"/>
  <c r="F26" i="4" s="1"/>
  <c r="F47" i="2"/>
  <c r="F50" i="2"/>
  <c r="F57" i="2"/>
  <c r="K5" i="3"/>
  <c r="D24" i="4" s="1"/>
  <c r="I12" i="6"/>
  <c r="I15" i="6" s="1"/>
  <c r="I18" i="6"/>
  <c r="I9" i="6"/>
  <c r="N13" i="3" l="1"/>
  <c r="F26" i="3"/>
  <c r="N12" i="3"/>
  <c r="F19" i="3"/>
  <c r="E63" i="8"/>
  <c r="M14" i="4"/>
  <c r="M11" i="4" s="1"/>
  <c r="D17" i="2"/>
  <c r="T16" i="2"/>
  <c r="D5" i="2"/>
  <c r="G52" i="2"/>
  <c r="F63" i="2"/>
  <c r="E52" i="6" s="1"/>
  <c r="F25" i="3"/>
  <c r="L7" i="6" s="1"/>
  <c r="M42" i="2"/>
  <c r="M45" i="2" s="1"/>
  <c r="U49" i="2" s="1"/>
  <c r="N32" i="2" s="1"/>
  <c r="F18" i="3"/>
  <c r="L5" i="6" s="1"/>
  <c r="B39" i="6"/>
  <c r="B45" i="6" s="1"/>
  <c r="I20" i="6"/>
  <c r="B72" i="6" s="1"/>
  <c r="O43" i="2" l="1"/>
  <c r="O46" i="2" s="1"/>
  <c r="U17" i="2"/>
  <c r="T19" i="2"/>
  <c r="T18" i="2"/>
  <c r="L13" i="6"/>
  <c r="L14" i="6"/>
  <c r="C41" i="6"/>
  <c r="C73" i="6" s="1"/>
  <c r="B2" i="6"/>
  <c r="D11" i="3"/>
  <c r="K23" i="3" s="1"/>
  <c r="C56" i="6"/>
  <c r="C5" i="6" s="1"/>
  <c r="T58" i="2"/>
  <c r="T59" i="2"/>
  <c r="T57" i="2"/>
  <c r="O44" i="2"/>
  <c r="N19" i="3"/>
  <c r="N18" i="3"/>
  <c r="M15" i="4"/>
  <c r="N42" i="2" l="1"/>
  <c r="N45" i="2" s="1"/>
  <c r="V49" i="2" s="1"/>
  <c r="E16" i="2"/>
  <c r="U16" i="2"/>
  <c r="C36" i="8" s="1"/>
  <c r="C32" i="8"/>
  <c r="U56" i="2"/>
  <c r="J3" i="6"/>
  <c r="J18" i="6" s="1"/>
  <c r="J20" i="6" s="1"/>
  <c r="C72" i="6" s="1"/>
  <c r="O47" i="2"/>
  <c r="W51" i="2" s="1"/>
  <c r="L11" i="3"/>
  <c r="E12" i="2"/>
  <c r="D15" i="2"/>
  <c r="D8" i="2"/>
  <c r="C17" i="6"/>
  <c r="L17" i="3"/>
  <c r="W50" i="2"/>
  <c r="E62" i="8" l="1"/>
  <c r="E65" i="8" s="1"/>
  <c r="E17" i="2"/>
  <c r="E47" i="8"/>
  <c r="U18" i="2"/>
  <c r="C33" i="8"/>
  <c r="C35" i="8" s="1"/>
  <c r="I33" i="8"/>
  <c r="I52" i="8"/>
  <c r="I53" i="8" s="1"/>
  <c r="I43" i="8"/>
  <c r="I34" i="8"/>
  <c r="J9" i="6"/>
  <c r="C39" i="6"/>
  <c r="C45" i="6" s="1"/>
  <c r="J12" i="6"/>
  <c r="J15" i="6" s="1"/>
  <c r="G47" i="2"/>
  <c r="N7" i="3"/>
  <c r="G26" i="4" s="1"/>
  <c r="G58" i="2"/>
  <c r="G59" i="2" s="1"/>
  <c r="G37" i="2"/>
  <c r="E10" i="2"/>
  <c r="D21" i="2"/>
  <c r="C50" i="6" s="1"/>
  <c r="G50" i="2"/>
  <c r="G63" i="2" s="1"/>
  <c r="F52" i="6" s="1"/>
  <c r="G57" i="2"/>
  <c r="U19" i="2"/>
  <c r="L5" i="3"/>
  <c r="E24" i="4" s="1"/>
  <c r="N14" i="4" s="1"/>
  <c r="E5" i="2"/>
  <c r="G26" i="2"/>
  <c r="N6" i="3"/>
  <c r="G25" i="4" s="1"/>
  <c r="C2" i="6"/>
  <c r="D41" i="6"/>
  <c r="D73" i="6" s="1"/>
  <c r="I35" i="8" l="1"/>
  <c r="I38" i="8" s="1"/>
  <c r="N11" i="4"/>
  <c r="C37" i="8"/>
  <c r="C52" i="8"/>
  <c r="C67" i="8"/>
  <c r="I56" i="8"/>
  <c r="I54" i="8"/>
  <c r="P34" i="2"/>
  <c r="N15" i="4"/>
  <c r="U57" i="2"/>
  <c r="D56" i="6"/>
  <c r="D5" i="6" s="1"/>
  <c r="U58" i="2"/>
  <c r="U59" i="2"/>
  <c r="F12" i="2"/>
  <c r="P33" i="2"/>
  <c r="I36" i="8" l="1"/>
  <c r="G26" i="3"/>
  <c r="G19" i="3"/>
  <c r="M11" i="3"/>
  <c r="D17" i="6"/>
  <c r="D33" i="8"/>
  <c r="J33" i="8"/>
  <c r="G25" i="3"/>
  <c r="M7" i="6" s="1"/>
  <c r="E11" i="3"/>
  <c r="K3" i="6" s="1"/>
  <c r="E15" i="2"/>
  <c r="E8" i="2"/>
  <c r="G18" i="3"/>
  <c r="M5" i="6" s="1"/>
  <c r="M13" i="6" l="1"/>
  <c r="M14" i="6"/>
  <c r="K12" i="6"/>
  <c r="K15" i="6" s="1"/>
  <c r="K18" i="6"/>
  <c r="K9" i="6"/>
  <c r="L23" i="3"/>
  <c r="M17" i="3"/>
  <c r="F10" i="2"/>
  <c r="E21" i="2"/>
  <c r="D50" i="6" s="1"/>
  <c r="V17" i="2" l="1"/>
  <c r="D39" i="6"/>
  <c r="D45" i="6" s="1"/>
  <c r="C53" i="8"/>
  <c r="C68" i="8"/>
  <c r="C38" i="8"/>
  <c r="K20" i="6"/>
  <c r="F8" i="2"/>
  <c r="F21" i="2" s="1"/>
  <c r="E50" i="6" s="1"/>
  <c r="F16" i="2" l="1"/>
  <c r="F17" i="2" s="1"/>
  <c r="O32" i="2"/>
  <c r="O42" i="2" s="1"/>
  <c r="D32" i="8"/>
  <c r="D35" i="8" s="1"/>
  <c r="D2" i="6"/>
  <c r="D72" i="6"/>
  <c r="E41" i="6" s="1"/>
  <c r="E73" i="6" s="1"/>
  <c r="G12" i="2"/>
  <c r="V56" i="2"/>
  <c r="V58" i="2" s="1"/>
  <c r="M5" i="3"/>
  <c r="F24" i="4" s="1"/>
  <c r="V16" i="2"/>
  <c r="F5" i="2"/>
  <c r="F15" i="2"/>
  <c r="G10" i="2"/>
  <c r="D36" i="8" l="1"/>
  <c r="V18" i="2"/>
  <c r="V19" i="2"/>
  <c r="J52" i="8"/>
  <c r="J53" i="8" s="1"/>
  <c r="J43" i="8"/>
  <c r="J34" i="8"/>
  <c r="J35" i="8" s="1"/>
  <c r="E33" i="8"/>
  <c r="K33" i="8"/>
  <c r="O14" i="4"/>
  <c r="E56" i="6"/>
  <c r="E5" i="6" s="1"/>
  <c r="V57" i="2"/>
  <c r="V59" i="2"/>
  <c r="N11" i="3" l="1"/>
  <c r="F12" i="3"/>
  <c r="O11" i="4"/>
  <c r="D52" i="8"/>
  <c r="D67" i="8"/>
  <c r="D37" i="8"/>
  <c r="J56" i="8"/>
  <c r="J54" i="8"/>
  <c r="J38" i="8"/>
  <c r="J36" i="8"/>
  <c r="O15" i="4"/>
  <c r="F11" i="3"/>
  <c r="L3" i="6" s="1"/>
  <c r="N17" i="3" l="1"/>
  <c r="E17" i="6"/>
  <c r="M23" i="3"/>
  <c r="L12" i="6"/>
  <c r="L15" i="6" s="1"/>
  <c r="L9" i="6"/>
  <c r="L18" i="6"/>
  <c r="W17" i="2" l="1"/>
  <c r="O45" i="2"/>
  <c r="W49" i="2" s="1"/>
  <c r="D68" i="8"/>
  <c r="D53" i="8"/>
  <c r="D38" i="8"/>
  <c r="L20" i="6"/>
  <c r="E72" i="6" s="1"/>
  <c r="E39" i="6"/>
  <c r="E45" i="6" s="1"/>
  <c r="P32" i="2" l="1"/>
  <c r="F17" i="6" s="1"/>
  <c r="E32" i="8"/>
  <c r="E35" i="8" s="1"/>
  <c r="G16" i="2"/>
  <c r="G17" i="2" s="1"/>
  <c r="G5" i="2"/>
  <c r="W56" i="2"/>
  <c r="W59" i="2" s="1"/>
  <c r="N5" i="3"/>
  <c r="G24" i="4" s="1"/>
  <c r="C29" i="4" s="1" a="1"/>
  <c r="C29" i="4" s="1"/>
  <c r="C30" i="4" s="1"/>
  <c r="W16" i="2"/>
  <c r="K52" i="8" s="1"/>
  <c r="G11" i="3"/>
  <c r="N23" i="3" s="1"/>
  <c r="G12" i="3"/>
  <c r="G15" i="2"/>
  <c r="G8" i="2"/>
  <c r="G21" i="2" s="1"/>
  <c r="F50" i="6" s="1"/>
  <c r="E2" i="6"/>
  <c r="F41" i="6"/>
  <c r="M3" i="6" l="1"/>
  <c r="W18" i="2"/>
  <c r="K43" i="8"/>
  <c r="F56" i="6"/>
  <c r="F5" i="6" s="1"/>
  <c r="P14" i="4"/>
  <c r="P11" i="4" s="1"/>
  <c r="W57" i="2"/>
  <c r="K53" i="8"/>
  <c r="K56" i="8" s="1"/>
  <c r="E36" i="8"/>
  <c r="W58" i="2"/>
  <c r="K34" i="8"/>
  <c r="K35" i="8" s="1"/>
  <c r="K38" i="8" s="1"/>
  <c r="E30" i="4"/>
  <c r="G30" i="4"/>
  <c r="F30" i="4"/>
  <c r="W19" i="2"/>
  <c r="D30" i="4"/>
  <c r="M18" i="6"/>
  <c r="E38" i="8" s="1"/>
  <c r="M9" i="6"/>
  <c r="E31" i="4"/>
  <c r="D31" i="4"/>
  <c r="F31" i="4"/>
  <c r="G31" i="4"/>
  <c r="C31" i="4"/>
  <c r="M12" i="6"/>
  <c r="M15" i="6" s="1"/>
  <c r="C32" i="4"/>
  <c r="C33" i="4" s="1"/>
  <c r="F73" i="6"/>
  <c r="C29" i="2"/>
  <c r="C42" i="2" s="1"/>
  <c r="B51" i="6" s="1"/>
  <c r="D33" i="2"/>
  <c r="C36" i="2"/>
  <c r="E37" i="8" l="1"/>
  <c r="M20" i="6"/>
  <c r="F72" i="6" s="1"/>
  <c r="E52" i="8"/>
  <c r="E67" i="8"/>
  <c r="P15" i="4"/>
  <c r="K54" i="8"/>
  <c r="K36" i="8"/>
  <c r="F39" i="6"/>
  <c r="F45" i="6" s="1"/>
  <c r="E53" i="8"/>
  <c r="E68" i="8"/>
  <c r="C34" i="4"/>
  <c r="B65" i="6"/>
  <c r="B67" i="6" s="1"/>
  <c r="B69" i="6" s="1"/>
  <c r="C68" i="6" s="1"/>
  <c r="B80" i="6"/>
  <c r="B81" i="6" s="1"/>
  <c r="B3" i="6"/>
  <c r="B15" i="6"/>
  <c r="B18" i="6" s="1"/>
  <c r="D31" i="2"/>
  <c r="F2" i="6" l="1"/>
  <c r="D38" i="2"/>
  <c r="E33" i="2" s="1"/>
  <c r="D29" i="2"/>
  <c r="D36" i="2"/>
  <c r="B75" i="6"/>
  <c r="C61" i="6" s="1"/>
  <c r="B8" i="6"/>
  <c r="B9" i="6" s="1"/>
  <c r="B25" i="6" s="1"/>
  <c r="B30" i="6" s="1"/>
  <c r="B33" i="6" s="1"/>
  <c r="I42" i="8" l="1"/>
  <c r="I44" i="8" s="1"/>
  <c r="C48" i="8"/>
  <c r="C50" i="8" s="1"/>
  <c r="C76" i="6"/>
  <c r="B32" i="6"/>
  <c r="E31" i="2"/>
  <c r="D42" i="2"/>
  <c r="C51" i="6" s="1"/>
  <c r="C65" i="6" s="1"/>
  <c r="I47" i="8" l="1"/>
  <c r="I58" i="8" s="1"/>
  <c r="I45" i="8"/>
  <c r="E38" i="2"/>
  <c r="F33" i="2" s="1"/>
  <c r="C3" i="6"/>
  <c r="C67" i="6"/>
  <c r="C69" i="6" s="1"/>
  <c r="D68" i="6" s="1"/>
  <c r="C80" i="6"/>
  <c r="C81" i="6" s="1"/>
  <c r="E29" i="2"/>
  <c r="E36" i="2"/>
  <c r="J42" i="8" l="1"/>
  <c r="J44" i="8" s="1"/>
  <c r="D48" i="8"/>
  <c r="D50" i="8" s="1"/>
  <c r="E42" i="2"/>
  <c r="D51" i="6" s="1"/>
  <c r="F31" i="2"/>
  <c r="C8" i="6"/>
  <c r="C9" i="6" s="1"/>
  <c r="J47" i="8" l="1"/>
  <c r="J58" i="8" s="1"/>
  <c r="J45" i="8"/>
  <c r="F38" i="2"/>
  <c r="G33" i="2" s="1"/>
  <c r="K42" i="8" s="1"/>
  <c r="F29" i="2"/>
  <c r="F36" i="2"/>
  <c r="D80" i="6"/>
  <c r="D81" i="6" s="1"/>
  <c r="D3" i="6"/>
  <c r="E48" i="8" l="1"/>
  <c r="E50" i="8" s="1"/>
  <c r="K44" i="8"/>
  <c r="D8" i="6"/>
  <c r="D9" i="6" s="1"/>
  <c r="G31" i="2"/>
  <c r="G38" i="2" s="1"/>
  <c r="F42" i="2"/>
  <c r="E51" i="6" s="1"/>
  <c r="K47" i="8" l="1"/>
  <c r="K58" i="8" s="1"/>
  <c r="K45" i="8"/>
  <c r="E3" i="6"/>
  <c r="E80" i="6"/>
  <c r="E81" i="6" s="1"/>
  <c r="G29" i="2"/>
  <c r="G42" i="2" s="1"/>
  <c r="F51" i="6" s="1"/>
  <c r="G36" i="2"/>
  <c r="F80" i="6" l="1"/>
  <c r="F81" i="6" s="1"/>
  <c r="F3" i="6"/>
  <c r="E8" i="6"/>
  <c r="E9" i="6" s="1"/>
  <c r="F8" i="6" l="1"/>
  <c r="F9" i="6" s="1"/>
  <c r="G32" i="4" s="1"/>
  <c r="G33" i="4" s="1"/>
  <c r="F32" i="4" l="1"/>
  <c r="F33" i="4" s="1"/>
  <c r="E15" i="6" s="1"/>
  <c r="F15" i="6" s="1"/>
  <c r="F18" i="6" s="1"/>
  <c r="F25" i="6" s="1"/>
  <c r="F30" i="6" s="1"/>
  <c r="F33" i="6" s="1"/>
  <c r="G34" i="4"/>
  <c r="E39" i="8" s="1"/>
  <c r="E40" i="8" s="1"/>
  <c r="E42" i="8" s="1"/>
  <c r="E43" i="8" s="1"/>
  <c r="E32" i="4" l="1"/>
  <c r="E33" i="4" s="1"/>
  <c r="F34" i="4"/>
  <c r="E18" i="6"/>
  <c r="E25" i="6" s="1"/>
  <c r="E30" i="6" s="1"/>
  <c r="F75" i="6"/>
  <c r="E75" i="6"/>
  <c r="F61" i="6" s="1"/>
  <c r="F76" i="6" s="1"/>
  <c r="F32" i="6"/>
  <c r="E54" i="8" l="1"/>
  <c r="E55" i="8" s="1"/>
  <c r="E57" i="8" s="1"/>
  <c r="E58" i="8" s="1"/>
  <c r="D69" i="8"/>
  <c r="D70" i="8" s="1"/>
  <c r="D72" i="8" s="1"/>
  <c r="D73" i="8" s="1"/>
  <c r="D54" i="8"/>
  <c r="D55" i="8" s="1"/>
  <c r="D57" i="8" s="1"/>
  <c r="D58" i="8" s="1"/>
  <c r="E69" i="8"/>
  <c r="E70" i="8" s="1"/>
  <c r="E72" i="8" s="1"/>
  <c r="E73" i="8" s="1"/>
  <c r="D39" i="8"/>
  <c r="D40" i="8" s="1"/>
  <c r="D42" i="8" s="1"/>
  <c r="D43" i="8" s="1"/>
  <c r="D32" i="4"/>
  <c r="D33" i="4" s="1"/>
  <c r="D15" i="6"/>
  <c r="E34" i="4"/>
  <c r="J59" i="8" l="1"/>
  <c r="K59" i="8"/>
  <c r="C69" i="8"/>
  <c r="C70" i="8" s="1"/>
  <c r="C54" i="8"/>
  <c r="C55" i="8" s="1"/>
  <c r="C39" i="8"/>
  <c r="C40" i="8" s="1"/>
  <c r="C15" i="6"/>
  <c r="D34" i="4"/>
  <c r="D18" i="6"/>
  <c r="D25" i="6" s="1"/>
  <c r="D30" i="6" s="1"/>
  <c r="D75" i="6"/>
  <c r="E61" i="6" s="1"/>
  <c r="C41" i="8" l="1"/>
  <c r="C43" i="8"/>
  <c r="C56" i="8"/>
  <c r="C58" i="8"/>
  <c r="C73" i="8"/>
  <c r="C71" i="8"/>
  <c r="E65" i="6"/>
  <c r="E67" i="6" s="1"/>
  <c r="E76" i="6"/>
  <c r="D32" i="6"/>
  <c r="C18" i="6"/>
  <c r="C25" i="6" s="1"/>
  <c r="C30" i="6" s="1"/>
  <c r="C75" i="6"/>
  <c r="D61" i="6" s="1"/>
  <c r="C33" i="6" l="1"/>
  <c r="D33" i="6" s="1"/>
  <c r="E33" i="6" s="1"/>
  <c r="I59" i="8"/>
  <c r="D65" i="6"/>
  <c r="D67" i="6" s="1"/>
  <c r="D69" i="6" s="1"/>
  <c r="E68" i="6" s="1"/>
  <c r="E69" i="6" s="1"/>
  <c r="F68" i="6" s="1"/>
  <c r="D76" i="6"/>
  <c r="C32" i="6" l="1"/>
  <c r="E31" i="6"/>
  <c r="F64" i="6" l="1"/>
  <c r="F65" i="6" s="1"/>
  <c r="F67" i="6" s="1"/>
  <c r="F69" i="6" s="1"/>
  <c r="E32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Flaminia Galeani</author>
  </authors>
  <commentList>
    <comment ref="W20" authorId="0" shapeId="0" xr:uid="{CEA64E0F-5BF9-4927-8BE0-A45931588C1A}">
      <text>
        <r>
          <rPr>
            <b/>
            <sz val="9"/>
            <color indexed="81"/>
            <rFont val="Tahoma"/>
            <family val="2"/>
          </rPr>
          <t>Flaminia Galeani:</t>
        </r>
        <r>
          <rPr>
            <sz val="9"/>
            <color indexed="81"/>
            <rFont val="Tahoma"/>
            <family val="2"/>
          </rPr>
          <t xml:space="preserve">
STIMA</t>
        </r>
      </text>
    </comment>
    <comment ref="B22" authorId="0" shapeId="0" xr:uid="{02573669-C8F5-4A4D-8599-7AC11B8A9687}">
      <text>
        <r>
          <rPr>
            <b/>
            <sz val="9"/>
            <color indexed="81"/>
            <rFont val="Tahoma"/>
            <family val="2"/>
          </rPr>
          <t>Flaminia Galeani:</t>
        </r>
        <r>
          <rPr>
            <sz val="9"/>
            <color indexed="81"/>
            <rFont val="Tahoma"/>
            <family val="2"/>
          </rPr>
          <t xml:space="preserve">
STIMA:
initial stock usato * stock value + (use for production - initial stock usato) * 1/3 * local price + (use for production - initial stock usato) *2/3 * import cost</t>
        </r>
      </text>
    </comment>
    <comment ref="R24" authorId="0" shapeId="0" xr:uid="{9C7AA2EA-E33E-4AD1-9AA0-69F725D52F90}">
      <text>
        <r>
          <rPr>
            <b/>
            <sz val="9"/>
            <color indexed="81"/>
            <rFont val="Tahoma"/>
            <family val="2"/>
          </rPr>
          <t>Flaminia Galeani:</t>
        </r>
        <r>
          <rPr>
            <sz val="9"/>
            <color indexed="81"/>
            <rFont val="Tahoma"/>
            <family val="2"/>
          </rPr>
          <t xml:space="preserve">
MAX 25,000</t>
        </r>
      </text>
    </comment>
    <comment ref="U24" authorId="0" shapeId="0" xr:uid="{B73D4E3C-7E23-41A7-9B59-A7F5C04CF310}">
      <text>
        <r>
          <rPr>
            <b/>
            <sz val="9"/>
            <color indexed="81"/>
            <rFont val="Tahoma"/>
            <family val="2"/>
          </rPr>
          <t>Flaminia Galeani:</t>
        </r>
        <r>
          <rPr>
            <sz val="9"/>
            <color indexed="81"/>
            <rFont val="Tahoma"/>
            <family val="2"/>
          </rPr>
          <t xml:space="preserve">
MAX tot 50,000</t>
        </r>
      </text>
    </comment>
    <comment ref="W24" authorId="0" shapeId="0" xr:uid="{B5B1A04D-3375-451D-BAE2-6A04882B96EC}">
      <text>
        <r>
          <rPr>
            <b/>
            <sz val="9"/>
            <color indexed="81"/>
            <rFont val="Tahoma"/>
            <family val="2"/>
          </rPr>
          <t>Flaminia Galeani:</t>
        </r>
        <r>
          <rPr>
            <sz val="9"/>
            <color indexed="81"/>
            <rFont val="Tahoma"/>
            <family val="2"/>
          </rPr>
          <t xml:space="preserve">
MAX 40.000</t>
        </r>
      </text>
    </comment>
    <comment ref="R25" authorId="0" shapeId="0" xr:uid="{7A59F814-9062-4228-B0F3-6CDB326F2187}">
      <text>
        <r>
          <rPr>
            <b/>
            <sz val="9"/>
            <color indexed="81"/>
            <rFont val="Tahoma"/>
            <family val="2"/>
          </rPr>
          <t>Flaminia Galeani:</t>
        </r>
        <r>
          <rPr>
            <sz val="9"/>
            <color indexed="81"/>
            <rFont val="Tahoma"/>
            <family val="2"/>
          </rPr>
          <t xml:space="preserve">
MAX 35,000</t>
        </r>
      </text>
    </comment>
    <comment ref="U25" authorId="0" shapeId="0" xr:uid="{59E6D378-F591-40B0-A9B0-C4A0B5B3DDC0}">
      <text>
        <r>
          <rPr>
            <b/>
            <sz val="9"/>
            <color indexed="81"/>
            <rFont val="Tahoma"/>
            <family val="2"/>
          </rPr>
          <t>Flaminia Galeani:</t>
        </r>
        <r>
          <rPr>
            <sz val="9"/>
            <color indexed="81"/>
            <rFont val="Tahoma"/>
            <family val="2"/>
          </rPr>
          <t xml:space="preserve">
MAX tot 50,000</t>
        </r>
      </text>
    </comment>
    <comment ref="W25" authorId="0" shapeId="0" xr:uid="{C7BF01F3-B499-4BC8-8E0C-32E1CF2A16B8}">
      <text>
        <r>
          <rPr>
            <b/>
            <sz val="9"/>
            <color indexed="81"/>
            <rFont val="Tahoma"/>
            <family val="2"/>
          </rPr>
          <t>Flaminia Galeani:</t>
        </r>
        <r>
          <rPr>
            <sz val="9"/>
            <color indexed="81"/>
            <rFont val="Tahoma"/>
            <family val="2"/>
          </rPr>
          <t xml:space="preserve">
MAX 50.000</t>
        </r>
      </text>
    </comment>
    <comment ref="R26" authorId="0" shapeId="0" xr:uid="{8AA03C79-E063-451E-8104-24A191C78906}">
      <text>
        <r>
          <rPr>
            <b/>
            <sz val="9"/>
            <color indexed="81"/>
            <rFont val="Tahoma"/>
            <family val="2"/>
          </rPr>
          <t>Flaminia Galeani:</t>
        </r>
        <r>
          <rPr>
            <sz val="9"/>
            <color indexed="81"/>
            <rFont val="Tahoma"/>
            <family val="2"/>
          </rPr>
          <t xml:space="preserve">
MAX 6,500</t>
        </r>
      </text>
    </comment>
    <comment ref="U26" authorId="0" shapeId="0" xr:uid="{EAC5CB4C-89DD-4EED-BE62-67A60FE2F17F}">
      <text>
        <r>
          <rPr>
            <b/>
            <sz val="9"/>
            <color indexed="81"/>
            <rFont val="Tahoma"/>
            <family val="2"/>
          </rPr>
          <t>Flaminia Galeani:</t>
        </r>
        <r>
          <rPr>
            <sz val="9"/>
            <color indexed="81"/>
            <rFont val="Tahoma"/>
            <family val="2"/>
          </rPr>
          <t xml:space="preserve">
MAX tot 7,000</t>
        </r>
      </text>
    </comment>
    <comment ref="W26" authorId="0" shapeId="0" xr:uid="{28808A23-BDD2-4EA4-878D-AD14C33D1AB8}">
      <text>
        <r>
          <rPr>
            <b/>
            <sz val="9"/>
            <color indexed="81"/>
            <rFont val="Tahoma"/>
            <family val="2"/>
          </rPr>
          <t>Flaminia Galeani:</t>
        </r>
        <r>
          <rPr>
            <sz val="9"/>
            <color indexed="81"/>
            <rFont val="Tahoma"/>
            <family val="2"/>
          </rPr>
          <t xml:space="preserve">
MAX 7.000</t>
        </r>
      </text>
    </comment>
    <comment ref="L32" authorId="0" shapeId="0" xr:uid="{16A80415-AA12-423C-AFA5-9A1F5927F504}">
      <text>
        <r>
          <rPr>
            <b/>
            <sz val="9"/>
            <color indexed="81"/>
            <rFont val="Tahoma"/>
            <family val="2"/>
          </rPr>
          <t>Flaminia Galeani:</t>
        </r>
        <r>
          <rPr>
            <sz val="9"/>
            <color indexed="81"/>
            <rFont val="Tahoma"/>
            <family val="2"/>
          </rPr>
          <t xml:space="preserve">
previous stock + bought-in + produzione - vendite retail - vedite wholesale</t>
        </r>
      </text>
    </comment>
    <comment ref="B43" authorId="0" shapeId="0" xr:uid="{6E924989-86C2-4BAB-833D-9B1FA8BFCCF1}">
      <text>
        <r>
          <rPr>
            <b/>
            <sz val="9"/>
            <color indexed="81"/>
            <rFont val="Tahoma"/>
            <family val="2"/>
          </rPr>
          <t>Flaminia Galeani:</t>
        </r>
        <r>
          <rPr>
            <sz val="9"/>
            <color indexed="81"/>
            <rFont val="Tahoma"/>
            <family val="2"/>
          </rPr>
          <t xml:space="preserve">
STIMA</t>
        </r>
      </text>
    </comment>
    <comment ref="R57" authorId="0" shapeId="0" xr:uid="{A889E267-F087-4AD7-912E-B1763B148677}">
      <text>
        <r>
          <rPr>
            <b/>
            <sz val="9"/>
            <color indexed="81"/>
            <rFont val="Tahoma"/>
            <family val="2"/>
          </rPr>
          <t>Flaminia Galeani:</t>
        </r>
        <r>
          <rPr>
            <sz val="9"/>
            <color indexed="81"/>
            <rFont val="Tahoma"/>
            <family val="2"/>
          </rPr>
          <t xml:space="preserve">
STIMA</t>
        </r>
      </text>
    </comment>
    <comment ref="R58" authorId="0" shapeId="0" xr:uid="{9A100DC7-6E7B-4311-BBE2-152CF58E381E}">
      <text>
        <r>
          <rPr>
            <b/>
            <sz val="9"/>
            <color indexed="81"/>
            <rFont val="Tahoma"/>
            <family val="2"/>
          </rPr>
          <t>Flaminia Galeani:</t>
        </r>
        <r>
          <rPr>
            <sz val="9"/>
            <color indexed="81"/>
            <rFont val="Tahoma"/>
            <family val="2"/>
          </rPr>
          <t xml:space="preserve">
STIMA</t>
        </r>
      </text>
    </comment>
    <comment ref="R59" authorId="0" shapeId="0" xr:uid="{53DF3305-C7DF-4D15-AE4F-5FDB23F1EFB1}">
      <text>
        <r>
          <rPr>
            <b/>
            <sz val="9"/>
            <color indexed="81"/>
            <rFont val="Tahoma"/>
            <family val="2"/>
          </rPr>
          <t>Flaminia Galeani:</t>
        </r>
        <r>
          <rPr>
            <sz val="9"/>
            <color indexed="81"/>
            <rFont val="Tahoma"/>
            <family val="2"/>
          </rPr>
          <t xml:space="preserve">
STIMA</t>
        </r>
      </text>
    </comment>
    <comment ref="B64" authorId="0" shapeId="0" xr:uid="{6199E803-FB43-4C26-93F0-1C3186CB208F}">
      <text>
        <r>
          <rPr>
            <b/>
            <sz val="9"/>
            <color indexed="81"/>
            <rFont val="Tahoma"/>
            <family val="2"/>
          </rPr>
          <t>Flaminia Galeani:</t>
        </r>
        <r>
          <rPr>
            <sz val="9"/>
            <color indexed="81"/>
            <rFont val="Tahoma"/>
            <family val="2"/>
          </rPr>
          <t xml:space="preserve">
STIMA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Flaminia Galeani</author>
  </authors>
  <commentList>
    <comment ref="K15" authorId="0" shapeId="0" xr:uid="{DF07FF1D-E778-4469-9C56-0284CAE8896F}">
      <text>
        <r>
          <rPr>
            <b/>
            <sz val="9"/>
            <color indexed="81"/>
            <rFont val="Tahoma"/>
            <family val="2"/>
          </rPr>
          <t>Flaminia Galeani:</t>
        </r>
        <r>
          <rPr>
            <sz val="9"/>
            <color indexed="81"/>
            <rFont val="Tahoma"/>
            <family val="2"/>
          </rPr>
          <t xml:space="preserve">
oltre il 90% è MALE</t>
        </r>
      </text>
    </comment>
    <comment ref="A24" authorId="0" shapeId="0" xr:uid="{F96A0F73-8A2E-47DF-8B9F-5494042DC2A1}">
      <text>
        <r>
          <rPr>
            <b/>
            <sz val="9"/>
            <color indexed="81"/>
            <rFont val="Tahoma"/>
            <family val="2"/>
          </rPr>
          <t>Flaminia Galeani:</t>
        </r>
        <r>
          <rPr>
            <sz val="9"/>
            <color indexed="81"/>
            <rFont val="Tahoma"/>
            <family val="2"/>
          </rPr>
          <t xml:space="preserve">
Production - Wholesale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  <author>Flaminia Galeani</author>
  </authors>
  <commentList>
    <comment ref="B4" authorId="0" shapeId="0" xr:uid="{3C03A40D-35CD-4ED9-9CE2-25F7FB9FB8A1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Raw materials stock value(Q)-Raw materials stock value(Q-1)
</t>
        </r>
      </text>
    </comment>
    <comment ref="C4" authorId="1" shapeId="0" xr:uid="{1CAFC9FD-A2B2-4697-B755-64D97B6385B4}">
      <text>
        <r>
          <rPr>
            <b/>
            <sz val="9"/>
            <color indexed="81"/>
            <rFont val="Tahoma"/>
            <family val="2"/>
          </rPr>
          <t>Flaminia Galeani:</t>
        </r>
        <r>
          <rPr>
            <sz val="9"/>
            <color indexed="81"/>
            <rFont val="Tahoma"/>
            <family val="2"/>
          </rPr>
          <t xml:space="preserve">
voce MOLTO negativa</t>
        </r>
      </text>
    </comment>
    <comment ref="E15" authorId="1" shapeId="0" xr:uid="{C4D5B4CC-9494-4B2E-BD27-6C1C8D15C42E}">
      <text>
        <r>
          <rPr>
            <b/>
            <sz val="9"/>
            <color indexed="81"/>
            <rFont val="Tahoma"/>
            <family val="2"/>
          </rPr>
          <t>Flaminia Galeani:</t>
        </r>
        <r>
          <rPr>
            <sz val="9"/>
            <color indexed="81"/>
            <rFont val="Tahoma"/>
            <family val="2"/>
          </rPr>
          <t xml:space="preserve">
non torna</t>
        </r>
      </text>
    </comment>
    <comment ref="E16" authorId="1" shapeId="0" xr:uid="{C7DE522C-8617-459B-9139-EE961449947B}">
      <text>
        <r>
          <rPr>
            <b/>
            <sz val="9"/>
            <color indexed="81"/>
            <rFont val="Tahoma"/>
            <family val="2"/>
          </rPr>
          <t>Flaminia Galeani:</t>
        </r>
        <r>
          <rPr>
            <sz val="9"/>
            <color indexed="81"/>
            <rFont val="Tahoma"/>
            <family val="2"/>
          </rPr>
          <t xml:space="preserve">
non torna</t>
        </r>
      </text>
    </comment>
    <comment ref="E20" authorId="1" shapeId="0" xr:uid="{2510C5A6-B52F-4CFD-ABEC-F80DCB6DF30A}">
      <text>
        <r>
          <rPr>
            <b/>
            <sz val="9"/>
            <color indexed="81"/>
            <rFont val="Tahoma"/>
            <family val="2"/>
          </rPr>
          <t>Flaminia Galeani:</t>
        </r>
        <r>
          <rPr>
            <sz val="9"/>
            <color indexed="81"/>
            <rFont val="Tahoma"/>
            <family val="2"/>
          </rPr>
          <t xml:space="preserve">
non torna</t>
        </r>
      </text>
    </comment>
    <comment ref="B33" authorId="1" shapeId="0" xr:uid="{FA6C1CBA-029B-4729-9803-A0F2FD15E60E}">
      <text>
        <r>
          <rPr>
            <b/>
            <sz val="9"/>
            <color indexed="81"/>
            <rFont val="Tahoma"/>
            <family val="2"/>
          </rPr>
          <t>Flaminia Galeani:</t>
        </r>
        <r>
          <rPr>
            <sz val="9"/>
            <color indexed="81"/>
            <rFont val="Tahoma"/>
            <family val="2"/>
          </rPr>
          <t xml:space="preserve">
SOLO A INIZIO ANNO
(anno  precedente)</t>
        </r>
      </text>
    </comment>
    <comment ref="F33" authorId="1" shapeId="0" xr:uid="{602D7B74-98EA-407E-8DC8-026F457E6A98}">
      <text>
        <r>
          <rPr>
            <b/>
            <sz val="9"/>
            <color indexed="81"/>
            <rFont val="Tahoma"/>
            <family val="2"/>
          </rPr>
          <t>Flaminia Galeani:</t>
        </r>
        <r>
          <rPr>
            <sz val="9"/>
            <color indexed="81"/>
            <rFont val="Tahoma"/>
            <family val="2"/>
          </rPr>
          <t xml:space="preserve">
PAGO TASSE da Q9 a Q12</t>
        </r>
      </text>
    </comment>
    <comment ref="B41" authorId="1" shapeId="0" xr:uid="{2501AFED-46E4-4DCB-8DCF-4D6AE62D63E2}">
      <text>
        <r>
          <rPr>
            <b/>
            <sz val="9"/>
            <color indexed="81"/>
            <rFont val="Tahoma"/>
            <family val="2"/>
          </rPr>
          <t>Flaminia Galeani:</t>
        </r>
        <r>
          <rPr>
            <sz val="9"/>
            <color indexed="81"/>
            <rFont val="Tahoma"/>
            <family val="2"/>
          </rPr>
          <t xml:space="preserve">
1/3 total revenue del periodo precedente</t>
        </r>
      </text>
    </comment>
    <comment ref="B43" authorId="0" shapeId="0" xr:uid="{0E2D6562-522B-4752-B2B7-556F15C99DDB}">
      <text>
        <r>
          <rPr>
            <sz val="9"/>
            <color indexed="81"/>
            <rFont val="Tahoma"/>
            <family val="2"/>
          </rPr>
          <t>SOMMATORIA DI
value * (3-payment term)/3
IN QUEL PERIODO</t>
        </r>
      </text>
    </comment>
    <comment ref="B61" authorId="1" shapeId="0" xr:uid="{DF6B5C03-92B3-4E18-8420-F4451AEC2A65}">
      <text>
        <r>
          <rPr>
            <b/>
            <sz val="9"/>
            <color indexed="81"/>
            <rFont val="Tahoma"/>
            <family val="2"/>
          </rPr>
          <t>Flaminia Galeani:</t>
        </r>
        <r>
          <rPr>
            <sz val="9"/>
            <color indexed="81"/>
            <rFont val="Tahoma"/>
            <family val="2"/>
          </rPr>
          <t xml:space="preserve">
del Q8 1/3 raw materials + warehouse + transport + fixed cost + adv + customer service + env. + automation + finished good</t>
        </r>
      </text>
    </comment>
    <comment ref="B68" authorId="0" shapeId="0" xr:uid="{DEF7D59E-C78E-44C4-AD92-A6D19A41B934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Numero preso dalla voce cash del bilancio del quadrimestre precedente</t>
        </r>
      </text>
    </comment>
    <comment ref="B79" authorId="0" shapeId="0" xr:uid="{CBD28FD6-32F1-4FF3-B9D9-0C808AE96F2E}">
      <text>
        <r>
          <rPr>
            <sz val="9"/>
            <color indexed="81"/>
            <rFont val="Tahoma"/>
            <family val="2"/>
          </rPr>
          <t xml:space="preserve">Cash del quadrimestre precedente-tasse ad inizio anno-pagamenti(leasing, salari, affitti)+nuovi prestiti+disinvestimenti-prestiti ripagati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Flaminia Galeani</author>
  </authors>
  <commentList>
    <comment ref="B33" authorId="0" shapeId="0" xr:uid="{F4C29D47-82BC-4361-9C43-9F12B1399D7D}">
      <text>
        <r>
          <rPr>
            <b/>
            <sz val="9"/>
            <color indexed="81"/>
            <rFont val="Tahoma"/>
            <family val="2"/>
          </rPr>
          <t>Flaminia Galeani:</t>
        </r>
        <r>
          <rPr>
            <sz val="9"/>
            <color indexed="81"/>
            <rFont val="Tahoma"/>
            <family val="2"/>
          </rPr>
          <t xml:space="preserve">
valido solo se non compriamo imports ma solo locale</t>
        </r>
      </text>
    </comment>
    <comment ref="H33" authorId="0" shapeId="0" xr:uid="{96DD67A5-B158-4BD4-8A36-21755C5F57F9}">
      <text>
        <r>
          <rPr>
            <b/>
            <sz val="9"/>
            <color indexed="81"/>
            <rFont val="Tahoma"/>
            <family val="2"/>
          </rPr>
          <t>Flaminia Galeani:</t>
        </r>
        <r>
          <rPr>
            <sz val="9"/>
            <color indexed="81"/>
            <rFont val="Tahoma"/>
            <family val="2"/>
          </rPr>
          <t xml:space="preserve">
valido solo se non compriamo imports ma solo locale</t>
        </r>
      </text>
    </comment>
    <comment ref="H42" authorId="0" shapeId="0" xr:uid="{E013CE38-7779-4BFE-B10F-B9CE0F80E06A}">
      <text>
        <r>
          <rPr>
            <b/>
            <sz val="9"/>
            <color indexed="81"/>
            <rFont val="Tahoma"/>
            <family val="2"/>
          </rPr>
          <t>Flaminia Galeani:</t>
        </r>
        <r>
          <rPr>
            <sz val="9"/>
            <color indexed="81"/>
            <rFont val="Tahoma"/>
            <family val="2"/>
          </rPr>
          <t xml:space="preserve">
valido solo se non compriamo imports ma solo locale</t>
        </r>
      </text>
    </comment>
    <comment ref="B48" authorId="0" shapeId="0" xr:uid="{5654B65D-E9DF-4D6D-A1C8-C6FCF1F1EB78}">
      <text>
        <r>
          <rPr>
            <b/>
            <sz val="9"/>
            <color indexed="81"/>
            <rFont val="Tahoma"/>
            <family val="2"/>
          </rPr>
          <t>Flaminia Galeani:</t>
        </r>
        <r>
          <rPr>
            <sz val="9"/>
            <color indexed="81"/>
            <rFont val="Tahoma"/>
            <family val="2"/>
          </rPr>
          <t xml:space="preserve">
valido solo se non compriamo imports ma solo locale</t>
        </r>
      </text>
    </comment>
    <comment ref="H51" authorId="0" shapeId="0" xr:uid="{A6ED71D8-136F-4E97-AEEB-073710574921}">
      <text>
        <r>
          <rPr>
            <b/>
            <sz val="9"/>
            <color indexed="81"/>
            <rFont val="Tahoma"/>
            <family val="2"/>
          </rPr>
          <t>Flaminia Galeani:</t>
        </r>
        <r>
          <rPr>
            <sz val="9"/>
            <color indexed="81"/>
            <rFont val="Tahoma"/>
            <family val="2"/>
          </rPr>
          <t xml:space="preserve">
valido solo se non compriamo imports ma solo locale</t>
        </r>
      </text>
    </comment>
    <comment ref="B63" authorId="0" shapeId="0" xr:uid="{AE4326CF-8A3F-4AA0-B172-C13EA1923DC5}">
      <text>
        <r>
          <rPr>
            <b/>
            <sz val="9"/>
            <color indexed="81"/>
            <rFont val="Tahoma"/>
            <family val="2"/>
          </rPr>
          <t>Flaminia Galeani:</t>
        </r>
        <r>
          <rPr>
            <sz val="9"/>
            <color indexed="81"/>
            <rFont val="Tahoma"/>
            <family val="2"/>
          </rPr>
          <t xml:space="preserve">
valido solo se non compriamo imports ma solo locale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<sst xmlns="http://schemas.openxmlformats.org/spreadsheetml/2006/main" count="860" uniqueCount="305">
  <si>
    <t>Retail Market</t>
  </si>
  <si>
    <t>Adv expenditures</t>
  </si>
  <si>
    <t>Wholesale market</t>
  </si>
  <si>
    <t>Quality (MIN)</t>
  </si>
  <si>
    <t>MAX price</t>
  </si>
  <si>
    <t>Q9</t>
  </si>
  <si>
    <t>Q10</t>
  </si>
  <si>
    <t>Q11</t>
  </si>
  <si>
    <t>Q12</t>
  </si>
  <si>
    <t>Q13</t>
  </si>
  <si>
    <t>Fabrics</t>
  </si>
  <si>
    <t>Quantity offered</t>
  </si>
  <si>
    <t>Quality offered</t>
  </si>
  <si>
    <t>Price offered</t>
  </si>
  <si>
    <t>Fittings</t>
  </si>
  <si>
    <t>Forniture</t>
  </si>
  <si>
    <t>Quantity available</t>
  </si>
  <si>
    <t>Price</t>
  </si>
  <si>
    <t>Production</t>
  </si>
  <si>
    <t>Central outlets</t>
  </si>
  <si>
    <t>Rental &amp; tax per year</t>
  </si>
  <si>
    <t>Space available</t>
  </si>
  <si>
    <t>Out-of-town outlets</t>
  </si>
  <si>
    <t>Item</t>
  </si>
  <si>
    <t>Space units</t>
  </si>
  <si>
    <t xml:space="preserve">Fabrics </t>
  </si>
  <si>
    <t>Central outlet</t>
  </si>
  <si>
    <t>Out-of-town outlet</t>
  </si>
  <si>
    <t>Space available (tot)</t>
  </si>
  <si>
    <t>Units needed (tot)</t>
  </si>
  <si>
    <t>Salesperson</t>
  </si>
  <si>
    <t>Number</t>
  </si>
  <si>
    <t>Expenditures</t>
  </si>
  <si>
    <t>Supervisory staff</t>
  </si>
  <si>
    <t>Training expenditures</t>
  </si>
  <si>
    <t>Customer service</t>
  </si>
  <si>
    <t>Product promotion</t>
  </si>
  <si>
    <t>Transport</t>
  </si>
  <si>
    <t>tot Rental &amp; tax (quarter)</t>
  </si>
  <si>
    <t>Needed</t>
  </si>
  <si>
    <t>Vehicles</t>
  </si>
  <si>
    <t>Space units available</t>
  </si>
  <si>
    <t>Space units needed</t>
  </si>
  <si>
    <t>Fixed charge</t>
  </si>
  <si>
    <t>Local suppliers</t>
  </si>
  <si>
    <t>Importers</t>
  </si>
  <si>
    <t>Importers in quarter</t>
  </si>
  <si>
    <t>Importers from previous</t>
  </si>
  <si>
    <t>End stock</t>
  </si>
  <si>
    <t>tot available</t>
  </si>
  <si>
    <t>Machines</t>
  </si>
  <si>
    <t>Hi-tech expenditures</t>
  </si>
  <si>
    <t>Machines owned</t>
  </si>
  <si>
    <t>Production hours</t>
  </si>
  <si>
    <t>Leasing machines</t>
  </si>
  <si>
    <t>Initial stock</t>
  </si>
  <si>
    <t>Fabrics - Raw materials</t>
  </si>
  <si>
    <t>Fittings - Raw materials</t>
  </si>
  <si>
    <t>Quantity sold</t>
  </si>
  <si>
    <t>Value</t>
  </si>
  <si>
    <t>Environmental investment</t>
  </si>
  <si>
    <t>Retail market</t>
  </si>
  <si>
    <t>Wholesales</t>
  </si>
  <si>
    <t>Bought-in goods</t>
  </si>
  <si>
    <t>Shops saturation</t>
  </si>
  <si>
    <t>Emergency hire (value)</t>
  </si>
  <si>
    <t>Emergency hire (units)</t>
  </si>
  <si>
    <t>(1 year) 12</t>
  </si>
  <si>
    <t>(2 years) 24</t>
  </si>
  <si>
    <t>(3 years) 36</t>
  </si>
  <si>
    <t>Total</t>
  </si>
  <si>
    <t>N.</t>
  </si>
  <si>
    <t>Capacity</t>
  </si>
  <si>
    <t>Age (quarters)</t>
  </si>
  <si>
    <t>Capacity/u</t>
  </si>
  <si>
    <t>New vehicles</t>
  </si>
  <si>
    <t>Time of production (hours)</t>
  </si>
  <si>
    <t>Furniture</t>
  </si>
  <si>
    <t>Owned</t>
  </si>
  <si>
    <t>Leased</t>
  </si>
  <si>
    <t>New machines owned</t>
  </si>
  <si>
    <t>New machines leased</t>
  </si>
  <si>
    <t>Age (months)</t>
  </si>
  <si>
    <t>Hours/u</t>
  </si>
  <si>
    <t xml:space="preserve"> tot Hours</t>
  </si>
  <si>
    <t>Hours needed</t>
  </si>
  <si>
    <t>Saturation</t>
  </si>
  <si>
    <t>Value/u (O)</t>
  </si>
  <si>
    <t>Sold</t>
  </si>
  <si>
    <t>tot Hours</t>
  </si>
  <si>
    <t>Production (units)</t>
  </si>
  <si>
    <t>Demand Forecast</t>
  </si>
  <si>
    <t>Furniture - Raw materials</t>
  </si>
  <si>
    <t>Products needed</t>
  </si>
  <si>
    <t>Fabrics €/u</t>
  </si>
  <si>
    <t>Fittings €/u</t>
  </si>
  <si>
    <t>Furniture €/u</t>
  </si>
  <si>
    <t>Fabrics retail</t>
  </si>
  <si>
    <t>Fittings retail</t>
  </si>
  <si>
    <t>Furniture retail</t>
  </si>
  <si>
    <t>Fabrics wholesale</t>
  </si>
  <si>
    <t>Fittings wholesale</t>
  </si>
  <si>
    <t>Furniture wholesale</t>
  </si>
  <si>
    <t>Previous stock (Retail)</t>
  </si>
  <si>
    <t>Forniture retail</t>
  </si>
  <si>
    <t>Fabrics tot</t>
  </si>
  <si>
    <t>Fittings tot</t>
  </si>
  <si>
    <t>Furniture tot</t>
  </si>
  <si>
    <t>Previous stock/Bought-in</t>
  </si>
  <si>
    <t xml:space="preserve">Sales tot </t>
  </si>
  <si>
    <t>Payment terms (0-3 months)</t>
  </si>
  <si>
    <t>Market share</t>
  </si>
  <si>
    <t>Demand Forecast (TOT)</t>
  </si>
  <si>
    <t>Local price</t>
  </si>
  <si>
    <t>Importers price</t>
  </si>
  <si>
    <t>CASH FLOW</t>
  </si>
  <si>
    <t>FINANCIAL CASH FLOW</t>
  </si>
  <si>
    <t>CASH FLOW -RECEIPTS</t>
  </si>
  <si>
    <t>Retail Revenues(2/3)</t>
  </si>
  <si>
    <t>Interest Income</t>
  </si>
  <si>
    <t>Debtors(previous B/S)</t>
  </si>
  <si>
    <t>Machines sold</t>
  </si>
  <si>
    <t>Wholesalers(pending from previous period)</t>
  </si>
  <si>
    <t>New Loan</t>
  </si>
  <si>
    <t>TOTAL RECEIPTS</t>
  </si>
  <si>
    <t>CASH FLOW-PAYMENTS</t>
  </si>
  <si>
    <t>Raw materials-Fabrics-Local (2/3rd)</t>
  </si>
  <si>
    <t>Raw materials-Fittings-Local(2/3rd)</t>
  </si>
  <si>
    <t>Raw materials-Furniture-Local(2/3rd)</t>
  </si>
  <si>
    <t>Raw  materials-Fabrics-Import(2/3rd)</t>
  </si>
  <si>
    <t>REVENUES</t>
  </si>
  <si>
    <t>Raw materials-Fittings-Import(2/3rd)</t>
  </si>
  <si>
    <t>REVENUES DETAILS</t>
  </si>
  <si>
    <t>Raw materials-Furniture-Import(2/3rd)</t>
  </si>
  <si>
    <t>Rent</t>
  </si>
  <si>
    <t>Fabrics wholesales</t>
  </si>
  <si>
    <t>Salaries</t>
  </si>
  <si>
    <t>Leasing</t>
  </si>
  <si>
    <t>Fittings wholesales</t>
  </si>
  <si>
    <t>Production direct costs</t>
  </si>
  <si>
    <t>Training</t>
  </si>
  <si>
    <t>Furniture wholesales</t>
  </si>
  <si>
    <t>Promotion</t>
  </si>
  <si>
    <t>TOTAL REVENUES</t>
  </si>
  <si>
    <t>New delivered machines</t>
  </si>
  <si>
    <t>REVENUES PER PRODUCT</t>
  </si>
  <si>
    <t>Creditors(previous B/S)</t>
  </si>
  <si>
    <t>Loans repaid</t>
  </si>
  <si>
    <t>Interest from P&amp;L</t>
  </si>
  <si>
    <t>Tax</t>
  </si>
  <si>
    <t>REVENUES PER MARKET</t>
  </si>
  <si>
    <t>TOTAL PAYMENTS</t>
  </si>
  <si>
    <t>Retail</t>
  </si>
  <si>
    <t xml:space="preserve">PERIOD  VARATION </t>
  </si>
  <si>
    <t>Wholesalers</t>
  </si>
  <si>
    <t>Inflow(Outflow)</t>
  </si>
  <si>
    <t>Balance at start</t>
  </si>
  <si>
    <t>Balance at the end</t>
  </si>
  <si>
    <t>FINANCIAL STATEMENTS</t>
  </si>
  <si>
    <t>PROFIT&amp;LOSS</t>
  </si>
  <si>
    <t>DEBTORS-RECEIVABLES</t>
  </si>
  <si>
    <t>TOTAL SALES REVENUES</t>
  </si>
  <si>
    <t>Inflow</t>
  </si>
  <si>
    <t>Raw materials bought</t>
  </si>
  <si>
    <t>Outflow</t>
  </si>
  <si>
    <t>(Adjust-raw materials held in stock)</t>
  </si>
  <si>
    <t>CREDITORS-PAYABLES</t>
  </si>
  <si>
    <t>Production Direct cost</t>
  </si>
  <si>
    <t>Bought-in Finished Goods</t>
  </si>
  <si>
    <t>(Adjust-finished goods held in stock)?</t>
  </si>
  <si>
    <t>COST  OF GOODS SOLD</t>
  </si>
  <si>
    <t>CASH-allowed decision</t>
  </si>
  <si>
    <t>GROSS PROFIT</t>
  </si>
  <si>
    <t>Cash Available(?)</t>
  </si>
  <si>
    <t>Production fixed cost</t>
  </si>
  <si>
    <t>Cash Needed</t>
  </si>
  <si>
    <t>Machine depreciation</t>
  </si>
  <si>
    <t>Decision satisfied(%)</t>
  </si>
  <si>
    <t>Leased Machine Cost</t>
  </si>
  <si>
    <t>Automation Technology</t>
  </si>
  <si>
    <t>PRODUCTION OVERHEADS</t>
  </si>
  <si>
    <t>Total transport cost</t>
  </si>
  <si>
    <t>Vehicles depreciation</t>
  </si>
  <si>
    <t>Warehouse cost</t>
  </si>
  <si>
    <t>LOGISTIC COSTS</t>
  </si>
  <si>
    <t>Commercial Expenditure</t>
  </si>
  <si>
    <t>Rent of Outlets</t>
  </si>
  <si>
    <t>Sales Persons Salary</t>
  </si>
  <si>
    <t>Supervisor Salary</t>
  </si>
  <si>
    <t>COMMERCIAL COSTS</t>
  </si>
  <si>
    <t>OPERATING PROFIT</t>
  </si>
  <si>
    <t>Exceptional Item-Loss on Machine</t>
  </si>
  <si>
    <t>Loan Interest</t>
  </si>
  <si>
    <t>(Interest Received)</t>
  </si>
  <si>
    <t>FINANCE</t>
  </si>
  <si>
    <t>PROFIT BEFORE TAX</t>
  </si>
  <si>
    <t>TAX</t>
  </si>
  <si>
    <t>PROFIT AFTER TAX</t>
  </si>
  <si>
    <t>Tot rental cost</t>
  </si>
  <si>
    <t>Salary (year)</t>
  </si>
  <si>
    <t>Machines value/cost</t>
  </si>
  <si>
    <t>Local cost</t>
  </si>
  <si>
    <t>Import cost</t>
  </si>
  <si>
    <t>Direct costs</t>
  </si>
  <si>
    <t>Depreciation</t>
  </si>
  <si>
    <t>Warehouse costs</t>
  </si>
  <si>
    <t>FABRICS</t>
  </si>
  <si>
    <t>FITTINGS</t>
  </si>
  <si>
    <t>FURNITURE</t>
  </si>
  <si>
    <t>Fixed costs of production</t>
  </si>
  <si>
    <t>Cumulate tax</t>
  </si>
  <si>
    <t>Q1</t>
  </si>
  <si>
    <t>Q2</t>
  </si>
  <si>
    <t>Q3</t>
  </si>
  <si>
    <t>Q4</t>
  </si>
  <si>
    <t>Q5</t>
  </si>
  <si>
    <t>Q6</t>
  </si>
  <si>
    <t>Q7</t>
  </si>
  <si>
    <t>Q8</t>
  </si>
  <si>
    <t>Production cost Fabrics</t>
  </si>
  <si>
    <t>Production cost Fittings</t>
  </si>
  <si>
    <t>Production cost Furniture</t>
  </si>
  <si>
    <t>Fabrics discounted price</t>
  </si>
  <si>
    <t>Fittings discounted price</t>
  </si>
  <si>
    <t>Furniture discounted price</t>
  </si>
  <si>
    <t>Fabrics discounted quantity</t>
  </si>
  <si>
    <t>Fittings discounted quantity</t>
  </si>
  <si>
    <t>Furniture discounted quantity</t>
  </si>
  <si>
    <t>Fabrics cost</t>
  </si>
  <si>
    <t>Fittings cost</t>
  </si>
  <si>
    <t>Furniture cost</t>
  </si>
  <si>
    <t>Total cost</t>
  </si>
  <si>
    <t>Q14</t>
  </si>
  <si>
    <t xml:space="preserve">Long term loan </t>
  </si>
  <si>
    <t>Existing loan</t>
  </si>
  <si>
    <t>Loan repaid</t>
  </si>
  <si>
    <t>New loan</t>
  </si>
  <si>
    <t>New</t>
  </si>
  <si>
    <t>From previous</t>
  </si>
  <si>
    <t>Use for production</t>
  </si>
  <si>
    <t>Tot fabrics</t>
  </si>
  <si>
    <t>Tot fittings</t>
  </si>
  <si>
    <t>Tot furniture</t>
  </si>
  <si>
    <t>Cost of Raw materials used</t>
  </si>
  <si>
    <t>Max variation (-)</t>
  </si>
  <si>
    <t>RETAIL MARKET DEMAND</t>
  </si>
  <si>
    <t>quarter</t>
  </si>
  <si>
    <t>numero periodi=4</t>
  </si>
  <si>
    <t>nota:il periodo t=0 corrisponde all'inizio del Q9</t>
  </si>
  <si>
    <t>M2018=</t>
  </si>
  <si>
    <t>M2019=</t>
  </si>
  <si>
    <t>INITIALIZATION HOLT-WINTERS</t>
  </si>
  <si>
    <t>T(0)</t>
  </si>
  <si>
    <t>M(0)</t>
  </si>
  <si>
    <t>i=</t>
  </si>
  <si>
    <t>S(0)i</t>
  </si>
  <si>
    <t>PREVISION</t>
  </si>
  <si>
    <t>t</t>
  </si>
  <si>
    <t>P(t)</t>
  </si>
  <si>
    <t>DATAS UPTATE</t>
  </si>
  <si>
    <t>T(t)</t>
  </si>
  <si>
    <t>M(t)</t>
  </si>
  <si>
    <t>S(t)</t>
  </si>
  <si>
    <t>PREVISION UPDATE</t>
  </si>
  <si>
    <t>-</t>
  </si>
  <si>
    <t>Quality of our products</t>
  </si>
  <si>
    <t>Fabrics quality</t>
  </si>
  <si>
    <t>Fittings quality</t>
  </si>
  <si>
    <t>Furniture quality</t>
  </si>
  <si>
    <t>Quality of production</t>
  </si>
  <si>
    <t>Local quality</t>
  </si>
  <si>
    <t>Importers quality</t>
  </si>
  <si>
    <t>Stock quality</t>
  </si>
  <si>
    <t>Effectiveness</t>
  </si>
  <si>
    <t>Furnitures</t>
  </si>
  <si>
    <t>Mark-up model n.2 (RETAIL MARKET)</t>
  </si>
  <si>
    <t>Unit margin</t>
  </si>
  <si>
    <t>Cost</t>
  </si>
  <si>
    <t>Mark-up</t>
  </si>
  <si>
    <t>Average</t>
  </si>
  <si>
    <t>Max</t>
  </si>
  <si>
    <t>extra Fabrics</t>
  </si>
  <si>
    <t>extra Fittings</t>
  </si>
  <si>
    <t>extra Furnitures</t>
  </si>
  <si>
    <t>solo per Q11</t>
  </si>
  <si>
    <t>Max price possible</t>
  </si>
  <si>
    <t>Tot</t>
  </si>
  <si>
    <t>Cost of product sold</t>
  </si>
  <si>
    <t>Indirect costs of production</t>
  </si>
  <si>
    <t>Outlet costs</t>
  </si>
  <si>
    <t>Commercial costs</t>
  </si>
  <si>
    <t>Transport costs</t>
  </si>
  <si>
    <t>Cost of production</t>
  </si>
  <si>
    <t>Cost of raw materials</t>
  </si>
  <si>
    <t>Cost of bought-in</t>
  </si>
  <si>
    <t>RETAIL</t>
  </si>
  <si>
    <t>WHOLESALE</t>
  </si>
  <si>
    <t>Margin per unit</t>
  </si>
  <si>
    <t>Stock value (unit)</t>
  </si>
  <si>
    <t>Margins tot</t>
  </si>
  <si>
    <t>Wholesale</t>
  </si>
  <si>
    <t>Hours retail</t>
  </si>
  <si>
    <t>Hours wholesale</t>
  </si>
  <si>
    <t>Sales %</t>
  </si>
  <si>
    <t>%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</si>
</sst>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\ [$€-410]"/>
    <numFmt numFmtId="165" formatCode="#,##0\ [$€-1];[Red]\-#,##0\ [$€-1]"/>
    <numFmt numFmtId="166" formatCode="#,##0\ [$€-410]"/>
    <numFmt numFmtId="167" formatCode="#,##0.00\ [$€-1];[Red]\-#,##0.00\ [$€-1]"/>
    <numFmt numFmtId="168" formatCode="#,##0.0\ [$€-410]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u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39997558519241921"/>
        <bgColor indexed="64"/>
      </patternFill>
    </fill>
  </fills>
  <borders count="4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5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1" xfId="0" applyFont="1" applyBorder="1"/>
    <xf numFmtId="3" fontId="0" fillId="0" borderId="0" xfId="0" applyNumberFormat="1" applyBorder="1"/>
    <xf numFmtId="0" fontId="0" fillId="0" borderId="3" xfId="0" applyBorder="1"/>
    <xf numFmtId="0" fontId="0" fillId="0" borderId="2" xfId="0" applyBorder="1"/>
    <xf numFmtId="0" fontId="0" fillId="0" borderId="0" xfId="0" applyFill="1" applyBorder="1" applyAlignment="1">
      <alignment horizontal="right"/>
    </xf>
    <xf numFmtId="0" fontId="0" fillId="0" borderId="2" xfId="0" applyFill="1" applyBorder="1" applyAlignment="1">
      <alignment horizontal="right"/>
    </xf>
    <xf numFmtId="0" fontId="0" fillId="0" borderId="3" xfId="0" applyFill="1" applyBorder="1" applyAlignment="1">
      <alignment horizontal="right"/>
    </xf>
    <xf numFmtId="4" fontId="0" fillId="0" borderId="0" xfId="0" applyNumberFormat="1" applyBorder="1"/>
    <xf numFmtId="4" fontId="0" fillId="0" borderId="5" xfId="0" applyNumberFormat="1" applyBorder="1"/>
    <xf numFmtId="0" fontId="0" fillId="0" borderId="0" xfId="0" applyFill="1" applyBorder="1"/>
    <xf numFmtId="0" fontId="0" fillId="0" borderId="4" xfId="0" applyFill="1" applyBorder="1"/>
    <xf numFmtId="0" fontId="4" fillId="0" borderId="2" xfId="0" applyFont="1" applyBorder="1"/>
    <xf numFmtId="4" fontId="0" fillId="0" borderId="0" xfId="0" applyNumberFormat="1" applyFill="1" applyBorder="1"/>
    <xf numFmtId="0" fontId="4" fillId="0" borderId="1" xfId="0" applyFont="1" applyBorder="1"/>
    <xf numFmtId="0" fontId="0" fillId="0" borderId="1" xfId="0" applyFill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4" xfId="0" applyFill="1" applyBorder="1" applyAlignment="1">
      <alignment horizontal="left"/>
    </xf>
    <xf numFmtId="0" fontId="0" fillId="0" borderId="6" xfId="0" applyFill="1" applyBorder="1" applyAlignment="1">
      <alignment horizontal="left"/>
    </xf>
    <xf numFmtId="0" fontId="0" fillId="0" borderId="6" xfId="0" applyFill="1" applyBorder="1"/>
    <xf numFmtId="0" fontId="0" fillId="0" borderId="2" xfId="0" applyFill="1" applyBorder="1"/>
    <xf numFmtId="0" fontId="0" fillId="0" borderId="5" xfId="0" applyFill="1" applyBorder="1"/>
    <xf numFmtId="3" fontId="0" fillId="0" borderId="0" xfId="0" applyNumberFormat="1" applyFill="1" applyBorder="1"/>
    <xf numFmtId="0" fontId="0" fillId="2" borderId="4" xfId="0" applyFill="1" applyBorder="1"/>
    <xf numFmtId="3" fontId="0" fillId="0" borderId="5" xfId="0" applyNumberFormat="1" applyFill="1" applyBorder="1"/>
    <xf numFmtId="0" fontId="4" fillId="0" borderId="1" xfId="0" applyFont="1" applyFill="1" applyBorder="1" applyAlignment="1">
      <alignment horizontal="left"/>
    </xf>
    <xf numFmtId="3" fontId="0" fillId="0" borderId="9" xfId="0" applyNumberFormat="1" applyBorder="1"/>
    <xf numFmtId="3" fontId="0" fillId="0" borderId="9" xfId="0" applyNumberFormat="1" applyFill="1" applyBorder="1"/>
    <xf numFmtId="0" fontId="0" fillId="4" borderId="9" xfId="0" applyFill="1" applyBorder="1"/>
    <xf numFmtId="164" fontId="0" fillId="0" borderId="9" xfId="0" applyNumberFormat="1" applyBorder="1"/>
    <xf numFmtId="4" fontId="0" fillId="0" borderId="9" xfId="0" applyNumberFormat="1" applyFill="1" applyBorder="1"/>
    <xf numFmtId="3" fontId="0" fillId="0" borderId="10" xfId="0" applyNumberFormat="1" applyBorder="1"/>
    <xf numFmtId="3" fontId="0" fillId="0" borderId="11" xfId="0" applyNumberFormat="1" applyBorder="1"/>
    <xf numFmtId="3" fontId="0" fillId="0" borderId="12" xfId="0" applyNumberFormat="1" applyBorder="1"/>
    <xf numFmtId="3" fontId="0" fillId="0" borderId="10" xfId="0" applyNumberFormat="1" applyFill="1" applyBorder="1"/>
    <xf numFmtId="164" fontId="0" fillId="0" borderId="11" xfId="0" applyNumberFormat="1" applyBorder="1"/>
    <xf numFmtId="164" fontId="0" fillId="0" borderId="12" xfId="0" applyNumberFormat="1" applyBorder="1"/>
    <xf numFmtId="4" fontId="0" fillId="0" borderId="10" xfId="0" applyNumberFormat="1" applyFill="1" applyBorder="1"/>
    <xf numFmtId="3" fontId="0" fillId="0" borderId="11" xfId="0" applyNumberFormat="1" applyFill="1" applyBorder="1"/>
    <xf numFmtId="3" fontId="0" fillId="0" borderId="12" xfId="0" applyNumberFormat="1" applyFill="1" applyBorder="1"/>
    <xf numFmtId="0" fontId="0" fillId="0" borderId="9" xfId="0" applyBorder="1"/>
    <xf numFmtId="0" fontId="0" fillId="0" borderId="9" xfId="0" applyFill="1" applyBorder="1"/>
    <xf numFmtId="0" fontId="0" fillId="2" borderId="9" xfId="0" applyFill="1" applyBorder="1"/>
    <xf numFmtId="0" fontId="0" fillId="0" borderId="13" xfId="0" applyBorder="1"/>
    <xf numFmtId="3" fontId="0" fillId="0" borderId="13" xfId="0" applyNumberFormat="1" applyBorder="1"/>
    <xf numFmtId="0" fontId="0" fillId="0" borderId="14" xfId="0" applyBorder="1"/>
    <xf numFmtId="0" fontId="0" fillId="0" borderId="14" xfId="0" applyFill="1" applyBorder="1"/>
    <xf numFmtId="0" fontId="0" fillId="0" borderId="15" xfId="0" applyBorder="1"/>
    <xf numFmtId="0" fontId="0" fillId="0" borderId="10" xfId="0" applyBorder="1"/>
    <xf numFmtId="0" fontId="0" fillId="0" borderId="10" xfId="0" applyFill="1" applyBorder="1"/>
    <xf numFmtId="0" fontId="0" fillId="0" borderId="15" xfId="0" applyFill="1" applyBorder="1"/>
    <xf numFmtId="3" fontId="0" fillId="0" borderId="15" xfId="0" applyNumberFormat="1" applyFill="1" applyBorder="1"/>
    <xf numFmtId="0" fontId="0" fillId="0" borderId="15" xfId="0" applyBorder="1" applyAlignment="1">
      <alignment horizontal="right"/>
    </xf>
    <xf numFmtId="0" fontId="0" fillId="2" borderId="15" xfId="0" applyFill="1" applyBorder="1"/>
    <xf numFmtId="164" fontId="0" fillId="0" borderId="10" xfId="0" applyNumberFormat="1" applyBorder="1"/>
    <xf numFmtId="0" fontId="0" fillId="0" borderId="11" xfId="0" applyFill="1" applyBorder="1"/>
    <xf numFmtId="164" fontId="0" fillId="0" borderId="11" xfId="0" applyNumberFormat="1" applyFill="1" applyBorder="1"/>
    <xf numFmtId="164" fontId="0" fillId="0" borderId="0" xfId="0" applyNumberFormat="1" applyFill="1" applyBorder="1"/>
    <xf numFmtId="0" fontId="0" fillId="0" borderId="17" xfId="0" applyBorder="1"/>
    <xf numFmtId="0" fontId="0" fillId="0" borderId="19" xfId="0" applyBorder="1"/>
    <xf numFmtId="0" fontId="0" fillId="0" borderId="20" xfId="0" applyBorder="1"/>
    <xf numFmtId="0" fontId="4" fillId="0" borderId="0" xfId="0" applyFont="1" applyFill="1" applyBorder="1"/>
    <xf numFmtId="0" fontId="0" fillId="0" borderId="16" xfId="0" applyBorder="1"/>
    <xf numFmtId="0" fontId="0" fillId="0" borderId="22" xfId="0" applyBorder="1"/>
    <xf numFmtId="0" fontId="0" fillId="0" borderId="23" xfId="0" applyBorder="1"/>
    <xf numFmtId="0" fontId="0" fillId="0" borderId="11" xfId="0" applyBorder="1"/>
    <xf numFmtId="0" fontId="0" fillId="4" borderId="15" xfId="0" applyFill="1" applyBorder="1"/>
    <xf numFmtId="3" fontId="0" fillId="3" borderId="10" xfId="0" applyNumberFormat="1" applyFill="1" applyBorder="1" applyProtection="1">
      <protection locked="0"/>
    </xf>
    <xf numFmtId="3" fontId="0" fillId="4" borderId="9" xfId="0" applyNumberFormat="1" applyFill="1" applyBorder="1" applyProtection="1">
      <protection locked="0"/>
    </xf>
    <xf numFmtId="0" fontId="0" fillId="3" borderId="9" xfId="0" applyFill="1" applyBorder="1" applyProtection="1">
      <protection locked="0"/>
    </xf>
    <xf numFmtId="0" fontId="0" fillId="3" borderId="15" xfId="0" applyFill="1" applyBorder="1" applyProtection="1">
      <protection locked="0"/>
    </xf>
    <xf numFmtId="10" fontId="0" fillId="0" borderId="9" xfId="0" applyNumberFormat="1" applyBorder="1"/>
    <xf numFmtId="10" fontId="0" fillId="0" borderId="10" xfId="0" applyNumberFormat="1" applyBorder="1"/>
    <xf numFmtId="3" fontId="0" fillId="0" borderId="9" xfId="0" applyNumberFormat="1" applyFill="1" applyBorder="1" applyProtection="1"/>
    <xf numFmtId="3" fontId="0" fillId="0" borderId="10" xfId="0" applyNumberFormat="1" applyFill="1" applyBorder="1" applyProtection="1"/>
    <xf numFmtId="3" fontId="0" fillId="0" borderId="11" xfId="0" applyNumberFormat="1" applyFill="1" applyBorder="1" applyProtection="1"/>
    <xf numFmtId="3" fontId="0" fillId="0" borderId="12" xfId="0" applyNumberFormat="1" applyFill="1" applyBorder="1" applyProtection="1"/>
    <xf numFmtId="0" fontId="0" fillId="0" borderId="0" xfId="0" applyAlignment="1">
      <alignment horizontal="left"/>
    </xf>
    <xf numFmtId="0" fontId="0" fillId="2" borderId="24" xfId="0" applyFill="1" applyBorder="1"/>
    <xf numFmtId="0" fontId="0" fillId="3" borderId="24" xfId="0" applyFill="1" applyBorder="1" applyProtection="1">
      <protection locked="0"/>
    </xf>
    <xf numFmtId="166" fontId="0" fillId="0" borderId="9" xfId="0" applyNumberFormat="1" applyBorder="1"/>
    <xf numFmtId="166" fontId="0" fillId="0" borderId="14" xfId="0" applyNumberFormat="1" applyBorder="1"/>
    <xf numFmtId="166" fontId="0" fillId="0" borderId="16" xfId="0" applyNumberFormat="1" applyBorder="1"/>
    <xf numFmtId="0" fontId="0" fillId="0" borderId="13" xfId="0" applyFill="1" applyBorder="1"/>
    <xf numFmtId="3" fontId="0" fillId="0" borderId="14" xfId="0" applyNumberFormat="1" applyFill="1" applyBorder="1"/>
    <xf numFmtId="0" fontId="0" fillId="0" borderId="16" xfId="0" applyFill="1" applyBorder="1"/>
    <xf numFmtId="165" fontId="0" fillId="0" borderId="9" xfId="0" applyNumberFormat="1" applyBorder="1"/>
    <xf numFmtId="166" fontId="0" fillId="0" borderId="10" xfId="0" applyNumberFormat="1" applyBorder="1"/>
    <xf numFmtId="166" fontId="0" fillId="0" borderId="11" xfId="0" applyNumberFormat="1" applyBorder="1"/>
    <xf numFmtId="165" fontId="0" fillId="0" borderId="10" xfId="0" applyNumberFormat="1" applyBorder="1"/>
    <xf numFmtId="0" fontId="0" fillId="0" borderId="24" xfId="0" applyFill="1" applyBorder="1"/>
    <xf numFmtId="166" fontId="0" fillId="0" borderId="15" xfId="0" applyNumberFormat="1" applyBorder="1"/>
    <xf numFmtId="164" fontId="0" fillId="0" borderId="9" xfId="0" applyNumberFormat="1" applyBorder="1" applyProtection="1"/>
    <xf numFmtId="164" fontId="0" fillId="0" borderId="10" xfId="0" applyNumberFormat="1" applyBorder="1" applyProtection="1"/>
    <xf numFmtId="0" fontId="0" fillId="0" borderId="3" xfId="0" applyFill="1" applyBorder="1"/>
    <xf numFmtId="0" fontId="1" fillId="0" borderId="15" xfId="0" applyFont="1" applyBorder="1"/>
    <xf numFmtId="0" fontId="0" fillId="5" borderId="15" xfId="0" applyFill="1" applyBorder="1"/>
    <xf numFmtId="0" fontId="7" fillId="0" borderId="1" xfId="0" applyFont="1" applyFill="1" applyBorder="1"/>
    <xf numFmtId="3" fontId="1" fillId="0" borderId="2" xfId="0" applyNumberFormat="1" applyFont="1" applyFill="1" applyBorder="1" applyAlignment="1">
      <alignment horizontal="right"/>
    </xf>
    <xf numFmtId="3" fontId="1" fillId="0" borderId="3" xfId="0" applyNumberFormat="1" applyFont="1" applyFill="1" applyBorder="1" applyAlignment="1">
      <alignment horizontal="right"/>
    </xf>
    <xf numFmtId="0" fontId="7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4" fillId="0" borderId="4" xfId="0" applyFont="1" applyFill="1" applyBorder="1"/>
    <xf numFmtId="0" fontId="1" fillId="0" borderId="0" xfId="0" applyFont="1" applyFill="1" applyBorder="1" applyAlignment="1">
      <alignment horizontal="right"/>
    </xf>
    <xf numFmtId="0" fontId="1" fillId="0" borderId="5" xfId="0" applyFont="1" applyFill="1" applyBorder="1" applyAlignment="1">
      <alignment horizontal="right"/>
    </xf>
    <xf numFmtId="166" fontId="0" fillId="0" borderId="9" xfId="0" applyNumberFormat="1" applyFill="1" applyBorder="1"/>
    <xf numFmtId="166" fontId="0" fillId="0" borderId="10" xfId="0" applyNumberFormat="1" applyFill="1" applyBorder="1"/>
    <xf numFmtId="166" fontId="0" fillId="0" borderId="11" xfId="0" applyNumberFormat="1" applyFill="1" applyBorder="1"/>
    <xf numFmtId="166" fontId="0" fillId="0" borderId="12" xfId="0" applyNumberFormat="1" applyFill="1" applyBorder="1"/>
    <xf numFmtId="166" fontId="0" fillId="4" borderId="9" xfId="0" applyNumberFormat="1" applyFill="1" applyBorder="1"/>
    <xf numFmtId="166" fontId="6" fillId="0" borderId="9" xfId="0" applyNumberFormat="1" applyFont="1" applyFill="1" applyBorder="1"/>
    <xf numFmtId="166" fontId="0" fillId="0" borderId="9" xfId="0" applyNumberFormat="1" applyFill="1" applyBorder="1" applyAlignment="1">
      <alignment horizontal="right"/>
    </xf>
    <xf numFmtId="166" fontId="6" fillId="0" borderId="10" xfId="0" applyNumberFormat="1" applyFont="1" applyFill="1" applyBorder="1"/>
    <xf numFmtId="0" fontId="5" fillId="0" borderId="22" xfId="0" applyFont="1" applyBorder="1" applyAlignment="1">
      <alignment horizontal="center"/>
    </xf>
    <xf numFmtId="0" fontId="4" fillId="0" borderId="28" xfId="0" applyFont="1" applyFill="1" applyBorder="1" applyAlignment="1">
      <alignment horizontal="center"/>
    </xf>
    <xf numFmtId="166" fontId="0" fillId="3" borderId="10" xfId="0" applyNumberFormat="1" applyFill="1" applyBorder="1"/>
    <xf numFmtId="166" fontId="0" fillId="4" borderId="10" xfId="0" applyNumberFormat="1" applyFill="1" applyBorder="1"/>
    <xf numFmtId="10" fontId="0" fillId="0" borderId="11" xfId="0" applyNumberFormat="1" applyFill="1" applyBorder="1"/>
    <xf numFmtId="10" fontId="0" fillId="0" borderId="12" xfId="0" applyNumberFormat="1" applyFill="1" applyBorder="1"/>
    <xf numFmtId="0" fontId="1" fillId="6" borderId="15" xfId="0" applyFont="1" applyFill="1" applyBorder="1"/>
    <xf numFmtId="166" fontId="0" fillId="6" borderId="9" xfId="0" applyNumberFormat="1" applyFill="1" applyBorder="1"/>
    <xf numFmtId="166" fontId="0" fillId="6" borderId="10" xfId="0" applyNumberFormat="1" applyFill="1" applyBorder="1"/>
    <xf numFmtId="0" fontId="0" fillId="6" borderId="4" xfId="0" applyFill="1" applyBorder="1"/>
    <xf numFmtId="0" fontId="0" fillId="6" borderId="6" xfId="0" applyFill="1" applyBorder="1"/>
    <xf numFmtId="166" fontId="0" fillId="6" borderId="11" xfId="0" applyNumberFormat="1" applyFill="1" applyBorder="1"/>
    <xf numFmtId="166" fontId="0" fillId="6" borderId="12" xfId="0" applyNumberFormat="1" applyFill="1" applyBorder="1"/>
    <xf numFmtId="0" fontId="1" fillId="0" borderId="16" xfId="0" applyFont="1" applyFill="1" applyBorder="1"/>
    <xf numFmtId="165" fontId="0" fillId="0" borderId="26" xfId="0" applyNumberFormat="1" applyBorder="1"/>
    <xf numFmtId="165" fontId="0" fillId="0" borderId="27" xfId="0" applyNumberFormat="1" applyBorder="1"/>
    <xf numFmtId="166" fontId="0" fillId="0" borderId="0" xfId="0" applyNumberFormat="1" applyBorder="1"/>
    <xf numFmtId="167" fontId="0" fillId="0" borderId="9" xfId="0" applyNumberFormat="1" applyBorder="1"/>
    <xf numFmtId="3" fontId="0" fillId="3" borderId="10" xfId="0" applyNumberFormat="1" applyFill="1" applyBorder="1"/>
    <xf numFmtId="167" fontId="0" fillId="0" borderId="10" xfId="0" applyNumberFormat="1" applyBorder="1"/>
    <xf numFmtId="167" fontId="0" fillId="0" borderId="11" xfId="0" applyNumberFormat="1" applyBorder="1"/>
    <xf numFmtId="167" fontId="0" fillId="0" borderId="12" xfId="0" applyNumberFormat="1" applyBorder="1"/>
    <xf numFmtId="3" fontId="0" fillId="0" borderId="0" xfId="0" applyNumberFormat="1" applyFill="1" applyBorder="1" applyProtection="1"/>
    <xf numFmtId="0" fontId="0" fillId="0" borderId="0" xfId="0" applyFill="1"/>
    <xf numFmtId="3" fontId="0" fillId="0" borderId="0" xfId="0" applyNumberFormat="1" applyFill="1" applyBorder="1" applyProtection="1">
      <protection locked="0"/>
    </xf>
    <xf numFmtId="10" fontId="0" fillId="0" borderId="0" xfId="0" applyNumberFormat="1" applyFill="1" applyBorder="1" applyProtection="1">
      <protection locked="0"/>
    </xf>
    <xf numFmtId="0" fontId="0" fillId="0" borderId="13" xfId="0" applyFill="1" applyBorder="1" applyProtection="1">
      <protection locked="0"/>
    </xf>
    <xf numFmtId="166" fontId="0" fillId="0" borderId="0" xfId="0" applyNumberFormat="1" applyFill="1" applyBorder="1"/>
    <xf numFmtId="0" fontId="0" fillId="0" borderId="7" xfId="0" applyFill="1" applyBorder="1"/>
    <xf numFmtId="166" fontId="0" fillId="3" borderId="12" xfId="0" applyNumberFormat="1" applyFill="1" applyBorder="1"/>
    <xf numFmtId="166" fontId="0" fillId="0" borderId="13" xfId="0" applyNumberFormat="1" applyBorder="1"/>
    <xf numFmtId="3" fontId="0" fillId="0" borderId="9" xfId="0" applyNumberFormat="1" applyFill="1" applyBorder="1" applyProtection="1">
      <protection locked="0"/>
    </xf>
    <xf numFmtId="166" fontId="0" fillId="0" borderId="26" xfId="0" applyNumberFormat="1" applyBorder="1"/>
    <xf numFmtId="0" fontId="0" fillId="3" borderId="10" xfId="0" applyFill="1" applyBorder="1"/>
    <xf numFmtId="0" fontId="0" fillId="0" borderId="24" xfId="0" applyBorder="1"/>
    <xf numFmtId="166" fontId="0" fillId="0" borderId="27" xfId="0" applyNumberFormat="1" applyBorder="1"/>
    <xf numFmtId="0" fontId="0" fillId="2" borderId="29" xfId="0" applyFill="1" applyBorder="1"/>
    <xf numFmtId="0" fontId="0" fillId="3" borderId="21" xfId="0" applyFill="1" applyBorder="1"/>
    <xf numFmtId="0" fontId="0" fillId="0" borderId="28" xfId="0" applyBorder="1"/>
    <xf numFmtId="164" fontId="0" fillId="4" borderId="10" xfId="0" applyNumberFormat="1" applyFill="1" applyBorder="1"/>
    <xf numFmtId="164" fontId="0" fillId="4" borderId="11" xfId="0" applyNumberFormat="1" applyFill="1" applyBorder="1"/>
    <xf numFmtId="164" fontId="0" fillId="4" borderId="12" xfId="0" applyNumberFormat="1" applyFill="1" applyBorder="1"/>
    <xf numFmtId="0" fontId="0" fillId="0" borderId="30" xfId="0" applyBorder="1"/>
    <xf numFmtId="0" fontId="0" fillId="5" borderId="0" xfId="0" applyFill="1"/>
    <xf numFmtId="1" fontId="0" fillId="0" borderId="9" xfId="0" applyNumberFormat="1" applyBorder="1"/>
    <xf numFmtId="0" fontId="0" fillId="5" borderId="9" xfId="0" applyFill="1" applyBorder="1"/>
    <xf numFmtId="3" fontId="0" fillId="0" borderId="0" xfId="0" applyNumberFormat="1"/>
    <xf numFmtId="0" fontId="0" fillId="0" borderId="31" xfId="0" applyBorder="1"/>
    <xf numFmtId="0" fontId="0" fillId="0" borderId="32" xfId="0" applyBorder="1"/>
    <xf numFmtId="0" fontId="0" fillId="0" borderId="32" xfId="0" applyBorder="1" applyAlignment="1">
      <alignment wrapText="1"/>
    </xf>
    <xf numFmtId="3" fontId="0" fillId="0" borderId="32" xfId="0" applyNumberFormat="1" applyBorder="1"/>
    <xf numFmtId="0" fontId="0" fillId="0" borderId="25" xfId="0" applyBorder="1"/>
    <xf numFmtId="0" fontId="0" fillId="7" borderId="0" xfId="0" applyFill="1"/>
    <xf numFmtId="3" fontId="0" fillId="7" borderId="0" xfId="0" applyNumberFormat="1" applyFill="1"/>
    <xf numFmtId="3" fontId="0" fillId="5" borderId="0" xfId="0" applyNumberFormat="1" applyFill="1"/>
    <xf numFmtId="0" fontId="0" fillId="0" borderId="33" xfId="0" applyBorder="1"/>
    <xf numFmtId="0" fontId="0" fillId="0" borderId="34" xfId="0" applyBorder="1"/>
    <xf numFmtId="0" fontId="0" fillId="7" borderId="34" xfId="0" applyFill="1" applyBorder="1"/>
    <xf numFmtId="0" fontId="0" fillId="5" borderId="34" xfId="0" applyFill="1" applyBorder="1"/>
    <xf numFmtId="0" fontId="0" fillId="7" borderId="9" xfId="0" applyFill="1" applyBorder="1"/>
    <xf numFmtId="4" fontId="0" fillId="0" borderId="26" xfId="0" applyNumberFormat="1" applyFill="1" applyBorder="1"/>
    <xf numFmtId="4" fontId="0" fillId="0" borderId="27" xfId="0" applyNumberFormat="1" applyFill="1" applyBorder="1"/>
    <xf numFmtId="3" fontId="0" fillId="4" borderId="26" xfId="0" applyNumberFormat="1" applyFill="1" applyBorder="1" applyProtection="1">
      <protection locked="0"/>
    </xf>
    <xf numFmtId="3" fontId="0" fillId="0" borderId="26" xfId="0" applyNumberFormat="1" applyBorder="1"/>
    <xf numFmtId="3" fontId="0" fillId="0" borderId="27" xfId="0" applyNumberFormat="1" applyBorder="1"/>
    <xf numFmtId="0" fontId="0" fillId="8" borderId="4" xfId="0" applyFill="1" applyBorder="1"/>
    <xf numFmtId="10" fontId="0" fillId="8" borderId="9" xfId="0" applyNumberFormat="1" applyFill="1" applyBorder="1"/>
    <xf numFmtId="10" fontId="0" fillId="8" borderId="10" xfId="0" applyNumberFormat="1" applyFill="1" applyBorder="1"/>
    <xf numFmtId="0" fontId="0" fillId="8" borderId="6" xfId="0" applyFill="1" applyBorder="1"/>
    <xf numFmtId="10" fontId="0" fillId="8" borderId="11" xfId="0" applyNumberFormat="1" applyFill="1" applyBorder="1"/>
    <xf numFmtId="10" fontId="0" fillId="8" borderId="12" xfId="0" applyNumberFormat="1" applyFill="1" applyBorder="1"/>
    <xf numFmtId="3" fontId="0" fillId="0" borderId="11" xfId="0" applyNumberFormat="1" applyFill="1" applyBorder="1" applyProtection="1">
      <protection locked="0"/>
    </xf>
    <xf numFmtId="3" fontId="0" fillId="4" borderId="10" xfId="0" applyNumberFormat="1" applyFill="1" applyBorder="1" applyProtection="1"/>
    <xf numFmtId="3" fontId="0" fillId="4" borderId="21" xfId="0" applyNumberFormat="1" applyFill="1" applyBorder="1"/>
    <xf numFmtId="10" fontId="0" fillId="8" borderId="9" xfId="0" applyNumberFormat="1" applyFill="1" applyBorder="1" applyProtection="1">
      <protection locked="0"/>
    </xf>
    <xf numFmtId="10" fontId="0" fillId="8" borderId="10" xfId="0" applyNumberFormat="1" applyFill="1" applyBorder="1" applyProtection="1">
      <protection locked="0"/>
    </xf>
    <xf numFmtId="0" fontId="0" fillId="8" borderId="9" xfId="0" applyFill="1" applyBorder="1"/>
    <xf numFmtId="10" fontId="0" fillId="8" borderId="9" xfId="0" applyNumberFormat="1" applyFill="1" applyBorder="1" applyProtection="1"/>
    <xf numFmtId="10" fontId="0" fillId="8" borderId="10" xfId="0" applyNumberFormat="1" applyFill="1" applyBorder="1" applyProtection="1"/>
    <xf numFmtId="166" fontId="0" fillId="0" borderId="9" xfId="0" applyNumberFormat="1" applyFill="1" applyBorder="1" applyProtection="1">
      <protection locked="0"/>
    </xf>
    <xf numFmtId="166" fontId="0" fillId="0" borderId="0" xfId="0" applyNumberFormat="1"/>
    <xf numFmtId="2" fontId="0" fillId="0" borderId="0" xfId="0" applyNumberFormat="1" applyFill="1" applyBorder="1"/>
    <xf numFmtId="9" fontId="0" fillId="0" borderId="11" xfId="0" applyNumberFormat="1" applyFill="1" applyBorder="1"/>
    <xf numFmtId="2" fontId="0" fillId="0" borderId="2" xfId="0" applyNumberFormat="1" applyFill="1" applyBorder="1"/>
    <xf numFmtId="166" fontId="0" fillId="0" borderId="13" xfId="0" applyNumberFormat="1" applyFill="1" applyBorder="1"/>
    <xf numFmtId="9" fontId="0" fillId="0" borderId="36" xfId="0" applyNumberFormat="1" applyFill="1" applyBorder="1"/>
    <xf numFmtId="164" fontId="0" fillId="0" borderId="5" xfId="0" applyNumberFormat="1" applyFill="1" applyBorder="1"/>
    <xf numFmtId="164" fontId="0" fillId="0" borderId="37" xfId="0" applyNumberFormat="1" applyFill="1" applyBorder="1"/>
    <xf numFmtId="9" fontId="0" fillId="0" borderId="38" xfId="0" applyNumberFormat="1" applyFill="1" applyBorder="1"/>
    <xf numFmtId="3" fontId="0" fillId="3" borderId="12" xfId="0" applyNumberFormat="1" applyFill="1" applyBorder="1"/>
    <xf numFmtId="166" fontId="0" fillId="3" borderId="10" xfId="0" applyNumberFormat="1" applyFill="1" applyBorder="1" applyProtection="1">
      <protection locked="0"/>
    </xf>
    <xf numFmtId="166" fontId="0" fillId="3" borderId="12" xfId="0" applyNumberFormat="1" applyFill="1" applyBorder="1" applyProtection="1">
      <protection locked="0"/>
    </xf>
    <xf numFmtId="166" fontId="0" fillId="0" borderId="10" xfId="0" applyNumberFormat="1" applyFill="1" applyBorder="1" applyAlignment="1">
      <alignment horizontal="right"/>
    </xf>
    <xf numFmtId="165" fontId="0" fillId="0" borderId="0" xfId="0" applyNumberFormat="1" applyBorder="1"/>
    <xf numFmtId="164" fontId="0" fillId="0" borderId="9" xfId="0" applyNumberFormat="1" applyFill="1" applyBorder="1"/>
    <xf numFmtId="0" fontId="0" fillId="0" borderId="18" xfId="0" applyFill="1" applyBorder="1"/>
    <xf numFmtId="0" fontId="0" fillId="0" borderId="39" xfId="0" applyBorder="1" applyAlignment="1">
      <alignment horizontal="right"/>
    </xf>
    <xf numFmtId="3" fontId="0" fillId="0" borderId="40" xfId="0" applyNumberFormat="1" applyBorder="1"/>
    <xf numFmtId="3" fontId="0" fillId="0" borderId="41" xfId="0" applyNumberFormat="1" applyBorder="1"/>
    <xf numFmtId="166" fontId="0" fillId="0" borderId="9" xfId="0" applyNumberFormat="1" applyFill="1" applyBorder="1" applyProtection="1"/>
    <xf numFmtId="166" fontId="0" fillId="0" borderId="10" xfId="0" applyNumberFormat="1" applyFill="1" applyBorder="1" applyProtection="1"/>
    <xf numFmtId="0" fontId="0" fillId="0" borderId="0" xfId="0" applyBorder="1" applyAlignment="1">
      <alignment horizontal="right"/>
    </xf>
    <xf numFmtId="0" fontId="0" fillId="0" borderId="9" xfId="0" applyBorder="1" applyAlignment="1">
      <alignment horizontal="right"/>
    </xf>
    <xf numFmtId="168" fontId="0" fillId="0" borderId="9" xfId="0" applyNumberFormat="1" applyBorder="1"/>
    <xf numFmtId="168" fontId="0" fillId="0" borderId="10" xfId="0" applyNumberFormat="1" applyBorder="1"/>
    <xf numFmtId="0" fontId="0" fillId="0" borderId="26" xfId="0" applyBorder="1"/>
    <xf numFmtId="164" fontId="0" fillId="0" borderId="26" xfId="0" applyNumberFormat="1" applyBorder="1"/>
    <xf numFmtId="164" fontId="0" fillId="0" borderId="27" xfId="0" applyNumberFormat="1" applyBorder="1"/>
    <xf numFmtId="9" fontId="0" fillId="0" borderId="10" xfId="0" applyNumberFormat="1" applyBorder="1"/>
    <xf numFmtId="9" fontId="0" fillId="0" borderId="12" xfId="0" applyNumberFormat="1" applyBorder="1"/>
    <xf numFmtId="0" fontId="0" fillId="0" borderId="1" xfId="0" applyFill="1" applyBorder="1"/>
    <xf numFmtId="166" fontId="0" fillId="0" borderId="2" xfId="0" applyNumberFormat="1" applyBorder="1"/>
    <xf numFmtId="166" fontId="0" fillId="0" borderId="43" xfId="0" applyNumberFormat="1" applyBorder="1"/>
    <xf numFmtId="9" fontId="0" fillId="0" borderId="44" xfId="0" applyNumberFormat="1" applyBorder="1"/>
    <xf numFmtId="1" fontId="0" fillId="8" borderId="9" xfId="0" applyNumberFormat="1" applyFill="1" applyBorder="1"/>
    <xf numFmtId="1" fontId="0" fillId="0" borderId="10" xfId="0" applyNumberFormat="1" applyBorder="1"/>
    <xf numFmtId="0" fontId="0" fillId="0" borderId="26" xfId="0" applyFill="1" applyBorder="1"/>
    <xf numFmtId="1" fontId="0" fillId="8" borderId="10" xfId="0" applyNumberFormat="1" applyFill="1" applyBorder="1"/>
    <xf numFmtId="1" fontId="0" fillId="0" borderId="11" xfId="0" applyNumberFormat="1" applyFill="1" applyBorder="1"/>
    <xf numFmtId="166" fontId="0" fillId="0" borderId="45" xfId="0" applyNumberFormat="1" applyBorder="1"/>
    <xf numFmtId="9" fontId="0" fillId="9" borderId="9" xfId="0" applyNumberFormat="1" applyFill="1" applyBorder="1"/>
    <xf numFmtId="9" fontId="0" fillId="9" borderId="10" xfId="0" applyNumberFormat="1" applyFill="1" applyBorder="1"/>
    <xf numFmtId="1" fontId="0" fillId="0" borderId="26" xfId="0" applyNumberFormat="1" applyBorder="1"/>
    <xf numFmtId="1" fontId="0" fillId="0" borderId="27" xfId="0" applyNumberFormat="1" applyBorder="1"/>
    <xf numFmtId="1" fontId="0" fillId="0" borderId="12" xfId="0" applyNumberFormat="1" applyFill="1" applyBorder="1"/>
    <xf numFmtId="2" fontId="0" fillId="0" borderId="0" xfId="0" applyNumberFormat="1" applyBorder="1"/>
    <xf numFmtId="9" fontId="0" fillId="0" borderId="9" xfId="0" applyNumberFormat="1" applyFill="1" applyBorder="1"/>
    <xf numFmtId="9" fontId="0" fillId="4" borderId="9" xfId="0" applyNumberFormat="1" applyFill="1" applyBorder="1"/>
    <xf numFmtId="9" fontId="0" fillId="0" borderId="10" xfId="0" applyNumberFormat="1" applyFill="1" applyBorder="1"/>
    <xf numFmtId="0" fontId="1" fillId="0" borderId="2" xfId="0" applyFont="1" applyBorder="1"/>
    <xf numFmtId="0" fontId="0" fillId="8" borderId="42" xfId="0" applyFill="1" applyBorder="1"/>
    <xf numFmtId="164" fontId="0" fillId="8" borderId="42" xfId="0" applyNumberFormat="1" applyFill="1" applyBorder="1"/>
    <xf numFmtId="164" fontId="0" fillId="8" borderId="23" xfId="0" applyNumberFormat="1" applyFill="1" applyBorder="1"/>
    <xf numFmtId="0" fontId="1" fillId="0" borderId="6" xfId="0" applyFont="1" applyBorder="1"/>
    <xf numFmtId="0" fontId="0" fillId="8" borderId="11" xfId="0" applyFill="1" applyBorder="1"/>
    <xf numFmtId="164" fontId="0" fillId="8" borderId="11" xfId="0" applyNumberFormat="1" applyFill="1" applyBorder="1"/>
    <xf numFmtId="164" fontId="0" fillId="8" borderId="12" xfId="0" applyNumberFormat="1" applyFill="1" applyBorder="1"/>
    <xf numFmtId="4" fontId="0" fillId="0" borderId="9" xfId="0" applyNumberFormat="1" applyBorder="1"/>
    <xf numFmtId="4" fontId="0" fillId="0" borderId="10" xfId="0" applyNumberFormat="1" applyBorder="1"/>
    <xf numFmtId="164" fontId="0" fillId="0" borderId="10" xfId="0" applyNumberFormat="1" applyFill="1" applyBorder="1"/>
    <xf numFmtId="10" fontId="0" fillId="0" borderId="11" xfId="0" applyNumberFormat="1" applyBorder="1"/>
    <xf numFmtId="10" fontId="0" fillId="0" borderId="12" xfId="0" applyNumberFormat="1" applyBorder="1"/>
    <xf numFmtId="3" fontId="0" fillId="0" borderId="10" xfId="0" applyNumberFormat="1" applyFill="1" applyBorder="1" applyProtection="1">
      <protection locked="0"/>
    </xf>
    <xf numFmtId="3" fontId="0" fillId="0" borderId="12" xfId="0" applyNumberFormat="1" applyFill="1" applyBorder="1" applyProtection="1">
      <protection locked="0"/>
    </xf>
    <xf numFmtId="166" fontId="0" fillId="0" borderId="10" xfId="0" applyNumberFormat="1" applyFill="1" applyBorder="1" applyProtection="1">
      <protection locked="0"/>
    </xf>
    <xf numFmtId="0" fontId="0" fillId="10" borderId="0" xfId="0" applyFill="1"/>
    <xf numFmtId="3" fontId="0" fillId="10" borderId="0" xfId="0" applyNumberFormat="1" applyFill="1"/>
    <xf numFmtId="0" fontId="0" fillId="10" borderId="9" xfId="0" applyFill="1" applyBorder="1"/>
    <xf numFmtId="0" fontId="0" fillId="10" borderId="18" xfId="0" applyFill="1" applyBorder="1"/>
    <xf numFmtId="3" fontId="0" fillId="10" borderId="18" xfId="0" applyNumberFormat="1" applyFill="1" applyBorder="1"/>
    <xf numFmtId="0" fontId="0" fillId="10" borderId="35" xfId="0" applyFill="1" applyBorder="1"/>
    <xf numFmtId="164" fontId="0" fillId="4" borderId="9" xfId="0" applyNumberFormat="1" applyFill="1" applyBorder="1"/>
    <xf numFmtId="165" fontId="0" fillId="4" borderId="9" xfId="0" applyNumberFormat="1" applyFill="1" applyBorder="1"/>
    <xf numFmtId="167" fontId="0" fillId="4" borderId="9" xfId="0" applyNumberFormat="1" applyFill="1" applyBorder="1" applyProtection="1">
      <protection locked="0"/>
    </xf>
    <xf numFmtId="165" fontId="0" fillId="4" borderId="9" xfId="0" applyNumberFormat="1" applyFill="1" applyBorder="1" applyProtection="1">
      <protection locked="0"/>
    </xf>
    <xf numFmtId="4" fontId="0" fillId="4" borderId="9" xfId="0" applyNumberFormat="1" applyFill="1" applyBorder="1" applyAlignment="1" applyProtection="1">
      <alignment horizontal="right"/>
      <protection locked="0"/>
    </xf>
    <xf numFmtId="4" fontId="0" fillId="4" borderId="11" xfId="0" applyNumberFormat="1" applyFill="1" applyBorder="1" applyAlignment="1" applyProtection="1">
      <alignment horizontal="right"/>
      <protection locked="0"/>
    </xf>
    <xf numFmtId="3" fontId="0" fillId="3" borderId="9" xfId="0" applyNumberFormat="1" applyFill="1" applyBorder="1" applyProtection="1">
      <protection locked="0"/>
    </xf>
    <xf numFmtId="3" fontId="0" fillId="3" borderId="9" xfId="0" applyNumberFormat="1" applyFill="1" applyBorder="1"/>
    <xf numFmtId="0" fontId="0" fillId="3" borderId="9" xfId="0" applyFill="1" applyBorder="1"/>
    <xf numFmtId="0" fontId="0" fillId="3" borderId="25" xfId="0" applyFill="1" applyBorder="1" applyProtection="1">
      <protection locked="0"/>
    </xf>
    <xf numFmtId="3" fontId="0" fillId="3" borderId="11" xfId="0" applyNumberFormat="1" applyFill="1" applyBorder="1"/>
    <xf numFmtId="166" fontId="0" fillId="3" borderId="9" xfId="0" applyNumberFormat="1" applyFill="1" applyBorder="1" applyProtection="1">
      <protection locked="0"/>
    </xf>
    <xf numFmtId="0" fontId="0" fillId="3" borderId="17" xfId="0" applyFill="1" applyBorder="1"/>
    <xf numFmtId="166" fontId="0" fillId="3" borderId="11" xfId="0" applyNumberFormat="1" applyFill="1" applyBorder="1" applyProtection="1">
      <protection locked="0"/>
    </xf>
    <xf numFmtId="0" fontId="0" fillId="3" borderId="14" xfId="0" applyFill="1" applyBorder="1" applyProtection="1">
      <protection locked="0"/>
    </xf>
    <xf numFmtId="166" fontId="0" fillId="3" borderId="9" xfId="0" applyNumberFormat="1" applyFill="1" applyBorder="1"/>
    <xf numFmtId="166" fontId="0" fillId="3" borderId="11" xfId="0" applyNumberFormat="1" applyFill="1" applyBorder="1"/>
    <xf numFmtId="165" fontId="0" fillId="4" borderId="10" xfId="0" applyNumberFormat="1" applyFill="1" applyBorder="1"/>
    <xf numFmtId="10" fontId="0" fillId="3" borderId="9" xfId="0" applyNumberFormat="1" applyFill="1" applyBorder="1" applyProtection="1">
      <protection locked="0"/>
    </xf>
    <xf numFmtId="10" fontId="0" fillId="3" borderId="10" xfId="0" applyNumberFormat="1" applyFill="1" applyBorder="1" applyProtection="1">
      <protection locked="0"/>
    </xf>
    <xf numFmtId="10" fontId="0" fillId="3" borderId="11" xfId="0" applyNumberFormat="1" applyFill="1" applyBorder="1" applyProtection="1">
      <protection locked="0"/>
    </xf>
    <xf numFmtId="10" fontId="0" fillId="3" borderId="12" xfId="0" applyNumberFormat="1" applyFill="1" applyBorder="1" applyProtection="1">
      <protection locked="0"/>
    </xf>
    <xf numFmtId="4" fontId="0" fillId="4" borderId="10" xfId="0" applyNumberFormat="1" applyFill="1" applyBorder="1" applyAlignment="1" applyProtection="1">
      <alignment horizontal="right"/>
      <protection locked="0"/>
    </xf>
    <xf numFmtId="4" fontId="0" fillId="4" borderId="12" xfId="0" applyNumberFormat="1" applyFill="1" applyBorder="1" applyAlignment="1" applyProtection="1">
      <alignment horizontal="right"/>
      <protection locked="0"/>
    </xf>
    <xf numFmtId="165" fontId="0" fillId="4" borderId="10" xfId="0" applyNumberFormat="1" applyFill="1" applyBorder="1" applyProtection="1">
      <protection locked="0"/>
    </xf>
    <xf numFmtId="164" fontId="0" fillId="4" borderId="9" xfId="0" applyNumberFormat="1" applyFill="1" applyBorder="1" applyProtection="1">
      <protection locked="0"/>
    </xf>
    <xf numFmtId="164" fontId="0" fillId="4" borderId="9" xfId="0" applyNumberFormat="1" applyFill="1" applyBorder="1" applyProtection="1"/>
    <xf numFmtId="164" fontId="0" fillId="4" borderId="10" xfId="0" applyNumberFormat="1" applyFill="1" applyBorder="1" applyProtection="1"/>
    <xf numFmtId="164" fontId="0" fillId="4" borderId="10" xfId="0" applyNumberFormat="1" applyFill="1" applyBorder="1" applyProtection="1">
      <protection locked="0"/>
    </xf>
    <xf numFmtId="3" fontId="0" fillId="4" borderId="9" xfId="0" applyNumberFormat="1" applyFill="1" applyBorder="1" applyProtection="1"/>
    <xf numFmtId="3" fontId="0" fillId="4" borderId="17" xfId="0" applyNumberFormat="1" applyFill="1" applyBorder="1"/>
    <xf numFmtId="3" fontId="0" fillId="4" borderId="10" xfId="0" applyNumberFormat="1" applyFill="1" applyBorder="1" applyProtection="1">
      <protection locked="0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123825</xdr:colOff>
      <xdr:row>0</xdr:row>
      <xdr:rowOff>0</xdr:rowOff>
    </xdr:from>
    <xdr:to>
      <xdr:col>19</xdr:col>
      <xdr:colOff>428625</xdr:colOff>
      <xdr:row>30</xdr:row>
      <xdr:rowOff>0</xdr:rowOff>
    </xdr:to>
    <xdr:pic>
      <xdr:nvPicPr>
        <xdr:cNvPr id="2" name="Immagine 1">
          <a:extLst>
            <a:ext uri="{FF2B5EF4-FFF2-40B4-BE49-F238E27FC236}">
              <a16:creationId xmlns:a16="http://schemas.microsoft.com/office/drawing/2014/main" id="{9D0D0CDE-FE4B-4B1A-83C3-0869FA9242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57725" y="0"/>
          <a:ext cx="8077200" cy="5429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F83E5-FD01-4868-8EEB-BE00FB01121D}">
  <dimension ref="B2:AA89"/>
  <sheetViews>
    <sheetView tabSelected="1" zoomScale="80" zoomScaleNormal="80" workbookViewId="0">
      <selection activeCell="Q38" sqref="Q38"/>
    </sheetView>
  </sheetViews>
  <sheetFormatPr defaultRowHeight="14.25" x14ac:dyDescent="0.45"/>
  <cols>
    <col min="2" max="2" width="22.1328125" customWidth="1"/>
    <col min="3" max="3" width="14.59765625" customWidth="1"/>
    <col min="4" max="4" width="13.6640625" customWidth="1"/>
    <col min="5" max="5" width="13.73046875" customWidth="1"/>
    <col min="6" max="6" width="14.06640625" customWidth="1"/>
    <col min="7" max="7" width="15.265625" customWidth="1"/>
    <col min="8" max="8" width="12.9296875" customWidth="1"/>
    <col min="9" max="9" width="13" customWidth="1"/>
    <col min="10" max="10" width="20.33203125" customWidth="1"/>
    <col min="11" max="11" width="13.1328125" customWidth="1"/>
    <col min="12" max="13" width="14.06640625" customWidth="1"/>
    <col min="14" max="14" width="13.33203125" customWidth="1"/>
    <col min="15" max="15" width="14" customWidth="1"/>
    <col min="16" max="16" width="14" style="145" customWidth="1"/>
    <col min="17" max="17" width="15.9296875" customWidth="1"/>
    <col min="18" max="18" width="25.3984375" customWidth="1"/>
    <col min="19" max="19" width="17.46484375" customWidth="1"/>
    <col min="20" max="20" width="18.265625" customWidth="1"/>
    <col min="21" max="21" width="19.265625" customWidth="1"/>
    <col min="22" max="22" width="19.06640625" customWidth="1"/>
    <col min="23" max="23" width="16.3984375" customWidth="1"/>
    <col min="24" max="24" width="13.46484375" customWidth="1"/>
  </cols>
  <sheetData>
    <row r="2" spans="2:23" ht="14.65" thickBot="1" x14ac:dyDescent="0.5"/>
    <row r="3" spans="2:23" x14ac:dyDescent="0.45">
      <c r="B3" s="23" t="s">
        <v>56</v>
      </c>
      <c r="C3" s="3" t="s">
        <v>5</v>
      </c>
      <c r="D3" s="3" t="s">
        <v>6</v>
      </c>
      <c r="E3" s="3" t="s">
        <v>7</v>
      </c>
      <c r="F3" s="3" t="s">
        <v>8</v>
      </c>
      <c r="G3" s="4" t="s">
        <v>9</v>
      </c>
      <c r="J3" s="23" t="s">
        <v>112</v>
      </c>
      <c r="K3" s="15" t="s">
        <v>5</v>
      </c>
      <c r="L3" s="15" t="s">
        <v>6</v>
      </c>
      <c r="M3" s="15" t="s">
        <v>7</v>
      </c>
      <c r="N3" s="15" t="s">
        <v>8</v>
      </c>
      <c r="O3" s="16" t="s">
        <v>9</v>
      </c>
      <c r="P3" s="14"/>
      <c r="R3" s="24" t="s">
        <v>76</v>
      </c>
      <c r="S3" s="29"/>
      <c r="T3" s="13"/>
      <c r="U3" s="13"/>
      <c r="V3" s="13"/>
      <c r="W3" s="12"/>
    </row>
    <row r="4" spans="2:23" x14ac:dyDescent="0.45">
      <c r="B4" s="5"/>
      <c r="C4" s="1"/>
      <c r="D4" s="1"/>
      <c r="E4" s="1"/>
      <c r="F4" s="1"/>
      <c r="G4" s="6"/>
      <c r="J4" s="5"/>
      <c r="K4" s="19"/>
      <c r="L4" s="19"/>
      <c r="M4" s="19"/>
      <c r="N4" s="19"/>
      <c r="O4" s="30"/>
      <c r="P4" s="19"/>
      <c r="R4" s="25"/>
      <c r="S4" s="19" t="s">
        <v>5</v>
      </c>
      <c r="T4" s="1" t="s">
        <v>6</v>
      </c>
      <c r="U4" s="1" t="s">
        <v>7</v>
      </c>
      <c r="V4" s="1" t="s">
        <v>8</v>
      </c>
      <c r="W4" s="6" t="s">
        <v>9</v>
      </c>
    </row>
    <row r="5" spans="2:23" x14ac:dyDescent="0.45">
      <c r="B5" s="5" t="s">
        <v>39</v>
      </c>
      <c r="C5" s="35">
        <f>S49</f>
        <v>88673.817777777775</v>
      </c>
      <c r="D5" s="35">
        <f>T49</f>
        <v>104000</v>
      </c>
      <c r="E5" s="35">
        <f>U49</f>
        <v>23695.564836679216</v>
      </c>
      <c r="F5" s="35">
        <f>V49</f>
        <v>66967.039607765211</v>
      </c>
      <c r="G5" s="40">
        <f>W49</f>
        <v>157073.53188171698</v>
      </c>
      <c r="J5" s="20" t="s">
        <v>97</v>
      </c>
      <c r="K5" s="82">
        <v>400547</v>
      </c>
      <c r="L5" s="82">
        <f>'Demand forecast'!C72</f>
        <v>390435.09669772699</v>
      </c>
      <c r="M5" s="82">
        <f>'Demand forecast'!D73</f>
        <v>821626.13669534586</v>
      </c>
      <c r="N5" s="82">
        <v>174428</v>
      </c>
      <c r="O5" s="83">
        <f>'Demand forecast'!F75</f>
        <v>386763.49183465791</v>
      </c>
      <c r="P5" s="146"/>
      <c r="R5" s="26" t="s">
        <v>10</v>
      </c>
      <c r="S5" s="277">
        <v>1.02</v>
      </c>
      <c r="T5" s="277">
        <v>1.06</v>
      </c>
      <c r="U5" s="277">
        <v>2.06</v>
      </c>
      <c r="V5" s="277">
        <v>1.02</v>
      </c>
      <c r="W5" s="295">
        <v>0.95</v>
      </c>
    </row>
    <row r="6" spans="2:23" x14ac:dyDescent="0.45">
      <c r="B6" s="32" t="s">
        <v>44</v>
      </c>
      <c r="C6" s="279">
        <v>76000</v>
      </c>
      <c r="D6" s="279">
        <v>94000</v>
      </c>
      <c r="E6" s="279">
        <v>24000</v>
      </c>
      <c r="F6" s="279">
        <v>75000</v>
      </c>
      <c r="G6" s="76">
        <v>135000</v>
      </c>
      <c r="J6" s="5" t="s">
        <v>98</v>
      </c>
      <c r="K6" s="82">
        <v>739605</v>
      </c>
      <c r="L6" s="82">
        <f>'Demand forecast'!K72</f>
        <v>1354071.9307646805</v>
      </c>
      <c r="M6" s="82">
        <f>'Demand forecast'!L73</f>
        <v>398500.67643777205</v>
      </c>
      <c r="N6" s="82">
        <v>1950778</v>
      </c>
      <c r="O6" s="83">
        <f>'Demand forecast'!N75</f>
        <v>837999.45665057481</v>
      </c>
      <c r="P6" s="146"/>
      <c r="R6" s="26" t="s">
        <v>14</v>
      </c>
      <c r="S6" s="277">
        <v>0.14000000000000001</v>
      </c>
      <c r="T6" s="277">
        <v>0.14000000000000001</v>
      </c>
      <c r="U6" s="277">
        <v>0.48</v>
      </c>
      <c r="V6" s="277">
        <v>0.14000000000000001</v>
      </c>
      <c r="W6" s="295">
        <v>0.13</v>
      </c>
    </row>
    <row r="7" spans="2:23" ht="14.65" thickBot="1" x14ac:dyDescent="0.5">
      <c r="B7" s="187" t="s">
        <v>270</v>
      </c>
      <c r="C7" s="188">
        <v>0.75</v>
      </c>
      <c r="D7" s="188">
        <v>0.77</v>
      </c>
      <c r="E7" s="188">
        <v>0.77</v>
      </c>
      <c r="F7" s="188">
        <v>0.77</v>
      </c>
      <c r="G7" s="189">
        <v>0.8</v>
      </c>
      <c r="J7" s="5" t="s">
        <v>99</v>
      </c>
      <c r="K7" s="82">
        <v>96282</v>
      </c>
      <c r="L7" s="82">
        <f>'Demand forecast'!S72</f>
        <v>71588.431497277357</v>
      </c>
      <c r="M7" s="82">
        <f>'Demand forecast'!T73</f>
        <v>128240.69055029514</v>
      </c>
      <c r="N7" s="82">
        <v>109285</v>
      </c>
      <c r="O7" s="83">
        <f>'Demand forecast'!V75</f>
        <v>86115.67333961188</v>
      </c>
      <c r="P7" s="146"/>
      <c r="R7" s="27" t="s">
        <v>77</v>
      </c>
      <c r="S7" s="278">
        <v>2.71</v>
      </c>
      <c r="T7" s="278">
        <v>2.83</v>
      </c>
      <c r="U7" s="278">
        <v>5.55</v>
      </c>
      <c r="V7" s="278">
        <v>2.71</v>
      </c>
      <c r="W7" s="296">
        <v>2.5299999999999998</v>
      </c>
    </row>
    <row r="8" spans="2:23" ht="14.65" thickBot="1" x14ac:dyDescent="0.5">
      <c r="B8" s="32" t="s">
        <v>45</v>
      </c>
      <c r="C8" s="36">
        <f>IF(C9/2*3&lt;0,0,C9/2*3)</f>
        <v>18900</v>
      </c>
      <c r="D8" s="36">
        <f t="shared" ref="D8:G8" si="0">IF(D9/2*3&lt;0,0,D9/2*3)</f>
        <v>0</v>
      </c>
      <c r="E8" s="36">
        <f>IF(E9/2*3&lt;0,0,E9/2*3)</f>
        <v>0</v>
      </c>
      <c r="F8" s="36">
        <f t="shared" si="0"/>
        <v>0</v>
      </c>
      <c r="G8" s="43">
        <f t="shared" si="0"/>
        <v>0</v>
      </c>
      <c r="J8" s="20" t="s">
        <v>100</v>
      </c>
      <c r="K8" s="153">
        <v>250000</v>
      </c>
      <c r="L8" s="153">
        <v>300000</v>
      </c>
      <c r="M8" s="153">
        <v>50000</v>
      </c>
      <c r="N8" s="153">
        <v>200000</v>
      </c>
      <c r="O8" s="264">
        <v>300000</v>
      </c>
      <c r="P8" s="146"/>
    </row>
    <row r="9" spans="2:23" x14ac:dyDescent="0.45">
      <c r="B9" s="5" t="s">
        <v>46</v>
      </c>
      <c r="C9" s="280">
        <v>12600</v>
      </c>
      <c r="D9" s="280">
        <v>0</v>
      </c>
      <c r="E9" s="280">
        <v>0</v>
      </c>
      <c r="F9" s="280">
        <v>0</v>
      </c>
      <c r="G9" s="140">
        <v>0</v>
      </c>
      <c r="J9" s="20" t="s">
        <v>101</v>
      </c>
      <c r="K9" s="153">
        <v>0</v>
      </c>
      <c r="L9" s="153">
        <v>40000</v>
      </c>
      <c r="M9" s="153">
        <v>200000</v>
      </c>
      <c r="N9" s="153">
        <v>200000</v>
      </c>
      <c r="O9" s="264">
        <v>100000</v>
      </c>
      <c r="P9" s="146"/>
      <c r="R9" s="34" t="s">
        <v>50</v>
      </c>
      <c r="S9" s="15" t="s">
        <v>5</v>
      </c>
      <c r="T9" s="15" t="s">
        <v>6</v>
      </c>
      <c r="U9" s="15" t="s">
        <v>7</v>
      </c>
      <c r="V9" s="15" t="s">
        <v>8</v>
      </c>
      <c r="W9" s="16" t="s">
        <v>9</v>
      </c>
    </row>
    <row r="10" spans="2:23" ht="14.65" thickBot="1" x14ac:dyDescent="0.5">
      <c r="B10" s="5" t="s">
        <v>47</v>
      </c>
      <c r="C10" s="36">
        <v>22000</v>
      </c>
      <c r="D10" s="36">
        <f>IF(1/3*C8&lt;0,0,1/3*C8)</f>
        <v>6300</v>
      </c>
      <c r="E10" s="36">
        <f t="shared" ref="E10:G10" si="1">IF(1/3*D8&lt;0,0,1/3*D8)</f>
        <v>0</v>
      </c>
      <c r="F10" s="36">
        <f t="shared" si="1"/>
        <v>0</v>
      </c>
      <c r="G10" s="43">
        <f t="shared" si="1"/>
        <v>0</v>
      </c>
      <c r="J10" s="28" t="s">
        <v>102</v>
      </c>
      <c r="K10" s="193">
        <v>5000</v>
      </c>
      <c r="L10" s="193">
        <v>40000</v>
      </c>
      <c r="M10" s="193">
        <v>5000</v>
      </c>
      <c r="N10" s="193">
        <v>60000</v>
      </c>
      <c r="O10" s="265">
        <v>20000</v>
      </c>
      <c r="P10" s="146"/>
      <c r="R10" s="20"/>
      <c r="S10" s="19"/>
      <c r="T10" s="19"/>
      <c r="U10" s="19"/>
      <c r="V10" s="19"/>
      <c r="W10" s="30"/>
    </row>
    <row r="11" spans="2:23" ht="14.65" thickBot="1" x14ac:dyDescent="0.5">
      <c r="B11" s="187" t="s">
        <v>271</v>
      </c>
      <c r="C11" s="188">
        <v>0.61</v>
      </c>
      <c r="D11" s="188">
        <v>0.62</v>
      </c>
      <c r="E11" s="188">
        <v>0.62</v>
      </c>
      <c r="F11" s="188">
        <v>0.64</v>
      </c>
      <c r="G11" s="189">
        <v>0.62</v>
      </c>
      <c r="R11" s="32" t="s">
        <v>51</v>
      </c>
      <c r="S11" s="279">
        <v>1000000</v>
      </c>
      <c r="T11" s="279">
        <v>3500000</v>
      </c>
      <c r="U11" s="279">
        <v>5000000</v>
      </c>
      <c r="V11" s="279">
        <v>5000000</v>
      </c>
      <c r="W11" s="76">
        <v>5000000</v>
      </c>
    </row>
    <row r="12" spans="2:23" x14ac:dyDescent="0.45">
      <c r="B12" s="5" t="s">
        <v>55</v>
      </c>
      <c r="C12" s="82">
        <v>1000</v>
      </c>
      <c r="D12" s="36">
        <f>C17</f>
        <v>22926.182222222225</v>
      </c>
      <c r="E12" s="36">
        <f>D17</f>
        <v>19226.182222222225</v>
      </c>
      <c r="F12" s="36">
        <f>E17</f>
        <v>19530.61738554301</v>
      </c>
      <c r="G12" s="43">
        <f>F17</f>
        <v>27563.577777777798</v>
      </c>
      <c r="J12" s="23" t="s">
        <v>111</v>
      </c>
      <c r="K12" s="15" t="s">
        <v>5</v>
      </c>
      <c r="L12" s="15" t="s">
        <v>6</v>
      </c>
      <c r="M12" s="15" t="s">
        <v>7</v>
      </c>
      <c r="N12" s="15" t="s">
        <v>8</v>
      </c>
      <c r="O12" s="16" t="s">
        <v>9</v>
      </c>
      <c r="P12" s="14"/>
      <c r="R12" s="20"/>
      <c r="S12" s="31"/>
      <c r="T12" s="31"/>
      <c r="U12" s="31"/>
      <c r="V12" s="31"/>
      <c r="W12" s="33"/>
    </row>
    <row r="13" spans="2:23" x14ac:dyDescent="0.45">
      <c r="B13" s="187" t="s">
        <v>272</v>
      </c>
      <c r="C13" s="188">
        <v>0.68300000000000005</v>
      </c>
      <c r="D13" s="188">
        <v>0.70499999999999996</v>
      </c>
      <c r="E13" s="188">
        <v>0.70499999999999996</v>
      </c>
      <c r="F13" s="188">
        <v>0.70599999999999996</v>
      </c>
      <c r="G13" s="189">
        <v>0.72499999999999998</v>
      </c>
      <c r="J13" s="5"/>
      <c r="K13" s="19"/>
      <c r="L13" s="19"/>
      <c r="M13" s="19"/>
      <c r="N13" s="19"/>
      <c r="O13" s="30"/>
      <c r="P13" s="19"/>
      <c r="R13" s="20" t="s">
        <v>52</v>
      </c>
      <c r="S13" s="36">
        <f>E83</f>
        <v>180</v>
      </c>
      <c r="T13" s="36">
        <f>I83</f>
        <v>180</v>
      </c>
      <c r="U13" s="36">
        <f>M83</f>
        <v>200</v>
      </c>
      <c r="V13" s="36">
        <f>R83</f>
        <v>120</v>
      </c>
      <c r="W13" s="43">
        <f>V83</f>
        <v>120</v>
      </c>
    </row>
    <row r="14" spans="2:23" x14ac:dyDescent="0.45">
      <c r="B14" s="20" t="s">
        <v>298</v>
      </c>
      <c r="C14" s="273">
        <v>64.599999999999994</v>
      </c>
      <c r="D14" s="273">
        <v>64.599999999999994</v>
      </c>
      <c r="E14" s="273">
        <v>84.3</v>
      </c>
      <c r="F14" s="273">
        <v>84.3</v>
      </c>
      <c r="G14" s="161">
        <v>84.6</v>
      </c>
      <c r="J14" s="20" t="s">
        <v>97</v>
      </c>
      <c r="K14" s="291">
        <v>0.188</v>
      </c>
      <c r="L14" s="291">
        <v>0.18</v>
      </c>
      <c r="M14" s="291">
        <v>0.105</v>
      </c>
      <c r="N14" s="291">
        <v>0.16</v>
      </c>
      <c r="O14" s="292">
        <v>0.16</v>
      </c>
      <c r="P14" s="147"/>
      <c r="R14" s="20" t="s">
        <v>54</v>
      </c>
      <c r="S14" s="36">
        <f>F83</f>
        <v>50</v>
      </c>
      <c r="T14" s="36">
        <f>J83</f>
        <v>40</v>
      </c>
      <c r="U14" s="36">
        <f>N83</f>
        <v>40</v>
      </c>
      <c r="V14" s="36">
        <f>S83</f>
        <v>62</v>
      </c>
      <c r="W14" s="43">
        <f>W83</f>
        <v>54</v>
      </c>
    </row>
    <row r="15" spans="2:23" x14ac:dyDescent="0.45">
      <c r="B15" s="5" t="s">
        <v>49</v>
      </c>
      <c r="C15" s="36">
        <f>C6+C9+C10+C12</f>
        <v>111600</v>
      </c>
      <c r="D15" s="36">
        <f>D6+D9+D10+D12</f>
        <v>123226.18222222223</v>
      </c>
      <c r="E15" s="36">
        <f>E6+E9+E10+E12</f>
        <v>43226.182222222225</v>
      </c>
      <c r="F15" s="36">
        <f>F6+F9+F10+F12</f>
        <v>94530.61738554301</v>
      </c>
      <c r="G15" s="43">
        <f>G6+G9+G10+G12</f>
        <v>162563.5777777778</v>
      </c>
      <c r="J15" s="5" t="s">
        <v>98</v>
      </c>
      <c r="K15" s="291">
        <v>0.18</v>
      </c>
      <c r="L15" s="291">
        <v>0.18</v>
      </c>
      <c r="M15" s="291">
        <v>0.16500000000000001</v>
      </c>
      <c r="N15" s="291">
        <v>0.16</v>
      </c>
      <c r="O15" s="292">
        <v>0.23</v>
      </c>
      <c r="P15" s="147"/>
      <c r="R15" s="20" t="s">
        <v>53</v>
      </c>
      <c r="S15" s="39">
        <f>H83</f>
        <v>246250</v>
      </c>
      <c r="T15" s="39">
        <f>L83</f>
        <v>207500</v>
      </c>
      <c r="U15" s="39">
        <f>Q83</f>
        <v>180000</v>
      </c>
      <c r="V15" s="39">
        <f>U83</f>
        <v>193000</v>
      </c>
      <c r="W15" s="46">
        <f>Y83</f>
        <v>178250</v>
      </c>
    </row>
    <row r="16" spans="2:23" x14ac:dyDescent="0.45">
      <c r="B16" s="20" t="s">
        <v>239</v>
      </c>
      <c r="C16" s="35">
        <f>S49</f>
        <v>88673.817777777775</v>
      </c>
      <c r="D16" s="35">
        <f>T49</f>
        <v>104000</v>
      </c>
      <c r="E16" s="35">
        <f>U49</f>
        <v>23695.564836679216</v>
      </c>
      <c r="F16" s="35">
        <f>V49</f>
        <v>66967.039607765211</v>
      </c>
      <c r="G16" s="40">
        <f>W49</f>
        <v>157073.53188171698</v>
      </c>
      <c r="J16" s="5" t="s">
        <v>99</v>
      </c>
      <c r="K16" s="291">
        <v>0.17</v>
      </c>
      <c r="L16" s="291">
        <v>0.18</v>
      </c>
      <c r="M16" s="291">
        <v>0.105</v>
      </c>
      <c r="N16" s="291">
        <v>0.16</v>
      </c>
      <c r="O16" s="292">
        <v>0.16</v>
      </c>
      <c r="P16" s="147"/>
      <c r="R16" s="20" t="s">
        <v>85</v>
      </c>
      <c r="S16" s="182">
        <f>S5*S49+S6*S50+S7*S51</f>
        <v>92886.294133333329</v>
      </c>
      <c r="T16" s="182">
        <f>T5*T49+T6*T50+T7*T51</f>
        <v>189994.63628887001</v>
      </c>
      <c r="U16" s="182">
        <f>U5*U49+U6*U50+U7*U51</f>
        <v>138968.10173289746</v>
      </c>
      <c r="V16" s="182">
        <f>V5*V49+V6*V50+V7*V51</f>
        <v>192607.18600952448</v>
      </c>
      <c r="W16" s="183">
        <f>W5*W49+W6*W50+W7*W51</f>
        <v>177389.95702971437</v>
      </c>
    </row>
    <row r="17" spans="2:23" x14ac:dyDescent="0.45">
      <c r="B17" s="5" t="s">
        <v>48</v>
      </c>
      <c r="C17" s="82">
        <f>C6+C9+C12+C10-C16</f>
        <v>22926.182222222225</v>
      </c>
      <c r="D17" s="82">
        <f>D6+D9+D12+D10-D16</f>
        <v>19226.182222222225</v>
      </c>
      <c r="E17" s="82">
        <f>E6+E9+E12+E10-E16</f>
        <v>19530.61738554301</v>
      </c>
      <c r="F17" s="82">
        <f>F6+F9+F12+F10-F16</f>
        <v>27563.577777777798</v>
      </c>
      <c r="G17" s="83">
        <f>G6+G9+G12+G10-G16</f>
        <v>5490.045896060823</v>
      </c>
      <c r="J17" s="20" t="s">
        <v>100</v>
      </c>
      <c r="K17" s="291">
        <v>0.2</v>
      </c>
      <c r="L17" s="291">
        <v>0.18</v>
      </c>
      <c r="M17" s="291">
        <v>0.2</v>
      </c>
      <c r="N17" s="291">
        <v>0.25</v>
      </c>
      <c r="O17" s="292">
        <v>0.38</v>
      </c>
      <c r="P17" s="147"/>
      <c r="R17" s="20" t="s">
        <v>301</v>
      </c>
      <c r="S17" s="259">
        <f>(K42+K48)*S5+(K43+K49)*S6+(K44+K50)*S7</f>
        <v>39447.294133333329</v>
      </c>
      <c r="T17" s="259">
        <f t="shared" ref="T17:W17" si="2">(L42+L48)*T5+(L43+L49)*T6+(L44+L50)*T7</f>
        <v>111370.63628887004</v>
      </c>
      <c r="U17" s="259">
        <f t="shared" si="2"/>
        <v>93618.101732897427</v>
      </c>
      <c r="V17" s="259">
        <f t="shared" si="2"/>
        <v>77697.186009524477</v>
      </c>
      <c r="W17" s="260">
        <f t="shared" si="2"/>
        <v>64539.957029714336</v>
      </c>
    </row>
    <row r="18" spans="2:23" x14ac:dyDescent="0.45">
      <c r="B18" s="20" t="s">
        <v>113</v>
      </c>
      <c r="C18" s="274">
        <v>99</v>
      </c>
      <c r="D18" s="274">
        <v>99</v>
      </c>
      <c r="E18" s="274">
        <v>99</v>
      </c>
      <c r="F18" s="274">
        <v>99</v>
      </c>
      <c r="G18" s="290">
        <v>99</v>
      </c>
      <c r="J18" s="20" t="s">
        <v>101</v>
      </c>
      <c r="K18" s="291">
        <v>0</v>
      </c>
      <c r="L18" s="291">
        <v>0.18</v>
      </c>
      <c r="M18" s="291">
        <v>0.2</v>
      </c>
      <c r="N18" s="291">
        <v>0.25</v>
      </c>
      <c r="O18" s="292">
        <v>0.35</v>
      </c>
      <c r="P18" s="147"/>
      <c r="R18" s="20" t="s">
        <v>302</v>
      </c>
      <c r="S18" s="259">
        <f>S16-S17</f>
        <v>53439</v>
      </c>
      <c r="T18" s="259">
        <f t="shared" ref="T18:W18" si="3">T16-T17</f>
        <v>78623.999999999971</v>
      </c>
      <c r="U18" s="259">
        <f t="shared" si="3"/>
        <v>45350.000000000029</v>
      </c>
      <c r="V18" s="259">
        <f t="shared" si="3"/>
        <v>114910</v>
      </c>
      <c r="W18" s="260">
        <f t="shared" si="3"/>
        <v>112850.00000000003</v>
      </c>
    </row>
    <row r="19" spans="2:23" ht="14.65" thickBot="1" x14ac:dyDescent="0.5">
      <c r="B19" s="20" t="s">
        <v>114</v>
      </c>
      <c r="C19" s="274">
        <v>55</v>
      </c>
      <c r="D19" s="274">
        <v>50</v>
      </c>
      <c r="E19" s="274">
        <v>50</v>
      </c>
      <c r="F19" s="274">
        <v>50</v>
      </c>
      <c r="G19" s="290">
        <v>50</v>
      </c>
      <c r="J19" s="28" t="s">
        <v>102</v>
      </c>
      <c r="K19" s="293">
        <v>0.18</v>
      </c>
      <c r="L19" s="293">
        <v>0.18</v>
      </c>
      <c r="M19" s="293">
        <v>0.2</v>
      </c>
      <c r="N19" s="293">
        <v>0.35</v>
      </c>
      <c r="O19" s="294">
        <v>0</v>
      </c>
      <c r="P19" s="147"/>
      <c r="R19" s="20" t="s">
        <v>86</v>
      </c>
      <c r="S19" s="80">
        <f>S16/S15</f>
        <v>0.37720322490693736</v>
      </c>
      <c r="T19" s="80">
        <f>T16/T15</f>
        <v>0.91563680139214465</v>
      </c>
      <c r="U19" s="80">
        <f>U16/U15</f>
        <v>0.77204500962720812</v>
      </c>
      <c r="V19" s="80">
        <f>V16/V15</f>
        <v>0.99796469434986779</v>
      </c>
      <c r="W19" s="81">
        <f>W16/W15</f>
        <v>0.99517507450050136</v>
      </c>
    </row>
    <row r="20" spans="2:23" ht="14.65" thickBot="1" x14ac:dyDescent="0.5">
      <c r="B20" s="20" t="s">
        <v>201</v>
      </c>
      <c r="C20" s="95">
        <f>C6*C18</f>
        <v>7524000</v>
      </c>
      <c r="D20" s="95">
        <f>D6*D18</f>
        <v>9306000</v>
      </c>
      <c r="E20" s="95">
        <f>E6*E18</f>
        <v>2376000</v>
      </c>
      <c r="F20" s="95">
        <f>F6*F18</f>
        <v>7425000</v>
      </c>
      <c r="G20" s="98">
        <f>G6*G18</f>
        <v>13365000</v>
      </c>
      <c r="R20" s="190" t="s">
        <v>265</v>
      </c>
      <c r="S20" s="191"/>
      <c r="T20" s="191"/>
      <c r="U20" s="191"/>
      <c r="V20" s="191"/>
      <c r="W20" s="192">
        <f>(V60+0.025+G49)/2</f>
        <v>0.73570000000000002</v>
      </c>
    </row>
    <row r="21" spans="2:23" ht="14.65" thickBot="1" x14ac:dyDescent="0.5">
      <c r="B21" s="20" t="s">
        <v>202</v>
      </c>
      <c r="C21" s="154">
        <f>C8*C19</f>
        <v>1039500</v>
      </c>
      <c r="D21" s="154">
        <f>D8*D19</f>
        <v>0</v>
      </c>
      <c r="E21" s="154">
        <f>E8*E19</f>
        <v>0</v>
      </c>
      <c r="F21" s="154">
        <f>F8*F19</f>
        <v>0</v>
      </c>
      <c r="G21" s="157">
        <f>G8*G19</f>
        <v>0</v>
      </c>
      <c r="J21" s="23" t="s">
        <v>91</v>
      </c>
      <c r="K21" s="15" t="s">
        <v>5</v>
      </c>
      <c r="L21" s="15" t="s">
        <v>6</v>
      </c>
      <c r="M21" s="15" t="s">
        <v>7</v>
      </c>
      <c r="N21" s="15" t="s">
        <v>8</v>
      </c>
      <c r="O21" s="16" t="s">
        <v>9</v>
      </c>
      <c r="P21" s="14"/>
    </row>
    <row r="22" spans="2:23" ht="14.65" thickBot="1" x14ac:dyDescent="0.5">
      <c r="B22" s="28" t="s">
        <v>243</v>
      </c>
      <c r="C22" s="162">
        <f>C12*C14+1/3*C18*(C16-C12)+2/3*C19*(C16-C12)</f>
        <v>6172542.6385185178</v>
      </c>
      <c r="D22" s="162"/>
      <c r="E22" s="162"/>
      <c r="F22" s="162"/>
      <c r="G22" s="163"/>
      <c r="J22" s="5"/>
      <c r="K22" s="19"/>
      <c r="L22" s="19"/>
      <c r="M22" s="19"/>
      <c r="N22" s="19"/>
      <c r="O22" s="30"/>
      <c r="P22" s="19"/>
      <c r="R22" s="10" t="s">
        <v>63</v>
      </c>
      <c r="S22" s="3" t="s">
        <v>5</v>
      </c>
      <c r="T22" s="3" t="s">
        <v>6</v>
      </c>
      <c r="U22" s="3" t="s">
        <v>7</v>
      </c>
      <c r="V22" s="3" t="s">
        <v>8</v>
      </c>
      <c r="W22" s="4" t="s">
        <v>9</v>
      </c>
    </row>
    <row r="23" spans="2:23" ht="14.65" thickBot="1" x14ac:dyDescent="0.5">
      <c r="J23" s="20" t="s">
        <v>97</v>
      </c>
      <c r="K23" s="82">
        <f t="shared" ref="K23:K28" si="4">K5*K14</f>
        <v>75302.835999999996</v>
      </c>
      <c r="L23" s="82">
        <f t="shared" ref="L23:O23" si="5">L5*L14</f>
        <v>70278.31740559086</v>
      </c>
      <c r="M23" s="82">
        <f t="shared" si="5"/>
        <v>86270.744353011309</v>
      </c>
      <c r="N23" s="82">
        <f>N5*N14</f>
        <v>27908.48</v>
      </c>
      <c r="O23" s="83">
        <f t="shared" si="5"/>
        <v>61882.158693545265</v>
      </c>
      <c r="P23" s="144"/>
      <c r="R23" s="5"/>
      <c r="S23" s="1"/>
      <c r="T23" s="1"/>
      <c r="U23" s="1"/>
      <c r="V23" s="1"/>
      <c r="W23" s="6"/>
    </row>
    <row r="24" spans="2:23" x14ac:dyDescent="0.45">
      <c r="B24" s="23" t="s">
        <v>57</v>
      </c>
      <c r="C24" s="15" t="s">
        <v>5</v>
      </c>
      <c r="D24" s="15" t="s">
        <v>6</v>
      </c>
      <c r="E24" s="15" t="s">
        <v>7</v>
      </c>
      <c r="F24" s="15" t="s">
        <v>8</v>
      </c>
      <c r="G24" s="16" t="s">
        <v>9</v>
      </c>
      <c r="J24" s="5" t="s">
        <v>98</v>
      </c>
      <c r="K24" s="82">
        <f t="shared" si="4"/>
        <v>133128.9</v>
      </c>
      <c r="L24" s="82">
        <f t="shared" ref="L24" si="6">L6*L15</f>
        <v>243732.94753764247</v>
      </c>
      <c r="M24" s="82">
        <f>M6*M15</f>
        <v>65752.611612232387</v>
      </c>
      <c r="N24" s="82">
        <f>N6*N15</f>
        <v>312124.48</v>
      </c>
      <c r="O24" s="83">
        <f>O6*O15</f>
        <v>192739.87502963221</v>
      </c>
      <c r="P24" s="144"/>
      <c r="R24" s="20" t="s">
        <v>10</v>
      </c>
      <c r="S24" s="279">
        <v>25000</v>
      </c>
      <c r="T24" s="279">
        <v>0</v>
      </c>
      <c r="U24" s="279"/>
      <c r="V24" s="279"/>
      <c r="W24" s="76">
        <v>21000</v>
      </c>
    </row>
    <row r="25" spans="2:23" x14ac:dyDescent="0.45">
      <c r="B25" s="5"/>
      <c r="C25" s="19"/>
      <c r="D25" s="19"/>
      <c r="E25" s="19"/>
      <c r="F25" s="19"/>
      <c r="G25" s="30"/>
      <c r="J25" s="5" t="s">
        <v>99</v>
      </c>
      <c r="K25" s="82">
        <f t="shared" si="4"/>
        <v>16367.94</v>
      </c>
      <c r="L25" s="82">
        <f>L7*L16</f>
        <v>12885.917669509923</v>
      </c>
      <c r="M25" s="82">
        <f t="shared" ref="M25:O25" si="7">M7*M16</f>
        <v>13465.27250778099</v>
      </c>
      <c r="N25" s="82">
        <f t="shared" si="7"/>
        <v>17485.599999999999</v>
      </c>
      <c r="O25" s="83">
        <f t="shared" si="7"/>
        <v>13778.507734337902</v>
      </c>
      <c r="P25" s="144"/>
      <c r="R25" s="20" t="s">
        <v>14</v>
      </c>
      <c r="S25" s="279">
        <v>35000</v>
      </c>
      <c r="T25" s="279">
        <v>0</v>
      </c>
      <c r="U25" s="279"/>
      <c r="V25" s="279">
        <v>50000</v>
      </c>
      <c r="W25" s="76"/>
    </row>
    <row r="26" spans="2:23" x14ac:dyDescent="0.45">
      <c r="B26" s="5" t="s">
        <v>39</v>
      </c>
      <c r="C26" s="35">
        <f>S50</f>
        <v>0</v>
      </c>
      <c r="D26" s="35">
        <f>T50</f>
        <v>213203.38615293609</v>
      </c>
      <c r="E26" s="35">
        <f>U50</f>
        <v>40000</v>
      </c>
      <c r="F26" s="35">
        <f>V50</f>
        <v>289455.59162484168</v>
      </c>
      <c r="G26" s="40">
        <f>W50</f>
        <v>35000</v>
      </c>
      <c r="J26" s="20" t="s">
        <v>100</v>
      </c>
      <c r="K26" s="82">
        <f t="shared" si="4"/>
        <v>50000</v>
      </c>
      <c r="L26" s="82">
        <f>L8*L17</f>
        <v>54000</v>
      </c>
      <c r="M26" s="82">
        <f t="shared" ref="M26:O26" si="8">M8*M17</f>
        <v>10000</v>
      </c>
      <c r="N26" s="82">
        <f t="shared" si="8"/>
        <v>50000</v>
      </c>
      <c r="O26" s="83">
        <f t="shared" si="8"/>
        <v>114000</v>
      </c>
      <c r="P26" s="144"/>
      <c r="R26" s="20" t="s">
        <v>77</v>
      </c>
      <c r="S26" s="279">
        <v>6500</v>
      </c>
      <c r="T26" s="279">
        <v>0</v>
      </c>
      <c r="U26" s="279"/>
      <c r="V26" s="279">
        <v>7000</v>
      </c>
      <c r="W26" s="76">
        <v>4000</v>
      </c>
    </row>
    <row r="27" spans="2:23" x14ac:dyDescent="0.45">
      <c r="B27" s="32" t="s">
        <v>44</v>
      </c>
      <c r="C27" s="279">
        <v>60000</v>
      </c>
      <c r="D27" s="279">
        <v>83000</v>
      </c>
      <c r="E27" s="279">
        <v>150000</v>
      </c>
      <c r="F27" s="279">
        <v>200000</v>
      </c>
      <c r="G27" s="76">
        <v>9000</v>
      </c>
      <c r="J27" s="20" t="s">
        <v>101</v>
      </c>
      <c r="K27" s="82">
        <f t="shared" si="4"/>
        <v>0</v>
      </c>
      <c r="L27" s="82">
        <f>L9*L18</f>
        <v>7200</v>
      </c>
      <c r="M27" s="82">
        <f t="shared" ref="M27:O27" si="9">M9*M18</f>
        <v>40000</v>
      </c>
      <c r="N27" s="82">
        <f t="shared" si="9"/>
        <v>50000</v>
      </c>
      <c r="O27" s="83">
        <f t="shared" si="9"/>
        <v>35000</v>
      </c>
      <c r="P27" s="144"/>
      <c r="R27" s="20" t="s">
        <v>94</v>
      </c>
      <c r="S27" s="276">
        <v>185</v>
      </c>
      <c r="T27" s="276">
        <v>185</v>
      </c>
      <c r="U27" s="276">
        <v>185</v>
      </c>
      <c r="V27" s="276">
        <v>185</v>
      </c>
      <c r="W27" s="297">
        <v>200</v>
      </c>
    </row>
    <row r="28" spans="2:23" ht="14.65" thickBot="1" x14ac:dyDescent="0.5">
      <c r="B28" s="187" t="s">
        <v>270</v>
      </c>
      <c r="C28" s="188">
        <v>0.75</v>
      </c>
      <c r="D28" s="188">
        <v>0.77</v>
      </c>
      <c r="E28" s="188">
        <v>0.77</v>
      </c>
      <c r="F28" s="188">
        <v>0.77</v>
      </c>
      <c r="G28" s="189">
        <v>0.8</v>
      </c>
      <c r="J28" s="28" t="s">
        <v>102</v>
      </c>
      <c r="K28" s="84">
        <f t="shared" si="4"/>
        <v>900</v>
      </c>
      <c r="L28" s="84">
        <f t="shared" ref="L28:O28" si="10">L10*L19</f>
        <v>7200</v>
      </c>
      <c r="M28" s="84">
        <f t="shared" si="10"/>
        <v>1000</v>
      </c>
      <c r="N28" s="84">
        <f t="shared" si="10"/>
        <v>21000</v>
      </c>
      <c r="O28" s="85">
        <f t="shared" si="10"/>
        <v>0</v>
      </c>
      <c r="P28" s="144"/>
      <c r="R28" s="20" t="s">
        <v>95</v>
      </c>
      <c r="S28" s="276">
        <v>44</v>
      </c>
      <c r="T28" s="276">
        <v>44</v>
      </c>
      <c r="U28" s="276">
        <v>44</v>
      </c>
      <c r="V28" s="276">
        <v>44</v>
      </c>
      <c r="W28" s="297">
        <v>60</v>
      </c>
    </row>
    <row r="29" spans="2:23" ht="14.65" thickBot="1" x14ac:dyDescent="0.5">
      <c r="B29" s="32" t="s">
        <v>45</v>
      </c>
      <c r="C29" s="36">
        <f>IF(C30/2*3&lt;0,0,C30/2*3)</f>
        <v>0</v>
      </c>
      <c r="D29" s="36">
        <f t="shared" ref="D29:G29" si="11">IF(D30/2*3&lt;0,0,D30/2*3)</f>
        <v>0</v>
      </c>
      <c r="E29" s="36">
        <f t="shared" si="11"/>
        <v>0</v>
      </c>
      <c r="F29" s="36">
        <f t="shared" si="11"/>
        <v>0</v>
      </c>
      <c r="G29" s="43">
        <f t="shared" si="11"/>
        <v>0</v>
      </c>
      <c r="R29" s="20" t="s">
        <v>96</v>
      </c>
      <c r="S29" s="276">
        <v>567</v>
      </c>
      <c r="T29" s="276">
        <v>567</v>
      </c>
      <c r="U29" s="276">
        <v>567</v>
      </c>
      <c r="V29" s="276">
        <v>567</v>
      </c>
      <c r="W29" s="297">
        <v>650</v>
      </c>
    </row>
    <row r="30" spans="2:23" x14ac:dyDescent="0.45">
      <c r="B30" s="5" t="s">
        <v>46</v>
      </c>
      <c r="C30" s="280">
        <v>0</v>
      </c>
      <c r="D30" s="280"/>
      <c r="E30" s="280">
        <v>0</v>
      </c>
      <c r="F30" s="280">
        <v>0</v>
      </c>
      <c r="G30" s="140">
        <v>0</v>
      </c>
      <c r="J30" s="10" t="s">
        <v>103</v>
      </c>
      <c r="K30" s="3" t="s">
        <v>5</v>
      </c>
      <c r="L30" s="3" t="s">
        <v>6</v>
      </c>
      <c r="M30" s="3" t="s">
        <v>7</v>
      </c>
      <c r="N30" s="3" t="s">
        <v>8</v>
      </c>
      <c r="O30" s="3" t="s">
        <v>9</v>
      </c>
      <c r="P30" s="16" t="s">
        <v>232</v>
      </c>
      <c r="R30" s="20" t="s">
        <v>222</v>
      </c>
      <c r="S30" s="139">
        <f t="shared" ref="S30:S32" si="12">S27*(1-0.18)</f>
        <v>151.70000000000002</v>
      </c>
      <c r="T30" s="38">
        <f>T27*(1-0.25)</f>
        <v>138.75</v>
      </c>
      <c r="U30" s="38">
        <f>U27*(1-0.35)</f>
        <v>120.25</v>
      </c>
      <c r="V30" s="38">
        <f>V27*(1-0.15)</f>
        <v>157.25</v>
      </c>
      <c r="W30" s="63">
        <f>W27*(1-0.3)</f>
        <v>140</v>
      </c>
    </row>
    <row r="31" spans="2:23" x14ac:dyDescent="0.45">
      <c r="B31" s="5" t="s">
        <v>47</v>
      </c>
      <c r="C31" s="36">
        <v>0</v>
      </c>
      <c r="D31" s="36">
        <f>1/3*C29</f>
        <v>0</v>
      </c>
      <c r="E31" s="36">
        <f t="shared" ref="E31:G31" si="13">1/3*D29</f>
        <v>0</v>
      </c>
      <c r="F31" s="36">
        <f t="shared" si="13"/>
        <v>0</v>
      </c>
      <c r="G31" s="43">
        <f t="shared" si="13"/>
        <v>0</v>
      </c>
      <c r="J31" s="5"/>
      <c r="K31" s="1"/>
      <c r="L31" s="1"/>
      <c r="M31" s="1"/>
      <c r="N31" s="1"/>
      <c r="O31" s="1"/>
      <c r="P31" s="30"/>
      <c r="Q31" s="1"/>
      <c r="R31" s="20" t="s">
        <v>223</v>
      </c>
      <c r="S31" s="139">
        <f t="shared" si="12"/>
        <v>36.080000000000005</v>
      </c>
      <c r="T31" s="38">
        <f>T28*(1-0.25)</f>
        <v>33</v>
      </c>
      <c r="U31" s="38">
        <f>U28*(1-0.35)</f>
        <v>28.6</v>
      </c>
      <c r="V31" s="38">
        <f>V28*(1-0.15)</f>
        <v>37.4</v>
      </c>
      <c r="W31" s="63">
        <f>W28*(1-0.3)</f>
        <v>42</v>
      </c>
    </row>
    <row r="32" spans="2:23" x14ac:dyDescent="0.45">
      <c r="B32" s="187" t="s">
        <v>271</v>
      </c>
      <c r="C32" s="188">
        <v>0.63</v>
      </c>
      <c r="D32" s="188">
        <v>0.62</v>
      </c>
      <c r="E32" s="188">
        <v>0.62</v>
      </c>
      <c r="F32" s="188">
        <v>0.64</v>
      </c>
      <c r="G32" s="189">
        <v>0.62</v>
      </c>
      <c r="J32" s="5" t="s">
        <v>10</v>
      </c>
      <c r="K32" s="77">
        <v>14996</v>
      </c>
      <c r="L32" s="35">
        <f>K32+S24+S33+S49-Marketing!C10-Marketing!C37</f>
        <v>84696.817777777789</v>
      </c>
      <c r="M32" s="35">
        <f>L32+T24+T33+T49-Marketing!D10-Marketing!D37</f>
        <v>82160.817777777789</v>
      </c>
      <c r="N32" s="35">
        <f>M32+U24+U33+U49-Marketing!E10-Marketing!E37</f>
        <v>26042.382614457005</v>
      </c>
      <c r="O32" s="35">
        <f>N32+V24+V33+V49-Marketing!F10-Marketing!F37</f>
        <v>4684.4222222222161</v>
      </c>
      <c r="P32" s="40">
        <f>O32+W24+W33+W49-Marketing!G10-Marketing!G37</f>
        <v>52968.954103939177</v>
      </c>
      <c r="R32" s="20" t="s">
        <v>224</v>
      </c>
      <c r="S32" s="139">
        <f t="shared" si="12"/>
        <v>464.94000000000005</v>
      </c>
      <c r="T32" s="38">
        <f>T29*(1-0.25)</f>
        <v>425.25</v>
      </c>
      <c r="U32" s="38">
        <f>U29*(1-0.35)</f>
        <v>368.55</v>
      </c>
      <c r="V32" s="38">
        <f>V29*(1-0.15)</f>
        <v>481.95</v>
      </c>
      <c r="W32" s="63">
        <f>W29*(1-0.3)</f>
        <v>454.99999999999994</v>
      </c>
    </row>
    <row r="33" spans="2:27" x14ac:dyDescent="0.45">
      <c r="B33" s="5" t="s">
        <v>55</v>
      </c>
      <c r="C33" s="82">
        <v>81000</v>
      </c>
      <c r="D33" s="36">
        <f>C38</f>
        <v>141000</v>
      </c>
      <c r="E33" s="36">
        <f>D38</f>
        <v>10796.613847063913</v>
      </c>
      <c r="F33" s="36">
        <f>E38</f>
        <v>120796.61384706391</v>
      </c>
      <c r="G33" s="43">
        <f>F38</f>
        <v>31341.022222222236</v>
      </c>
      <c r="J33" s="5" t="s">
        <v>14</v>
      </c>
      <c r="K33" s="184">
        <v>111665</v>
      </c>
      <c r="L33" s="185">
        <f>K33+S25+S50+S34-Marketing!C17-Marketing!C48</f>
        <v>64811</v>
      </c>
      <c r="M33" s="185">
        <f>L33+T25+T50+T34-Marketing!D17-Marketing!D48</f>
        <v>73457.386152936087</v>
      </c>
      <c r="N33" s="185">
        <f>M33+U25+U50+U34-Marketing!E17-Marketing!E48</f>
        <v>7349.3861529360875</v>
      </c>
      <c r="O33" s="185">
        <f>N33+V25+V50+V34-Marketing!F17-Marketing!F48</f>
        <v>220291.97777777776</v>
      </c>
      <c r="P33" s="186">
        <f>O33+W25+W50+W34-Marketing!G17-Marketing!G48</f>
        <v>196602.97777777776</v>
      </c>
      <c r="R33" s="20" t="s">
        <v>225</v>
      </c>
      <c r="S33" s="280">
        <v>5000</v>
      </c>
      <c r="T33" s="280">
        <v>0</v>
      </c>
      <c r="U33" s="280"/>
      <c r="V33" s="280"/>
      <c r="W33" s="140"/>
    </row>
    <row r="34" spans="2:27" x14ac:dyDescent="0.45">
      <c r="B34" s="187" t="s">
        <v>272</v>
      </c>
      <c r="C34" s="188">
        <v>0.63200000000000001</v>
      </c>
      <c r="D34" s="188">
        <v>0.68200000000000005</v>
      </c>
      <c r="E34" s="188">
        <v>0.68200000000000005</v>
      </c>
      <c r="F34" s="188">
        <v>0.76200000000000001</v>
      </c>
      <c r="G34" s="189">
        <v>0.76200000000000001</v>
      </c>
      <c r="J34" s="5" t="s">
        <v>77</v>
      </c>
      <c r="K34" s="77">
        <v>5697</v>
      </c>
      <c r="L34" s="35">
        <f>K34+S26+S51+S35-Marketing!C24-Marketing!C59</f>
        <v>3883</v>
      </c>
      <c r="M34" s="35">
        <f>L34+T26+T51+T35-Marketing!D24-Marketing!D59</f>
        <v>3176.6862994554685</v>
      </c>
      <c r="N34" s="35">
        <f>M34+U26+U51+U35-Marketing!E24-Marketing!E59</f>
        <v>1514.4138975344322</v>
      </c>
      <c r="O34" s="35">
        <f>N34+V26+V51+V35-Marketing!F24-Marketing!F59</f>
        <v>1973.444444444438</v>
      </c>
      <c r="P34" s="40">
        <f>O34+W26+W51+W35-Marketing!G24-Marketing!G59</f>
        <v>1593.453038153224</v>
      </c>
      <c r="R34" s="20" t="s">
        <v>226</v>
      </c>
      <c r="S34" s="280">
        <v>25000</v>
      </c>
      <c r="T34" s="280">
        <v>0</v>
      </c>
      <c r="U34" s="280"/>
      <c r="V34" s="280">
        <v>50000</v>
      </c>
      <c r="W34" s="140"/>
    </row>
    <row r="35" spans="2:27" x14ac:dyDescent="0.45">
      <c r="B35" s="20" t="s">
        <v>298</v>
      </c>
      <c r="C35" s="273">
        <v>27.3</v>
      </c>
      <c r="D35" s="273">
        <v>27.3</v>
      </c>
      <c r="E35" s="273">
        <v>29.7</v>
      </c>
      <c r="F35" s="273">
        <v>29.7</v>
      </c>
      <c r="G35" s="161">
        <v>32.700000000000003</v>
      </c>
      <c r="J35" s="187" t="s">
        <v>266</v>
      </c>
      <c r="K35" s="188">
        <v>0.63600000000000001</v>
      </c>
      <c r="L35" s="188">
        <v>0.64700000000000002</v>
      </c>
      <c r="M35" s="188">
        <v>0.66500000000000004</v>
      </c>
      <c r="N35" s="188">
        <v>0.67259999999999998</v>
      </c>
      <c r="O35" s="188">
        <v>0.68400000000000005</v>
      </c>
      <c r="P35" s="189"/>
      <c r="R35" s="20" t="s">
        <v>227</v>
      </c>
      <c r="S35" s="280">
        <v>6000</v>
      </c>
      <c r="T35" s="280">
        <v>0</v>
      </c>
      <c r="U35" s="280"/>
      <c r="V35" s="280">
        <v>1000</v>
      </c>
      <c r="W35" s="140"/>
    </row>
    <row r="36" spans="2:27" x14ac:dyDescent="0.45">
      <c r="B36" s="5" t="s">
        <v>49</v>
      </c>
      <c r="C36" s="36">
        <f>C27+C30+C33+C31</f>
        <v>141000</v>
      </c>
      <c r="D36" s="36">
        <f>D27+D30+D33+D31</f>
        <v>224000</v>
      </c>
      <c r="E36" s="36">
        <f>E27+E30+E33+E31</f>
        <v>160796.61384706391</v>
      </c>
      <c r="F36" s="36">
        <f>F27+F30+F33+F31</f>
        <v>320796.61384706391</v>
      </c>
      <c r="G36" s="43">
        <f>G27+G30+G33+G31</f>
        <v>40341.022222222236</v>
      </c>
      <c r="J36" s="187" t="s">
        <v>267</v>
      </c>
      <c r="K36" s="188">
        <v>0.64800000000000002</v>
      </c>
      <c r="L36" s="188">
        <v>0.65600000000000003</v>
      </c>
      <c r="M36" s="188">
        <v>0.65900000000000003</v>
      </c>
      <c r="N36" s="188">
        <v>0.68720000000000003</v>
      </c>
      <c r="O36" s="188">
        <v>0.70099999999999996</v>
      </c>
      <c r="P36" s="189"/>
      <c r="R36" s="32" t="s">
        <v>240</v>
      </c>
      <c r="S36" s="35">
        <f>S24+S33</f>
        <v>30000</v>
      </c>
      <c r="T36" s="35">
        <f t="shared" ref="T36:W36" si="14">T24+T33</f>
        <v>0</v>
      </c>
      <c r="U36" s="35">
        <f t="shared" si="14"/>
        <v>0</v>
      </c>
      <c r="V36" s="35">
        <f t="shared" si="14"/>
        <v>0</v>
      </c>
      <c r="W36" s="40">
        <f t="shared" si="14"/>
        <v>21000</v>
      </c>
    </row>
    <row r="37" spans="2:27" ht="14.65" thickBot="1" x14ac:dyDescent="0.5">
      <c r="B37" s="20" t="s">
        <v>239</v>
      </c>
      <c r="C37" s="35">
        <f>S50</f>
        <v>0</v>
      </c>
      <c r="D37" s="35">
        <f>T50</f>
        <v>213203.38615293609</v>
      </c>
      <c r="E37" s="35">
        <f>U50</f>
        <v>40000</v>
      </c>
      <c r="F37" s="35">
        <f>V50</f>
        <v>289455.59162484168</v>
      </c>
      <c r="G37" s="40">
        <f>W50</f>
        <v>35000</v>
      </c>
      <c r="J37" s="190" t="s">
        <v>268</v>
      </c>
      <c r="K37" s="191">
        <v>0.64300000000000002</v>
      </c>
      <c r="L37" s="191">
        <v>0.66900000000000004</v>
      </c>
      <c r="M37" s="191">
        <v>0.67900000000000005</v>
      </c>
      <c r="N37" s="191">
        <v>0.69510000000000005</v>
      </c>
      <c r="O37" s="191">
        <v>0.70299999999999996</v>
      </c>
      <c r="P37" s="192"/>
      <c r="R37" s="32" t="s">
        <v>241</v>
      </c>
      <c r="S37" s="35">
        <f>S25+S34</f>
        <v>60000</v>
      </c>
      <c r="T37" s="35">
        <f t="shared" ref="T37:W37" si="15">T25+T34</f>
        <v>0</v>
      </c>
      <c r="U37" s="35">
        <f t="shared" si="15"/>
        <v>0</v>
      </c>
      <c r="V37" s="35">
        <f t="shared" si="15"/>
        <v>100000</v>
      </c>
      <c r="W37" s="40">
        <f t="shared" si="15"/>
        <v>0</v>
      </c>
    </row>
    <row r="38" spans="2:27" x14ac:dyDescent="0.45">
      <c r="B38" s="5" t="s">
        <v>48</v>
      </c>
      <c r="C38" s="82">
        <f>C27+C33+C30+C31-C37</f>
        <v>141000</v>
      </c>
      <c r="D38" s="82">
        <f>D27+D33+D30+D31-D37</f>
        <v>10796.613847063913</v>
      </c>
      <c r="E38" s="82">
        <f>E27+E33+E30+E31-E37</f>
        <v>120796.61384706391</v>
      </c>
      <c r="F38" s="82">
        <f>F27+F33+F30+F31-F37</f>
        <v>31341.022222222236</v>
      </c>
      <c r="G38" s="83">
        <f>G27+G33+G30+G31-G37</f>
        <v>5341.0222222222365</v>
      </c>
      <c r="I38" s="19"/>
      <c r="Q38" s="19"/>
      <c r="R38" s="32" t="s">
        <v>242</v>
      </c>
      <c r="S38" s="35">
        <f>S26+S35</f>
        <v>12500</v>
      </c>
      <c r="T38" s="35">
        <f t="shared" ref="T38:W38" si="16">T26+T35</f>
        <v>0</v>
      </c>
      <c r="U38" s="35">
        <f t="shared" si="16"/>
        <v>0</v>
      </c>
      <c r="V38" s="35">
        <f t="shared" si="16"/>
        <v>8000</v>
      </c>
      <c r="W38" s="40">
        <f t="shared" si="16"/>
        <v>4000</v>
      </c>
    </row>
    <row r="39" spans="2:27" ht="14.65" thickBot="1" x14ac:dyDescent="0.5">
      <c r="B39" s="20" t="s">
        <v>113</v>
      </c>
      <c r="C39" s="274">
        <v>33</v>
      </c>
      <c r="D39" s="274">
        <v>33</v>
      </c>
      <c r="E39" s="274">
        <v>33</v>
      </c>
      <c r="F39" s="274">
        <v>33</v>
      </c>
      <c r="G39" s="290">
        <v>33</v>
      </c>
      <c r="I39" s="19"/>
      <c r="Q39" s="19"/>
      <c r="R39" s="187" t="s">
        <v>266</v>
      </c>
      <c r="S39" s="188">
        <v>0.66</v>
      </c>
      <c r="T39" s="188">
        <v>0.64</v>
      </c>
      <c r="U39" s="188">
        <v>0.64</v>
      </c>
      <c r="V39" s="188">
        <v>0.68</v>
      </c>
      <c r="W39" s="189">
        <v>0.71</v>
      </c>
    </row>
    <row r="40" spans="2:27" x14ac:dyDescent="0.45">
      <c r="B40" s="20" t="s">
        <v>114</v>
      </c>
      <c r="C40" s="274">
        <v>22</v>
      </c>
      <c r="D40" s="274">
        <v>20</v>
      </c>
      <c r="E40" s="274">
        <v>20</v>
      </c>
      <c r="F40" s="274">
        <v>20</v>
      </c>
      <c r="G40" s="290">
        <v>20</v>
      </c>
      <c r="J40" s="34" t="s">
        <v>93</v>
      </c>
      <c r="K40" s="3" t="s">
        <v>5</v>
      </c>
      <c r="L40" s="3" t="s">
        <v>6</v>
      </c>
      <c r="M40" s="3" t="s">
        <v>7</v>
      </c>
      <c r="N40" s="3" t="s">
        <v>8</v>
      </c>
      <c r="O40" s="4" t="s">
        <v>9</v>
      </c>
      <c r="P40" s="14"/>
      <c r="R40" s="187" t="s">
        <v>267</v>
      </c>
      <c r="S40" s="188">
        <v>0.67</v>
      </c>
      <c r="T40" s="188">
        <v>0.64</v>
      </c>
      <c r="U40" s="188">
        <v>0.64</v>
      </c>
      <c r="V40" s="188">
        <v>0.69</v>
      </c>
      <c r="W40" s="189">
        <v>0.71</v>
      </c>
    </row>
    <row r="41" spans="2:27" x14ac:dyDescent="0.45">
      <c r="B41" s="20" t="s">
        <v>201</v>
      </c>
      <c r="C41" s="95">
        <f>C27*C39</f>
        <v>1980000</v>
      </c>
      <c r="D41" s="95">
        <f>D27*D39</f>
        <v>2739000</v>
      </c>
      <c r="E41" s="95">
        <f>E27*E39</f>
        <v>4950000</v>
      </c>
      <c r="F41" s="95">
        <f>F27*F39</f>
        <v>6600000</v>
      </c>
      <c r="G41" s="98">
        <f>G27*G39</f>
        <v>297000</v>
      </c>
      <c r="J41" s="5"/>
      <c r="K41" s="19"/>
      <c r="L41" s="19"/>
      <c r="M41" s="19"/>
      <c r="N41" s="19"/>
      <c r="O41" s="30"/>
      <c r="P41" s="19"/>
      <c r="R41" s="187" t="s">
        <v>268</v>
      </c>
      <c r="S41" s="188">
        <v>0.68</v>
      </c>
      <c r="T41" s="188">
        <v>0.64</v>
      </c>
      <c r="U41" s="188">
        <v>0.64</v>
      </c>
      <c r="V41" s="188">
        <v>0.7</v>
      </c>
      <c r="W41" s="189">
        <v>0.71</v>
      </c>
    </row>
    <row r="42" spans="2:27" x14ac:dyDescent="0.45">
      <c r="B42" s="20" t="s">
        <v>202</v>
      </c>
      <c r="C42" s="89">
        <f>C29*C40</f>
        <v>0</v>
      </c>
      <c r="D42" s="89">
        <f>D29*D40</f>
        <v>0</v>
      </c>
      <c r="E42" s="89">
        <f>E29*E40</f>
        <v>0</v>
      </c>
      <c r="F42" s="89">
        <f>F29*F40</f>
        <v>0</v>
      </c>
      <c r="G42" s="96">
        <f>G29*G40</f>
        <v>0</v>
      </c>
      <c r="J42" s="5" t="s">
        <v>97</v>
      </c>
      <c r="K42" s="35">
        <f t="shared" ref="K42:O44" si="17">IF(K23/0.9-K32-S24-S33&lt;0,0,K23/0.9-K32-S24-S33)</f>
        <v>38673.817777777775</v>
      </c>
      <c r="L42" s="35">
        <f>IF(L23/0.9-L32-T24-T33&lt;0,0,L23/0.9-L32-T24-T33)</f>
        <v>0</v>
      </c>
      <c r="M42" s="35">
        <f t="shared" si="17"/>
        <v>13695.564836679216</v>
      </c>
      <c r="N42" s="35">
        <f>IF(N23/0.9-N32-V24-V33&lt;0,0,N23/0.9-N32-V24-V33)</f>
        <v>4967.0396077652149</v>
      </c>
      <c r="O42" s="40">
        <f>IF(O23/0.9-O32-W24-W33&lt;0,0,O23/0.9-O32-W24-W33)</f>
        <v>43073.531881716961</v>
      </c>
      <c r="P42" s="31"/>
      <c r="R42" s="20" t="s">
        <v>228</v>
      </c>
      <c r="S42" s="139">
        <f>S24*S27+S33*S30</f>
        <v>5383500</v>
      </c>
      <c r="T42" s="139">
        <f>T24*T27+T33*T30</f>
        <v>0</v>
      </c>
      <c r="U42" s="139">
        <f>U24*U27+U33*U30</f>
        <v>0</v>
      </c>
      <c r="V42" s="139">
        <f>V24*V27+V33*V30</f>
        <v>0</v>
      </c>
      <c r="W42" s="141">
        <f>W24*W27+W33*W30</f>
        <v>4200000</v>
      </c>
      <c r="AA42" s="1"/>
    </row>
    <row r="43" spans="2:27" ht="14.65" thickBot="1" x14ac:dyDescent="0.5">
      <c r="B43" s="28" t="s">
        <v>243</v>
      </c>
      <c r="C43" s="162">
        <v>0</v>
      </c>
      <c r="D43" s="162"/>
      <c r="E43" s="162"/>
      <c r="F43" s="162"/>
      <c r="G43" s="163"/>
      <c r="J43" s="5" t="s">
        <v>98</v>
      </c>
      <c r="K43" s="35">
        <f t="shared" si="17"/>
        <v>0</v>
      </c>
      <c r="L43" s="35">
        <f t="shared" si="17"/>
        <v>206003.38615293609</v>
      </c>
      <c r="M43" s="35">
        <f t="shared" si="17"/>
        <v>0</v>
      </c>
      <c r="N43" s="35">
        <f>IF(N24/0.9-N33-V25-V34&lt;0,0,N24/0.9-N33-V25-V34)</f>
        <v>239455.59162484168</v>
      </c>
      <c r="O43" s="40">
        <f t="shared" si="17"/>
        <v>0</v>
      </c>
      <c r="P43" s="31"/>
      <c r="R43" s="20" t="s">
        <v>229</v>
      </c>
      <c r="S43" s="139">
        <f t="shared" ref="S43:W44" si="18">S25*S28+S31*S34</f>
        <v>2442000</v>
      </c>
      <c r="T43" s="139">
        <f t="shared" si="18"/>
        <v>0</v>
      </c>
      <c r="U43" s="139">
        <f t="shared" si="18"/>
        <v>0</v>
      </c>
      <c r="V43" s="139">
        <f>V25*V28+V31*V34</f>
        <v>4070000</v>
      </c>
      <c r="W43" s="141">
        <f t="shared" si="18"/>
        <v>0</v>
      </c>
      <c r="AA43" s="11"/>
    </row>
    <row r="44" spans="2:27" ht="14.65" thickBot="1" x14ac:dyDescent="0.5">
      <c r="J44" s="5" t="s">
        <v>104</v>
      </c>
      <c r="K44" s="35">
        <f t="shared" si="17"/>
        <v>0</v>
      </c>
      <c r="L44" s="35">
        <f t="shared" si="17"/>
        <v>10434.68629945547</v>
      </c>
      <c r="M44" s="35">
        <f t="shared" si="17"/>
        <v>11784.727598078964</v>
      </c>
      <c r="N44" s="35">
        <f t="shared" si="17"/>
        <v>9914.0305469100094</v>
      </c>
      <c r="O44" s="40">
        <f t="shared" si="17"/>
        <v>9336.0085937087861</v>
      </c>
      <c r="P44" s="31"/>
      <c r="R44" s="20" t="s">
        <v>230</v>
      </c>
      <c r="S44" s="139">
        <f t="shared" si="18"/>
        <v>6475140</v>
      </c>
      <c r="T44" s="139">
        <f t="shared" si="18"/>
        <v>0</v>
      </c>
      <c r="U44" s="139">
        <f t="shared" si="18"/>
        <v>0</v>
      </c>
      <c r="V44" s="139">
        <f t="shared" si="18"/>
        <v>4450950</v>
      </c>
      <c r="W44" s="141">
        <f t="shared" si="18"/>
        <v>2600000</v>
      </c>
      <c r="AA44" s="11"/>
    </row>
    <row r="45" spans="2:27" ht="14.65" thickBot="1" x14ac:dyDescent="0.5">
      <c r="B45" s="23" t="s">
        <v>92</v>
      </c>
      <c r="C45" s="15" t="s">
        <v>5</v>
      </c>
      <c r="D45" s="15" t="s">
        <v>6</v>
      </c>
      <c r="E45" s="15" t="s">
        <v>7</v>
      </c>
      <c r="F45" s="15" t="s">
        <v>8</v>
      </c>
      <c r="G45" s="16" t="s">
        <v>9</v>
      </c>
      <c r="J45" s="20" t="s">
        <v>105</v>
      </c>
      <c r="K45" s="35">
        <f>K42+K26+K48</f>
        <v>88673.817777777775</v>
      </c>
      <c r="L45" s="35">
        <f t="shared" ref="L45" si="19">L42+L26+L48</f>
        <v>104000</v>
      </c>
      <c r="M45" s="35">
        <f>M42+M26+M48</f>
        <v>23695.564836679216</v>
      </c>
      <c r="N45" s="35">
        <f>N42+N26+N48</f>
        <v>66967.039607765211</v>
      </c>
      <c r="O45" s="40">
        <f>O42+O26+O48</f>
        <v>157073.53188171698</v>
      </c>
      <c r="P45" s="31"/>
      <c r="R45" s="28" t="s">
        <v>231</v>
      </c>
      <c r="S45" s="142">
        <f>S42+S43+S44</f>
        <v>14300640</v>
      </c>
      <c r="T45" s="142">
        <f t="shared" ref="T45:W45" si="20">T42+T43+T44</f>
        <v>0</v>
      </c>
      <c r="U45" s="142">
        <f t="shared" si="20"/>
        <v>0</v>
      </c>
      <c r="V45" s="142">
        <f>V42+V43+V44</f>
        <v>8520950</v>
      </c>
      <c r="W45" s="143">
        <f t="shared" si="20"/>
        <v>6800000</v>
      </c>
      <c r="AA45" s="11"/>
    </row>
    <row r="46" spans="2:27" ht="14.65" thickBot="1" x14ac:dyDescent="0.5">
      <c r="B46" s="5"/>
      <c r="C46" s="31"/>
      <c r="D46" s="31"/>
      <c r="E46" s="31"/>
      <c r="F46" s="31"/>
      <c r="G46" s="33"/>
      <c r="J46" s="26" t="s">
        <v>106</v>
      </c>
      <c r="K46" s="35">
        <f>K27+K43+K49</f>
        <v>0</v>
      </c>
      <c r="L46" s="35">
        <f t="shared" ref="L46:O46" si="21">L27+L43+L49</f>
        <v>213203.38615293609</v>
      </c>
      <c r="M46" s="35">
        <f>M27+M43+M49</f>
        <v>40000</v>
      </c>
      <c r="N46" s="35">
        <f>N27+N43+N49</f>
        <v>289455.59162484168</v>
      </c>
      <c r="O46" s="40">
        <f t="shared" si="21"/>
        <v>35000</v>
      </c>
      <c r="P46" s="31"/>
      <c r="AA46" s="11"/>
    </row>
    <row r="47" spans="2:27" x14ac:dyDescent="0.45">
      <c r="B47" s="20" t="s">
        <v>39</v>
      </c>
      <c r="C47" s="35">
        <f>S51</f>
        <v>900</v>
      </c>
      <c r="D47" s="35">
        <f>T51</f>
        <v>17634.686299455469</v>
      </c>
      <c r="E47" s="35">
        <f>U51</f>
        <v>12784.727598078964</v>
      </c>
      <c r="F47" s="35">
        <f>V51</f>
        <v>30914.030546910009</v>
      </c>
      <c r="G47" s="40">
        <f>W51</f>
        <v>9336.0085937087861</v>
      </c>
      <c r="J47" s="20" t="s">
        <v>107</v>
      </c>
      <c r="K47" s="185">
        <f>K28+K44+K50</f>
        <v>900</v>
      </c>
      <c r="L47" s="185">
        <f t="shared" ref="L47:O47" si="22">L28+L44+L50</f>
        <v>17634.686299455469</v>
      </c>
      <c r="M47" s="185">
        <f t="shared" si="22"/>
        <v>12784.727598078964</v>
      </c>
      <c r="N47" s="185">
        <f t="shared" si="22"/>
        <v>30914.030546910009</v>
      </c>
      <c r="O47" s="186">
        <f t="shared" si="22"/>
        <v>9336.0085937087861</v>
      </c>
      <c r="P47" s="31"/>
      <c r="R47" s="10" t="s">
        <v>90</v>
      </c>
      <c r="S47" s="3" t="s">
        <v>5</v>
      </c>
      <c r="T47" s="3" t="s">
        <v>6</v>
      </c>
      <c r="U47" s="3" t="s">
        <v>7</v>
      </c>
      <c r="V47" s="3" t="s">
        <v>8</v>
      </c>
      <c r="W47" s="4" t="s">
        <v>9</v>
      </c>
      <c r="AA47" s="11"/>
    </row>
    <row r="48" spans="2:27" x14ac:dyDescent="0.45">
      <c r="B48" s="32" t="s">
        <v>44</v>
      </c>
      <c r="C48" s="279">
        <v>8500</v>
      </c>
      <c r="D48" s="279">
        <v>15000</v>
      </c>
      <c r="E48" s="279">
        <v>23000</v>
      </c>
      <c r="F48" s="279">
        <v>20000</v>
      </c>
      <c r="G48" s="76">
        <v>9000</v>
      </c>
      <c r="J48" s="20" t="s">
        <v>281</v>
      </c>
      <c r="K48" s="280"/>
      <c r="L48" s="280">
        <v>50000</v>
      </c>
      <c r="M48" s="280"/>
      <c r="N48" s="280">
        <v>12000</v>
      </c>
      <c r="O48" s="140"/>
      <c r="R48" s="5"/>
      <c r="S48" s="1"/>
      <c r="T48" s="1"/>
      <c r="U48" s="1"/>
      <c r="V48" s="1"/>
      <c r="W48" s="6"/>
      <c r="AA48" s="11"/>
    </row>
    <row r="49" spans="2:27" x14ac:dyDescent="0.45">
      <c r="B49" s="187" t="s">
        <v>270</v>
      </c>
      <c r="C49" s="188">
        <v>0.75</v>
      </c>
      <c r="D49" s="188">
        <v>0.77</v>
      </c>
      <c r="E49" s="188">
        <v>0.77</v>
      </c>
      <c r="F49" s="188">
        <v>0.77</v>
      </c>
      <c r="G49" s="189">
        <v>0.8</v>
      </c>
      <c r="J49" s="20" t="s">
        <v>282</v>
      </c>
      <c r="K49" s="280"/>
      <c r="L49" s="280"/>
      <c r="M49" s="280"/>
      <c r="N49" s="280"/>
      <c r="O49" s="140"/>
      <c r="R49" s="32" t="s">
        <v>10</v>
      </c>
      <c r="S49" s="36">
        <f t="shared" ref="S49:W51" si="23">IF(K45&lt;0,0,K45)</f>
        <v>88673.817777777775</v>
      </c>
      <c r="T49" s="36">
        <f t="shared" si="23"/>
        <v>104000</v>
      </c>
      <c r="U49" s="36">
        <f>IF(M45&lt;0,0,M45)</f>
        <v>23695.564836679216</v>
      </c>
      <c r="V49" s="36">
        <f>IF(N45&lt;0,0,N45)</f>
        <v>66967.039607765211</v>
      </c>
      <c r="W49" s="43">
        <f>IF(O45&lt;0,0,O45)</f>
        <v>157073.53188171698</v>
      </c>
      <c r="AA49" s="11"/>
    </row>
    <row r="50" spans="2:27" ht="14.65" thickBot="1" x14ac:dyDescent="0.5">
      <c r="B50" s="32" t="s">
        <v>45</v>
      </c>
      <c r="C50" s="36">
        <f>C51/2*3</f>
        <v>0</v>
      </c>
      <c r="D50" s="36">
        <f t="shared" ref="D50:G50" si="24">D51/2*3</f>
        <v>0</v>
      </c>
      <c r="E50" s="36">
        <f t="shared" si="24"/>
        <v>0</v>
      </c>
      <c r="F50" s="36">
        <f t="shared" si="24"/>
        <v>0</v>
      </c>
      <c r="G50" s="43">
        <f t="shared" si="24"/>
        <v>0</v>
      </c>
      <c r="J50" s="28" t="s">
        <v>283</v>
      </c>
      <c r="K50" s="283"/>
      <c r="L50" s="283"/>
      <c r="M50" s="283"/>
      <c r="N50" s="283"/>
      <c r="O50" s="211"/>
      <c r="R50" s="32" t="s">
        <v>14</v>
      </c>
      <c r="S50" s="36">
        <f t="shared" si="23"/>
        <v>0</v>
      </c>
      <c r="T50" s="36">
        <f t="shared" si="23"/>
        <v>213203.38615293609</v>
      </c>
      <c r="U50" s="36">
        <f t="shared" si="23"/>
        <v>40000</v>
      </c>
      <c r="V50" s="36">
        <f>IF(N46&lt;0,0,N46)</f>
        <v>289455.59162484168</v>
      </c>
      <c r="W50" s="43">
        <f t="shared" si="23"/>
        <v>35000</v>
      </c>
      <c r="AA50" s="11"/>
    </row>
    <row r="51" spans="2:27" x14ac:dyDescent="0.45">
      <c r="B51" s="5" t="s">
        <v>46</v>
      </c>
      <c r="C51" s="280"/>
      <c r="D51" s="280"/>
      <c r="E51" s="280">
        <v>0</v>
      </c>
      <c r="F51" s="280"/>
      <c r="G51" s="140"/>
      <c r="R51" s="32" t="s">
        <v>77</v>
      </c>
      <c r="S51" s="36">
        <f t="shared" si="23"/>
        <v>900</v>
      </c>
      <c r="T51" s="36">
        <f t="shared" si="23"/>
        <v>17634.686299455469</v>
      </c>
      <c r="U51" s="36">
        <f t="shared" si="23"/>
        <v>12784.727598078964</v>
      </c>
      <c r="V51" s="36">
        <f t="shared" si="23"/>
        <v>30914.030546910009</v>
      </c>
      <c r="W51" s="43">
        <f t="shared" si="23"/>
        <v>9336.0085937087861</v>
      </c>
      <c r="AA51" s="11"/>
    </row>
    <row r="52" spans="2:27" x14ac:dyDescent="0.45">
      <c r="B52" s="5" t="s">
        <v>47</v>
      </c>
      <c r="C52" s="36">
        <v>0</v>
      </c>
      <c r="D52" s="36">
        <f>1/3*C50</f>
        <v>0</v>
      </c>
      <c r="E52" s="36">
        <f t="shared" ref="E52:G52" si="25">1/3*D50</f>
        <v>0</v>
      </c>
      <c r="F52" s="36">
        <f t="shared" si="25"/>
        <v>0</v>
      </c>
      <c r="G52" s="43">
        <f t="shared" si="25"/>
        <v>0</v>
      </c>
      <c r="R52" s="20" t="s">
        <v>94</v>
      </c>
      <c r="S52" s="275">
        <v>70.400000000000006</v>
      </c>
      <c r="T52" s="298">
        <v>71.099999999999994</v>
      </c>
      <c r="U52" s="299">
        <v>71.8</v>
      </c>
      <c r="V52" s="299">
        <v>72.599999999999994</v>
      </c>
      <c r="W52" s="300">
        <v>73.3</v>
      </c>
      <c r="AA52" s="11"/>
    </row>
    <row r="53" spans="2:27" x14ac:dyDescent="0.45">
      <c r="B53" s="187" t="s">
        <v>271</v>
      </c>
      <c r="C53" s="188">
        <v>0.65</v>
      </c>
      <c r="D53" s="188">
        <v>0.62</v>
      </c>
      <c r="E53" s="188">
        <v>0.62</v>
      </c>
      <c r="F53" s="188">
        <v>0.64</v>
      </c>
      <c r="G53" s="189">
        <v>0.62</v>
      </c>
      <c r="R53" s="20" t="s">
        <v>95</v>
      </c>
      <c r="S53" s="275">
        <v>16.2</v>
      </c>
      <c r="T53" s="298">
        <v>16.399999999999999</v>
      </c>
      <c r="U53" s="299">
        <v>16.600000000000001</v>
      </c>
      <c r="V53" s="299">
        <v>16.7</v>
      </c>
      <c r="W53" s="300">
        <v>16.899999999999999</v>
      </c>
      <c r="AA53" s="11"/>
    </row>
    <row r="54" spans="2:27" x14ac:dyDescent="0.45">
      <c r="B54" s="5" t="s">
        <v>55</v>
      </c>
      <c r="C54" s="82">
        <v>0</v>
      </c>
      <c r="D54" s="36">
        <f>C59</f>
        <v>7600</v>
      </c>
      <c r="E54" s="36">
        <f>D59</f>
        <v>4965.3137005445315</v>
      </c>
      <c r="F54" s="36">
        <f>E59</f>
        <v>15180.586102465568</v>
      </c>
      <c r="G54" s="43">
        <f>F59</f>
        <v>4266.5555555555584</v>
      </c>
      <c r="R54" s="20" t="s">
        <v>96</v>
      </c>
      <c r="S54" s="275">
        <v>194.9</v>
      </c>
      <c r="T54" s="298">
        <v>196.9</v>
      </c>
      <c r="U54" s="298">
        <v>198.8</v>
      </c>
      <c r="V54" s="298">
        <v>200.8</v>
      </c>
      <c r="W54" s="301">
        <v>202.8</v>
      </c>
      <c r="AA54" s="11"/>
    </row>
    <row r="55" spans="2:27" x14ac:dyDescent="0.45">
      <c r="B55" s="187" t="s">
        <v>272</v>
      </c>
      <c r="C55" s="188">
        <v>0</v>
      </c>
      <c r="D55" s="188">
        <v>0.75</v>
      </c>
      <c r="E55" s="188">
        <v>0.75</v>
      </c>
      <c r="F55" s="188">
        <v>0.76300000000000001</v>
      </c>
      <c r="G55" s="189">
        <v>0.76300000000000001</v>
      </c>
      <c r="R55" s="20" t="s">
        <v>209</v>
      </c>
      <c r="S55" s="89">
        <f>250000+15000*(E83+F83-G83)</f>
        <v>3700000</v>
      </c>
      <c r="T55" s="89">
        <f>250000+15000*(I83+J83-K83)</f>
        <v>3550000</v>
      </c>
      <c r="U55" s="89">
        <f>250000+15000*(M83+N83-O83)</f>
        <v>2650000</v>
      </c>
      <c r="V55" s="89">
        <f>250000+15000*(R83+S83-T83)</f>
        <v>2980000</v>
      </c>
      <c r="W55" s="96">
        <f>250000+15000*(V83+W83-X83)</f>
        <v>2860000</v>
      </c>
    </row>
    <row r="56" spans="2:27" x14ac:dyDescent="0.45">
      <c r="B56" s="20" t="s">
        <v>298</v>
      </c>
      <c r="C56" s="273">
        <v>272.60000000000002</v>
      </c>
      <c r="D56" s="273">
        <v>272.60000000000002</v>
      </c>
      <c r="E56" s="273">
        <v>366</v>
      </c>
      <c r="F56" s="273">
        <v>366</v>
      </c>
      <c r="G56" s="161">
        <v>366</v>
      </c>
      <c r="R56" s="20" t="s">
        <v>203</v>
      </c>
      <c r="S56" s="136">
        <f>S49*S52+S50*S53+S51*S54</f>
        <v>6418046.771555556</v>
      </c>
      <c r="T56" s="136">
        <f>T49*T52+T50*T53+T51*T54</f>
        <v>14363205.265270934</v>
      </c>
      <c r="U56" s="136">
        <f>U49*U52+U50*U53+U51*U54</f>
        <v>4906945.4017716656</v>
      </c>
      <c r="V56" s="136">
        <f t="shared" ref="V56:W56" si="26">V49*V52+V50*V53+V51*V54</f>
        <v>15903252.789478138</v>
      </c>
      <c r="W56" s="137">
        <f t="shared" si="26"/>
        <v>13998332.429733997</v>
      </c>
    </row>
    <row r="57" spans="2:27" x14ac:dyDescent="0.45">
      <c r="B57" s="5" t="s">
        <v>49</v>
      </c>
      <c r="C57" s="36">
        <f>C48+C51+C52+C54</f>
        <v>8500</v>
      </c>
      <c r="D57" s="36">
        <f>D48+D51+D52+D54</f>
        <v>22600</v>
      </c>
      <c r="E57" s="36">
        <f>E48+E51+E52+E54</f>
        <v>27965.313700544531</v>
      </c>
      <c r="F57" s="36">
        <f>F48+F51+F52+F54</f>
        <v>35180.586102465568</v>
      </c>
      <c r="G57" s="43">
        <f>G48+G51+G52+G54</f>
        <v>13266.555555555558</v>
      </c>
      <c r="R57" s="20" t="s">
        <v>219</v>
      </c>
      <c r="S57" s="89">
        <f>Margins!I10*(S56+E89+F88+S55)+C22</f>
        <v>6172542.6385185178</v>
      </c>
      <c r="T57" s="89">
        <f>Margins!J10*(T56+I89+J88+T55)+D22</f>
        <v>0</v>
      </c>
      <c r="U57" s="89">
        <f>Margins!K10*(U56+M89+N88+U55)+E22</f>
        <v>0</v>
      </c>
      <c r="V57" s="89">
        <f>Margins!L10*(V56+R89+S88+V55)+F22</f>
        <v>0</v>
      </c>
      <c r="W57" s="96">
        <f>Margins!M10*(W56+V89+W88+W55)+G22</f>
        <v>0</v>
      </c>
    </row>
    <row r="58" spans="2:27" x14ac:dyDescent="0.45">
      <c r="B58" s="20" t="s">
        <v>239</v>
      </c>
      <c r="C58" s="35">
        <f>S51</f>
        <v>900</v>
      </c>
      <c r="D58" s="35">
        <f>T51</f>
        <v>17634.686299455469</v>
      </c>
      <c r="E58" s="35">
        <f>U51</f>
        <v>12784.727598078964</v>
      </c>
      <c r="F58" s="35">
        <f>V51</f>
        <v>30914.030546910009</v>
      </c>
      <c r="G58" s="40">
        <f>W51</f>
        <v>9336.0085937087861</v>
      </c>
      <c r="R58" s="20" t="s">
        <v>220</v>
      </c>
      <c r="S58" s="89">
        <f>Margins!I11*(S56+E89+F88+S55)+C43</f>
        <v>0</v>
      </c>
      <c r="T58" s="89">
        <f>Margins!J11*(T56+I89+J88+T55)+D43</f>
        <v>0</v>
      </c>
      <c r="U58" s="89">
        <f>Margins!K11*(U56+M89+N88+U55)+E43</f>
        <v>0</v>
      </c>
      <c r="V58" s="89">
        <f>Margins!L11*(V56+R89+S88+V55)+F43</f>
        <v>0</v>
      </c>
      <c r="W58" s="96">
        <f>Margins!M11*(W56+V89+W88+W55)+G43</f>
        <v>0</v>
      </c>
    </row>
    <row r="59" spans="2:27" x14ac:dyDescent="0.45">
      <c r="B59" s="5" t="s">
        <v>48</v>
      </c>
      <c r="C59" s="82">
        <f>C48+C51+C54+C52-C58</f>
        <v>7600</v>
      </c>
      <c r="D59" s="82">
        <f>D48+D51+D54+D52-D58</f>
        <v>4965.3137005445315</v>
      </c>
      <c r="E59" s="82">
        <f>E48+E51+E54+E52-E58</f>
        <v>15180.586102465568</v>
      </c>
      <c r="F59" s="82">
        <f>F48+F51+F54+F52-F58</f>
        <v>4266.5555555555584</v>
      </c>
      <c r="G59" s="83">
        <f>G48+G51+G54+G52-G58</f>
        <v>3930.5469618467723</v>
      </c>
      <c r="R59" s="20" t="s">
        <v>221</v>
      </c>
      <c r="S59" s="89">
        <f>Margins!I12*(S56+E89+F88+S55)+C64</f>
        <v>329400</v>
      </c>
      <c r="T59" s="89">
        <f>Margins!J12*(T56+I89+J88+T55)+D64</f>
        <v>0</v>
      </c>
      <c r="U59" s="89">
        <f>Margins!K12*(U56+M89+N88+U55)+E64</f>
        <v>0</v>
      </c>
      <c r="V59" s="89">
        <f>Margins!L12*(V56+R89+S88+V55)+F64</f>
        <v>0</v>
      </c>
      <c r="W59" s="96">
        <f>Margins!M12*(W56+V89+W88+W55)+G64</f>
        <v>0</v>
      </c>
    </row>
    <row r="60" spans="2:27" ht="14.65" thickBot="1" x14ac:dyDescent="0.5">
      <c r="B60" s="20" t="s">
        <v>113</v>
      </c>
      <c r="C60" s="274">
        <v>366</v>
      </c>
      <c r="D60" s="274">
        <v>366</v>
      </c>
      <c r="E60" s="274">
        <v>366</v>
      </c>
      <c r="F60" s="274">
        <v>366</v>
      </c>
      <c r="G60" s="290">
        <v>366</v>
      </c>
      <c r="R60" s="190" t="s">
        <v>269</v>
      </c>
      <c r="S60" s="191">
        <v>0.58760000000000001</v>
      </c>
      <c r="T60" s="191">
        <v>0.61229999999999996</v>
      </c>
      <c r="U60" s="191">
        <v>0.62809999999999999</v>
      </c>
      <c r="V60" s="191">
        <v>0.64639999999999997</v>
      </c>
      <c r="W60" s="192"/>
    </row>
    <row r="61" spans="2:27" x14ac:dyDescent="0.45">
      <c r="B61" s="20" t="s">
        <v>114</v>
      </c>
      <c r="C61" s="274">
        <v>266</v>
      </c>
      <c r="D61" s="274">
        <v>250</v>
      </c>
      <c r="E61" s="274">
        <v>250</v>
      </c>
      <c r="F61" s="274">
        <v>250</v>
      </c>
      <c r="G61" s="290">
        <v>250</v>
      </c>
    </row>
    <row r="62" spans="2:27" x14ac:dyDescent="0.45">
      <c r="B62" s="20" t="s">
        <v>201</v>
      </c>
      <c r="C62" s="95">
        <f>C48*C60</f>
        <v>3111000</v>
      </c>
      <c r="D62" s="95">
        <f>D48*D60</f>
        <v>5490000</v>
      </c>
      <c r="E62" s="95">
        <f>E48*E60</f>
        <v>8418000</v>
      </c>
      <c r="F62" s="95">
        <f>F48*F60</f>
        <v>7320000</v>
      </c>
      <c r="G62" s="98">
        <f>G48*G60</f>
        <v>3294000</v>
      </c>
    </row>
    <row r="63" spans="2:27" x14ac:dyDescent="0.45">
      <c r="B63" s="20" t="s">
        <v>202</v>
      </c>
      <c r="C63" s="154">
        <f>C50*C61</f>
        <v>0</v>
      </c>
      <c r="D63" s="154">
        <f>D50*D61</f>
        <v>0</v>
      </c>
      <c r="E63" s="154">
        <f>E50*E61</f>
        <v>0</v>
      </c>
      <c r="F63" s="154">
        <f>F50*F61</f>
        <v>0</v>
      </c>
      <c r="G63" s="157">
        <f>G50*G61</f>
        <v>0</v>
      </c>
    </row>
    <row r="64" spans="2:27" ht="14.65" thickBot="1" x14ac:dyDescent="0.5">
      <c r="B64" s="28" t="s">
        <v>243</v>
      </c>
      <c r="C64" s="65">
        <f>C58*C60</f>
        <v>329400</v>
      </c>
      <c r="D64" s="162"/>
      <c r="E64" s="162"/>
      <c r="F64" s="162"/>
      <c r="G64" s="163"/>
    </row>
    <row r="66" spans="2:25" ht="14.65" thickBot="1" x14ac:dyDescent="0.5"/>
    <row r="67" spans="2:25" ht="14.65" thickBot="1" x14ac:dyDescent="0.5">
      <c r="B67" s="23" t="s">
        <v>50</v>
      </c>
      <c r="C67" s="13"/>
      <c r="D67" s="13"/>
      <c r="E67" s="13"/>
      <c r="F67" s="13"/>
      <c r="G67" s="29"/>
      <c r="H67" s="13"/>
      <c r="I67" s="13"/>
      <c r="J67" s="13"/>
      <c r="K67" s="29"/>
      <c r="L67" s="29"/>
      <c r="M67" s="29"/>
      <c r="N67" s="29"/>
      <c r="O67" s="29"/>
      <c r="P67" s="29"/>
      <c r="Q67" s="29"/>
      <c r="R67" s="29"/>
      <c r="S67" s="29"/>
      <c r="T67" s="13"/>
      <c r="U67" s="13"/>
      <c r="V67" s="13"/>
      <c r="W67" s="13"/>
      <c r="X67" s="13"/>
      <c r="Y67" s="12"/>
    </row>
    <row r="68" spans="2:25" x14ac:dyDescent="0.45">
      <c r="B68" s="5"/>
      <c r="C68" s="1"/>
      <c r="D68" s="1"/>
      <c r="E68" s="2" t="s">
        <v>5</v>
      </c>
      <c r="F68" s="13"/>
      <c r="G68" s="13"/>
      <c r="H68" s="12"/>
      <c r="I68" s="13" t="s">
        <v>6</v>
      </c>
      <c r="J68" s="13"/>
      <c r="K68" s="13"/>
      <c r="L68" s="13"/>
      <c r="M68" s="2" t="s">
        <v>7</v>
      </c>
      <c r="N68" s="13"/>
      <c r="O68" s="13"/>
      <c r="P68" s="29"/>
      <c r="Q68" s="12"/>
      <c r="R68" s="13" t="s">
        <v>8</v>
      </c>
      <c r="S68" s="13"/>
      <c r="T68" s="13"/>
      <c r="U68" s="13"/>
      <c r="V68" s="2" t="s">
        <v>9</v>
      </c>
      <c r="W68" s="13"/>
      <c r="X68" s="13"/>
      <c r="Y68" s="12"/>
    </row>
    <row r="69" spans="2:25" x14ac:dyDescent="0.45">
      <c r="B69" s="56" t="s">
        <v>82</v>
      </c>
      <c r="C69" s="50" t="s">
        <v>87</v>
      </c>
      <c r="D69" s="52" t="s">
        <v>83</v>
      </c>
      <c r="E69" s="56" t="s">
        <v>78</v>
      </c>
      <c r="F69" s="49" t="s">
        <v>79</v>
      </c>
      <c r="G69" s="51" t="s">
        <v>88</v>
      </c>
      <c r="H69" s="57" t="s">
        <v>84</v>
      </c>
      <c r="I69" s="54" t="s">
        <v>78</v>
      </c>
      <c r="J69" s="50" t="s">
        <v>79</v>
      </c>
      <c r="K69" s="51" t="s">
        <v>88</v>
      </c>
      <c r="L69" s="92" t="s">
        <v>89</v>
      </c>
      <c r="M69" s="56" t="s">
        <v>78</v>
      </c>
      <c r="N69" s="50" t="s">
        <v>79</v>
      </c>
      <c r="O69" s="51" t="s">
        <v>88</v>
      </c>
      <c r="P69" s="92"/>
      <c r="Q69" s="58" t="s">
        <v>89</v>
      </c>
      <c r="R69" s="54" t="s">
        <v>78</v>
      </c>
      <c r="S69" s="50" t="s">
        <v>79</v>
      </c>
      <c r="T69" s="51" t="s">
        <v>88</v>
      </c>
      <c r="U69" s="92" t="s">
        <v>89</v>
      </c>
      <c r="V69" s="56" t="s">
        <v>78</v>
      </c>
      <c r="W69" s="50" t="s">
        <v>79</v>
      </c>
      <c r="X69" s="51" t="s">
        <v>88</v>
      </c>
      <c r="Y69" s="58" t="s">
        <v>89</v>
      </c>
    </row>
    <row r="70" spans="2:25" x14ac:dyDescent="0.45">
      <c r="B70" s="56">
        <v>3</v>
      </c>
      <c r="C70" s="89">
        <v>240000</v>
      </c>
      <c r="D70" s="53">
        <v>1500</v>
      </c>
      <c r="E70" s="75">
        <v>0</v>
      </c>
      <c r="F70" s="37">
        <f>0+E87</f>
        <v>40</v>
      </c>
      <c r="G70" s="78"/>
      <c r="H70" s="40">
        <f>D70*(E70+F70-G70)</f>
        <v>60000</v>
      </c>
      <c r="I70" s="55">
        <f>E86</f>
        <v>0</v>
      </c>
      <c r="J70" s="35">
        <f>I87</f>
        <v>0</v>
      </c>
      <c r="K70" s="78"/>
      <c r="L70" s="53">
        <f t="shared" ref="L70:L81" si="27">D70*(I70+J70-K70)</f>
        <v>0</v>
      </c>
      <c r="M70" s="59">
        <f>I86</f>
        <v>20</v>
      </c>
      <c r="N70" s="35">
        <f>M87</f>
        <v>0</v>
      </c>
      <c r="O70" s="78"/>
      <c r="P70" s="148"/>
      <c r="Q70" s="40">
        <f t="shared" ref="Q70:Q81" si="28">D70*(M70+N70-O70)</f>
        <v>30000</v>
      </c>
      <c r="R70" s="55">
        <f>M86</f>
        <v>0</v>
      </c>
      <c r="S70" s="35">
        <f>R87</f>
        <v>22</v>
      </c>
      <c r="T70" s="78"/>
      <c r="U70" s="53">
        <f t="shared" ref="U70:U81" si="29">D70*(R70+S70-T70)</f>
        <v>33000</v>
      </c>
      <c r="V70" s="59">
        <f>R86</f>
        <v>0</v>
      </c>
      <c r="W70" s="35">
        <f>V87</f>
        <v>32</v>
      </c>
      <c r="X70" s="78"/>
      <c r="Y70" s="40">
        <f t="shared" ref="Y70:Y81" si="30">D70*(V70+W70-X70)</f>
        <v>48000</v>
      </c>
    </row>
    <row r="71" spans="2:25" x14ac:dyDescent="0.45">
      <c r="B71" s="56">
        <v>6</v>
      </c>
      <c r="C71" s="89">
        <f>C70*(1-1/12)</f>
        <v>220000</v>
      </c>
      <c r="D71" s="53">
        <f>D70*(1-1/12)</f>
        <v>1375</v>
      </c>
      <c r="E71" s="75">
        <v>0</v>
      </c>
      <c r="F71" s="37">
        <v>0</v>
      </c>
      <c r="G71" s="78"/>
      <c r="H71" s="40">
        <f t="shared" ref="H71:H79" si="31">D71*(E71+F71-G71)</f>
        <v>0</v>
      </c>
      <c r="I71" s="55">
        <f>E70-G70</f>
        <v>0</v>
      </c>
      <c r="J71" s="49">
        <f t="shared" ref="J71:J73" si="32">F70</f>
        <v>40</v>
      </c>
      <c r="K71" s="78"/>
      <c r="L71" s="53">
        <f t="shared" si="27"/>
        <v>55000</v>
      </c>
      <c r="M71" s="60">
        <f>I70-K70</f>
        <v>0</v>
      </c>
      <c r="N71" s="35">
        <f t="shared" ref="N71:N73" si="33">J70</f>
        <v>0</v>
      </c>
      <c r="O71" s="78"/>
      <c r="P71" s="148"/>
      <c r="Q71" s="40">
        <f t="shared" si="28"/>
        <v>0</v>
      </c>
      <c r="R71" s="93">
        <f>M70-O70</f>
        <v>20</v>
      </c>
      <c r="S71" s="35">
        <f t="shared" ref="S71:S73" si="34">N70</f>
        <v>0</v>
      </c>
      <c r="T71" s="78"/>
      <c r="U71" s="53">
        <f t="shared" si="29"/>
        <v>27500</v>
      </c>
      <c r="V71" s="60">
        <f>R70-T70</f>
        <v>0</v>
      </c>
      <c r="W71" s="35">
        <f>S70</f>
        <v>22</v>
      </c>
      <c r="X71" s="78"/>
      <c r="Y71" s="40">
        <f t="shared" si="30"/>
        <v>30250</v>
      </c>
    </row>
    <row r="72" spans="2:25" x14ac:dyDescent="0.45">
      <c r="B72" s="56">
        <v>9</v>
      </c>
      <c r="C72" s="89">
        <f>C70*(1-2/12)</f>
        <v>200000</v>
      </c>
      <c r="D72" s="53">
        <f>D70*(1-2/12)</f>
        <v>1250</v>
      </c>
      <c r="E72" s="75">
        <v>100</v>
      </c>
      <c r="F72" s="37">
        <v>0</v>
      </c>
      <c r="G72" s="78"/>
      <c r="H72" s="40">
        <f t="shared" si="31"/>
        <v>125000</v>
      </c>
      <c r="I72" s="55">
        <f t="shared" ref="I72:I81" si="35">E71-G71</f>
        <v>0</v>
      </c>
      <c r="J72" s="49">
        <f t="shared" si="32"/>
        <v>0</v>
      </c>
      <c r="K72" s="78"/>
      <c r="L72" s="53">
        <f t="shared" si="27"/>
        <v>0</v>
      </c>
      <c r="M72" s="60">
        <f t="shared" ref="M72:M81" si="36">I71-K71</f>
        <v>0</v>
      </c>
      <c r="N72" s="35">
        <f t="shared" si="33"/>
        <v>40</v>
      </c>
      <c r="O72" s="78"/>
      <c r="P72" s="148"/>
      <c r="Q72" s="40">
        <f t="shared" si="28"/>
        <v>50000</v>
      </c>
      <c r="R72" s="93">
        <f t="shared" ref="R72:R81" si="37">M71-O71</f>
        <v>0</v>
      </c>
      <c r="S72" s="35">
        <f t="shared" si="34"/>
        <v>0</v>
      </c>
      <c r="T72" s="78"/>
      <c r="U72" s="53">
        <f t="shared" si="29"/>
        <v>0</v>
      </c>
      <c r="V72" s="60">
        <f t="shared" ref="V72:V81" si="38">R71-T71</f>
        <v>20</v>
      </c>
      <c r="W72" s="35">
        <f>S71</f>
        <v>0</v>
      </c>
      <c r="X72" s="78"/>
      <c r="Y72" s="40">
        <f t="shared" si="30"/>
        <v>25000</v>
      </c>
    </row>
    <row r="73" spans="2:25" x14ac:dyDescent="0.45">
      <c r="B73" s="61" t="s">
        <v>67</v>
      </c>
      <c r="C73" s="89">
        <f>C70*(1-3/12)</f>
        <v>180000</v>
      </c>
      <c r="D73" s="53">
        <f>D70*(1-3/12)</f>
        <v>1125</v>
      </c>
      <c r="E73" s="75">
        <v>0</v>
      </c>
      <c r="F73" s="37">
        <v>10</v>
      </c>
      <c r="G73" s="78"/>
      <c r="H73" s="40">
        <f t="shared" si="31"/>
        <v>11250</v>
      </c>
      <c r="I73" s="55">
        <f t="shared" si="35"/>
        <v>100</v>
      </c>
      <c r="J73" s="49">
        <f t="shared" si="32"/>
        <v>0</v>
      </c>
      <c r="K73" s="78"/>
      <c r="L73" s="53">
        <f t="shared" si="27"/>
        <v>112500</v>
      </c>
      <c r="M73" s="60">
        <f t="shared" si="36"/>
        <v>0</v>
      </c>
      <c r="N73" s="35">
        <f t="shared" si="33"/>
        <v>0</v>
      </c>
      <c r="O73" s="78"/>
      <c r="P73" s="148"/>
      <c r="Q73" s="40">
        <f t="shared" si="28"/>
        <v>0</v>
      </c>
      <c r="R73" s="93">
        <f t="shared" si="37"/>
        <v>0</v>
      </c>
      <c r="S73" s="35">
        <f t="shared" si="34"/>
        <v>40</v>
      </c>
      <c r="T73" s="78"/>
      <c r="U73" s="53">
        <f t="shared" si="29"/>
        <v>45000</v>
      </c>
      <c r="V73" s="60">
        <f t="shared" si="38"/>
        <v>0</v>
      </c>
      <c r="W73" s="35">
        <f>S72</f>
        <v>0</v>
      </c>
      <c r="X73" s="78"/>
      <c r="Y73" s="40">
        <f t="shared" si="30"/>
        <v>0</v>
      </c>
    </row>
    <row r="74" spans="2:25" x14ac:dyDescent="0.45">
      <c r="B74" s="56">
        <v>15</v>
      </c>
      <c r="C74" s="89">
        <f>C70*(1-4/12)</f>
        <v>160000.00000000003</v>
      </c>
      <c r="D74" s="53">
        <f>D70*(1-4/12)</f>
        <v>1000.0000000000001</v>
      </c>
      <c r="E74" s="75">
        <v>0</v>
      </c>
      <c r="F74" s="37"/>
      <c r="G74" s="78"/>
      <c r="H74" s="40">
        <f t="shared" si="31"/>
        <v>0</v>
      </c>
      <c r="I74" s="55">
        <f t="shared" si="35"/>
        <v>0</v>
      </c>
      <c r="J74" s="49"/>
      <c r="K74" s="78"/>
      <c r="L74" s="53">
        <f t="shared" si="27"/>
        <v>0</v>
      </c>
      <c r="M74" s="60">
        <f t="shared" si="36"/>
        <v>100</v>
      </c>
      <c r="N74" s="35"/>
      <c r="O74" s="78"/>
      <c r="P74" s="148"/>
      <c r="Q74" s="40">
        <f t="shared" si="28"/>
        <v>100000.00000000001</v>
      </c>
      <c r="R74" s="93">
        <f t="shared" si="37"/>
        <v>0</v>
      </c>
      <c r="S74" s="35"/>
      <c r="T74" s="78"/>
      <c r="U74" s="53">
        <f t="shared" si="29"/>
        <v>0</v>
      </c>
      <c r="V74" s="60">
        <f t="shared" si="38"/>
        <v>0</v>
      </c>
      <c r="W74" s="35"/>
      <c r="X74" s="78"/>
      <c r="Y74" s="40">
        <f t="shared" si="30"/>
        <v>0</v>
      </c>
    </row>
    <row r="75" spans="2:25" x14ac:dyDescent="0.45">
      <c r="B75" s="56">
        <v>18</v>
      </c>
      <c r="C75" s="89">
        <f>C70*(1-5/12)</f>
        <v>139999.99999999997</v>
      </c>
      <c r="D75" s="53">
        <f>D70*(1-5/12)</f>
        <v>874.99999999999989</v>
      </c>
      <c r="E75" s="75">
        <v>0</v>
      </c>
      <c r="F75" s="37"/>
      <c r="G75" s="78"/>
      <c r="H75" s="40">
        <f t="shared" si="31"/>
        <v>0</v>
      </c>
      <c r="I75" s="55">
        <f t="shared" si="35"/>
        <v>0</v>
      </c>
      <c r="J75" s="49"/>
      <c r="K75" s="78"/>
      <c r="L75" s="53">
        <f t="shared" si="27"/>
        <v>0</v>
      </c>
      <c r="M75" s="60">
        <f t="shared" si="36"/>
        <v>0</v>
      </c>
      <c r="N75" s="35"/>
      <c r="O75" s="78"/>
      <c r="P75" s="148"/>
      <c r="Q75" s="40">
        <f t="shared" si="28"/>
        <v>0</v>
      </c>
      <c r="R75" s="93">
        <f t="shared" si="37"/>
        <v>100</v>
      </c>
      <c r="S75" s="35"/>
      <c r="T75" s="78"/>
      <c r="U75" s="53">
        <f t="shared" si="29"/>
        <v>87499.999999999985</v>
      </c>
      <c r="V75" s="60">
        <f t="shared" si="38"/>
        <v>0</v>
      </c>
      <c r="W75" s="35"/>
      <c r="X75" s="78"/>
      <c r="Y75" s="40">
        <f t="shared" si="30"/>
        <v>0</v>
      </c>
    </row>
    <row r="76" spans="2:25" x14ac:dyDescent="0.45">
      <c r="B76" s="56">
        <v>21</v>
      </c>
      <c r="C76" s="89">
        <f>C70*(1-6/12)</f>
        <v>120000</v>
      </c>
      <c r="D76" s="53">
        <f>D70*(1-6/12)</f>
        <v>750</v>
      </c>
      <c r="E76" s="75">
        <v>0</v>
      </c>
      <c r="F76" s="37"/>
      <c r="G76" s="78"/>
      <c r="H76" s="40">
        <f t="shared" si="31"/>
        <v>0</v>
      </c>
      <c r="I76" s="55">
        <f t="shared" si="35"/>
        <v>0</v>
      </c>
      <c r="J76" s="49"/>
      <c r="K76" s="78"/>
      <c r="L76" s="53">
        <f t="shared" si="27"/>
        <v>0</v>
      </c>
      <c r="M76" s="60">
        <f t="shared" si="36"/>
        <v>0</v>
      </c>
      <c r="N76" s="35"/>
      <c r="O76" s="78"/>
      <c r="P76" s="148"/>
      <c r="Q76" s="40">
        <f t="shared" si="28"/>
        <v>0</v>
      </c>
      <c r="R76" s="93">
        <f t="shared" si="37"/>
        <v>0</v>
      </c>
      <c r="S76" s="35"/>
      <c r="T76" s="78"/>
      <c r="U76" s="53">
        <f t="shared" si="29"/>
        <v>0</v>
      </c>
      <c r="V76" s="60">
        <f t="shared" si="38"/>
        <v>100</v>
      </c>
      <c r="W76" s="35"/>
      <c r="X76" s="78"/>
      <c r="Y76" s="40">
        <f t="shared" si="30"/>
        <v>75000</v>
      </c>
    </row>
    <row r="77" spans="2:25" x14ac:dyDescent="0.45">
      <c r="B77" s="61" t="s">
        <v>68</v>
      </c>
      <c r="C77" s="89">
        <f>C70*(1-7/12)</f>
        <v>99999.999999999985</v>
      </c>
      <c r="D77" s="53">
        <f>D70*(1-7/12)</f>
        <v>625</v>
      </c>
      <c r="E77" s="75">
        <v>80</v>
      </c>
      <c r="F77" s="37"/>
      <c r="G77" s="78"/>
      <c r="H77" s="40">
        <f t="shared" si="31"/>
        <v>50000</v>
      </c>
      <c r="I77" s="55">
        <f t="shared" si="35"/>
        <v>0</v>
      </c>
      <c r="J77" s="49"/>
      <c r="K77" s="78"/>
      <c r="L77" s="53">
        <f t="shared" si="27"/>
        <v>0</v>
      </c>
      <c r="M77" s="60">
        <f t="shared" si="36"/>
        <v>0</v>
      </c>
      <c r="N77" s="35"/>
      <c r="O77" s="78"/>
      <c r="P77" s="148"/>
      <c r="Q77" s="40">
        <f t="shared" si="28"/>
        <v>0</v>
      </c>
      <c r="R77" s="93">
        <f t="shared" si="37"/>
        <v>0</v>
      </c>
      <c r="S77" s="35"/>
      <c r="T77" s="78"/>
      <c r="U77" s="53">
        <f t="shared" si="29"/>
        <v>0</v>
      </c>
      <c r="V77" s="60">
        <f t="shared" si="38"/>
        <v>0</v>
      </c>
      <c r="W77" s="35"/>
      <c r="X77" s="78"/>
      <c r="Y77" s="40">
        <f t="shared" si="30"/>
        <v>0</v>
      </c>
    </row>
    <row r="78" spans="2:25" x14ac:dyDescent="0.45">
      <c r="B78" s="56">
        <v>27</v>
      </c>
      <c r="C78" s="89">
        <f>C70*(1-8/12)</f>
        <v>80000.000000000015</v>
      </c>
      <c r="D78" s="53">
        <f>D70*(1-8/12)</f>
        <v>500.00000000000006</v>
      </c>
      <c r="E78" s="75">
        <v>0</v>
      </c>
      <c r="F78" s="37"/>
      <c r="G78" s="78"/>
      <c r="H78" s="40">
        <f t="shared" si="31"/>
        <v>0</v>
      </c>
      <c r="I78" s="55">
        <f t="shared" si="35"/>
        <v>80</v>
      </c>
      <c r="J78" s="49"/>
      <c r="K78" s="78"/>
      <c r="L78" s="53">
        <f t="shared" si="27"/>
        <v>40000.000000000007</v>
      </c>
      <c r="M78" s="60">
        <f t="shared" si="36"/>
        <v>0</v>
      </c>
      <c r="N78" s="35"/>
      <c r="O78" s="78"/>
      <c r="P78" s="148"/>
      <c r="Q78" s="40">
        <f t="shared" si="28"/>
        <v>0</v>
      </c>
      <c r="R78" s="93">
        <f t="shared" si="37"/>
        <v>0</v>
      </c>
      <c r="S78" s="35"/>
      <c r="T78" s="78"/>
      <c r="U78" s="53">
        <f t="shared" si="29"/>
        <v>0</v>
      </c>
      <c r="V78" s="60">
        <f t="shared" si="38"/>
        <v>0</v>
      </c>
      <c r="W78" s="35"/>
      <c r="X78" s="78"/>
      <c r="Y78" s="40">
        <f t="shared" si="30"/>
        <v>0</v>
      </c>
    </row>
    <row r="79" spans="2:25" x14ac:dyDescent="0.45">
      <c r="B79" s="56">
        <v>30</v>
      </c>
      <c r="C79" s="89">
        <f>C70*(1-9/12)</f>
        <v>60000</v>
      </c>
      <c r="D79" s="53">
        <f>D70*(1-9/12)</f>
        <v>375</v>
      </c>
      <c r="E79" s="75">
        <v>0</v>
      </c>
      <c r="F79" s="37"/>
      <c r="G79" s="78"/>
      <c r="H79" s="40">
        <f t="shared" si="31"/>
        <v>0</v>
      </c>
      <c r="I79" s="55">
        <f t="shared" si="35"/>
        <v>0</v>
      </c>
      <c r="J79" s="49"/>
      <c r="K79" s="78"/>
      <c r="L79" s="53">
        <f t="shared" si="27"/>
        <v>0</v>
      </c>
      <c r="M79" s="60">
        <f t="shared" si="36"/>
        <v>80</v>
      </c>
      <c r="N79" s="35"/>
      <c r="O79" s="78">
        <v>80</v>
      </c>
      <c r="P79" s="148"/>
      <c r="Q79" s="40">
        <f t="shared" si="28"/>
        <v>0</v>
      </c>
      <c r="R79" s="93">
        <f t="shared" si="37"/>
        <v>0</v>
      </c>
      <c r="S79" s="35"/>
      <c r="T79" s="78"/>
      <c r="U79" s="53">
        <f t="shared" si="29"/>
        <v>0</v>
      </c>
      <c r="V79" s="60">
        <f t="shared" si="38"/>
        <v>0</v>
      </c>
      <c r="W79" s="35"/>
      <c r="X79" s="78"/>
      <c r="Y79" s="40">
        <f t="shared" si="30"/>
        <v>0</v>
      </c>
    </row>
    <row r="80" spans="2:25" x14ac:dyDescent="0.45">
      <c r="B80" s="56">
        <v>33</v>
      </c>
      <c r="C80" s="89">
        <f>C70*(1-10/12)</f>
        <v>39999.999999999993</v>
      </c>
      <c r="D80" s="53">
        <f>D70*(1-10/12)</f>
        <v>249.99999999999994</v>
      </c>
      <c r="E80" s="75">
        <v>0</v>
      </c>
      <c r="F80" s="37"/>
      <c r="G80" s="281"/>
      <c r="H80" s="40">
        <f>D80*(E80+F80)</f>
        <v>0</v>
      </c>
      <c r="I80" s="55">
        <f t="shared" si="35"/>
        <v>0</v>
      </c>
      <c r="J80" s="49"/>
      <c r="K80" s="281"/>
      <c r="L80" s="53">
        <f t="shared" si="27"/>
        <v>0</v>
      </c>
      <c r="M80" s="60">
        <f t="shared" si="36"/>
        <v>0</v>
      </c>
      <c r="N80" s="35"/>
      <c r="O80" s="281"/>
      <c r="P80" s="92"/>
      <c r="Q80" s="40">
        <f t="shared" si="28"/>
        <v>0</v>
      </c>
      <c r="R80" s="93">
        <f t="shared" si="37"/>
        <v>0</v>
      </c>
      <c r="S80" s="35"/>
      <c r="T80" s="281"/>
      <c r="U80" s="53">
        <f t="shared" si="29"/>
        <v>0</v>
      </c>
      <c r="V80" s="60">
        <f t="shared" si="38"/>
        <v>0</v>
      </c>
      <c r="W80" s="35"/>
      <c r="X80" s="50"/>
      <c r="Y80" s="40">
        <f t="shared" si="30"/>
        <v>0</v>
      </c>
    </row>
    <row r="81" spans="2:25" x14ac:dyDescent="0.45">
      <c r="B81" s="61" t="s">
        <v>69</v>
      </c>
      <c r="C81" s="89">
        <f>C70*(1-11/12)</f>
        <v>20000.000000000007</v>
      </c>
      <c r="D81" s="53">
        <f>D70*(1-11/12)</f>
        <v>125.00000000000006</v>
      </c>
      <c r="E81" s="75">
        <v>0</v>
      </c>
      <c r="F81" s="37"/>
      <c r="G81" s="281"/>
      <c r="H81" s="40">
        <f>D81*(E81+F81)</f>
        <v>0</v>
      </c>
      <c r="I81" s="55">
        <f t="shared" si="35"/>
        <v>0</v>
      </c>
      <c r="J81" s="49"/>
      <c r="K81" s="281"/>
      <c r="L81" s="53">
        <f t="shared" si="27"/>
        <v>0</v>
      </c>
      <c r="M81" s="60">
        <f t="shared" si="36"/>
        <v>0</v>
      </c>
      <c r="N81" s="35"/>
      <c r="O81" s="281"/>
      <c r="P81" s="92"/>
      <c r="Q81" s="40">
        <f t="shared" si="28"/>
        <v>0</v>
      </c>
      <c r="R81" s="93">
        <f t="shared" si="37"/>
        <v>0</v>
      </c>
      <c r="S81" s="35"/>
      <c r="T81" s="281"/>
      <c r="U81" s="53">
        <f t="shared" si="29"/>
        <v>0</v>
      </c>
      <c r="V81" s="60">
        <f t="shared" si="38"/>
        <v>0</v>
      </c>
      <c r="W81" s="35"/>
      <c r="X81" s="50"/>
      <c r="Y81" s="40">
        <f t="shared" si="30"/>
        <v>0</v>
      </c>
    </row>
    <row r="82" spans="2:25" x14ac:dyDescent="0.45">
      <c r="B82" s="5"/>
      <c r="C82" s="1"/>
      <c r="D82" s="1"/>
      <c r="E82" s="5"/>
      <c r="F82" s="1"/>
      <c r="G82" s="1"/>
      <c r="H82" s="6"/>
      <c r="I82" s="1"/>
      <c r="J82" s="1"/>
      <c r="K82" s="1"/>
      <c r="L82" s="1"/>
      <c r="M82" s="5"/>
      <c r="N82" s="1"/>
      <c r="O82" s="1"/>
      <c r="P82" s="19"/>
      <c r="Q82" s="6"/>
      <c r="R82" s="1"/>
      <c r="S82" s="1"/>
      <c r="T82" s="1"/>
      <c r="U82" s="1"/>
      <c r="V82" s="5"/>
      <c r="W82" s="1"/>
      <c r="X82" s="1"/>
      <c r="Y82" s="6"/>
    </row>
    <row r="83" spans="2:25" x14ac:dyDescent="0.45">
      <c r="B83" s="56" t="s">
        <v>70</v>
      </c>
      <c r="C83" s="49"/>
      <c r="D83" s="52"/>
      <c r="E83" s="75">
        <f t="shared" ref="E83:O83" si="39">SUM(E70:E81)</f>
        <v>180</v>
      </c>
      <c r="F83" s="37">
        <f t="shared" si="39"/>
        <v>50</v>
      </c>
      <c r="G83" s="49">
        <f t="shared" si="39"/>
        <v>0</v>
      </c>
      <c r="H83" s="40">
        <f t="shared" si="39"/>
        <v>246250</v>
      </c>
      <c r="I83" s="55">
        <f t="shared" si="39"/>
        <v>180</v>
      </c>
      <c r="J83" s="35">
        <f t="shared" si="39"/>
        <v>40</v>
      </c>
      <c r="K83" s="49">
        <f t="shared" si="39"/>
        <v>0</v>
      </c>
      <c r="L83" s="53">
        <f t="shared" si="39"/>
        <v>207500</v>
      </c>
      <c r="M83" s="59">
        <f t="shared" si="39"/>
        <v>200</v>
      </c>
      <c r="N83" s="35">
        <f t="shared" si="39"/>
        <v>40</v>
      </c>
      <c r="O83" s="49">
        <f t="shared" si="39"/>
        <v>80</v>
      </c>
      <c r="P83" s="92"/>
      <c r="Q83" s="40">
        <f t="shared" ref="Q83:Y83" si="40">SUM(Q70:Q81)</f>
        <v>180000</v>
      </c>
      <c r="R83" s="55">
        <f t="shared" si="40"/>
        <v>120</v>
      </c>
      <c r="S83" s="35">
        <f t="shared" si="40"/>
        <v>62</v>
      </c>
      <c r="T83" s="49">
        <f t="shared" si="40"/>
        <v>0</v>
      </c>
      <c r="U83" s="53">
        <f t="shared" si="40"/>
        <v>193000</v>
      </c>
      <c r="V83" s="59">
        <f t="shared" si="40"/>
        <v>120</v>
      </c>
      <c r="W83" s="35">
        <f t="shared" si="40"/>
        <v>54</v>
      </c>
      <c r="X83" s="49">
        <f t="shared" si="40"/>
        <v>0</v>
      </c>
      <c r="Y83" s="40">
        <f t="shared" si="40"/>
        <v>178250</v>
      </c>
    </row>
    <row r="84" spans="2:25" x14ac:dyDescent="0.45">
      <c r="B84" s="5"/>
      <c r="C84" s="1"/>
      <c r="D84" s="1"/>
      <c r="E84" s="5"/>
      <c r="F84" s="1"/>
      <c r="G84" s="1"/>
      <c r="H84" s="6"/>
      <c r="I84" s="1"/>
      <c r="J84" s="1"/>
      <c r="K84" s="1"/>
      <c r="L84" s="1"/>
      <c r="M84" s="5"/>
      <c r="N84" s="1"/>
      <c r="O84" s="1"/>
      <c r="P84" s="19"/>
      <c r="Q84" s="6"/>
      <c r="R84" s="1"/>
      <c r="S84" s="1"/>
      <c r="T84" s="1"/>
      <c r="U84" s="1"/>
      <c r="V84" s="5"/>
      <c r="W84" s="1"/>
      <c r="X84" s="1"/>
      <c r="Y84" s="6"/>
    </row>
    <row r="85" spans="2:25" x14ac:dyDescent="0.45">
      <c r="B85" s="5"/>
      <c r="C85" s="1"/>
      <c r="D85" s="1"/>
      <c r="E85" s="5"/>
      <c r="F85" s="1"/>
      <c r="G85" s="19"/>
      <c r="H85" s="6"/>
      <c r="I85" s="1"/>
      <c r="J85" s="1"/>
      <c r="K85" s="19"/>
      <c r="L85" s="1"/>
      <c r="M85" s="5"/>
      <c r="N85" s="1"/>
      <c r="O85" s="19"/>
      <c r="P85" s="19"/>
      <c r="Q85" s="6"/>
      <c r="R85" s="1"/>
      <c r="S85" s="1"/>
      <c r="T85" s="19"/>
      <c r="U85" s="1"/>
      <c r="V85" s="5"/>
      <c r="W85" s="1"/>
      <c r="X85" s="19"/>
      <c r="Y85" s="6"/>
    </row>
    <row r="86" spans="2:25" x14ac:dyDescent="0.45">
      <c r="B86" s="87" t="s">
        <v>80</v>
      </c>
      <c r="C86" s="1"/>
      <c r="D86" s="1"/>
      <c r="E86" s="88">
        <v>0</v>
      </c>
      <c r="F86" s="1"/>
      <c r="G86" s="1"/>
      <c r="H86" s="6"/>
      <c r="I86" s="282">
        <v>20</v>
      </c>
      <c r="J86" s="1"/>
      <c r="K86" s="1"/>
      <c r="L86" s="1"/>
      <c r="M86" s="88">
        <v>0</v>
      </c>
      <c r="N86" s="1"/>
      <c r="O86" s="1"/>
      <c r="P86" s="19"/>
      <c r="Q86" s="6"/>
      <c r="R86" s="282">
        <v>0</v>
      </c>
      <c r="S86" s="1"/>
      <c r="T86" s="1"/>
      <c r="U86" s="1"/>
      <c r="V86" s="88">
        <v>0</v>
      </c>
      <c r="W86" s="1"/>
      <c r="X86" s="1"/>
      <c r="Y86" s="6"/>
    </row>
    <row r="87" spans="2:25" x14ac:dyDescent="0.45">
      <c r="B87" s="62" t="s">
        <v>81</v>
      </c>
      <c r="C87" s="1"/>
      <c r="D87" s="1"/>
      <c r="E87" s="88">
        <v>40</v>
      </c>
      <c r="F87" s="1"/>
      <c r="G87" s="1"/>
      <c r="H87" s="6"/>
      <c r="I87" s="282">
        <v>0</v>
      </c>
      <c r="J87" s="1"/>
      <c r="K87" s="1"/>
      <c r="L87" s="1"/>
      <c r="M87" s="88">
        <v>0</v>
      </c>
      <c r="N87" s="1"/>
      <c r="O87" s="1"/>
      <c r="P87" s="19"/>
      <c r="Q87" s="6"/>
      <c r="R87" s="282">
        <v>22</v>
      </c>
      <c r="S87" s="1"/>
      <c r="T87" s="1"/>
      <c r="U87" s="1"/>
      <c r="V87" s="88">
        <v>32</v>
      </c>
      <c r="W87" s="1"/>
      <c r="X87" s="1"/>
      <c r="Y87" s="6"/>
    </row>
    <row r="88" spans="2:25" x14ac:dyDescent="0.45">
      <c r="B88" s="99" t="s">
        <v>200</v>
      </c>
      <c r="C88" s="1"/>
      <c r="D88" s="1"/>
      <c r="E88" s="100">
        <f>E70*C70+C71*E71+E72*C72+C73*E73+E74*C74+C75*E75+E76*C76+C77*E77+E78*C78+C79*E79+E80*C80+C81*E81</f>
        <v>28000000</v>
      </c>
      <c r="F88" s="89">
        <f>40000*F83</f>
        <v>2000000</v>
      </c>
      <c r="G88" s="89">
        <f>G70*C70/2+G71*C71/2+G72*C72/2+G73*C73/2+G74*C74/2+G75*C75/2+G76*C76/2+G77*C77/2+G78*C78/2+G79*C79/2</f>
        <v>0</v>
      </c>
      <c r="H88" s="6"/>
      <c r="I88" s="90">
        <f>I70*C70+C71*I71+I72*C72+C73*I73+I74*C74+C75*I75+I76*C76+C77*I77+I78*C78+C79*I79+I80*C80+C81*I81</f>
        <v>24400000</v>
      </c>
      <c r="J88" s="89">
        <f>40000*J83</f>
        <v>1600000</v>
      </c>
      <c r="K88" s="89">
        <f>K70*C70/2+K71*C71/2+K72*C72/2+K73*C73/2+K74*C74/2+K75*C75/2+K76*C76/2+K77*C77/2+K78*C78/2+K79*C79/2</f>
        <v>0</v>
      </c>
      <c r="L88" s="1"/>
      <c r="M88" s="100">
        <f>M70*C70+C71*M71+M72*C72+C73*M73+M74*C74+C75*M75+M76*C76+C77*M77+M78*C78+C79*M79+M80*C80+C81*M81</f>
        <v>25600000.000000004</v>
      </c>
      <c r="N88" s="89">
        <f>40000*N83</f>
        <v>1600000</v>
      </c>
      <c r="O88" s="89">
        <f>O70*C70/2+O71*C71/2+O72*C72/2+O73*C73/2+O74*C74/2+O75*C75/2+O76*C76/2+O77*C77/2+O78*C78/2+O79*C79/2</f>
        <v>2400000</v>
      </c>
      <c r="P88" s="149"/>
      <c r="Q88" s="6"/>
      <c r="R88" s="90">
        <f>R70*C70+C71*R71+R72*C72+C73*R73+R74*C74+C75*R75+R76*C76+C77*R77+R78*C78+C79*R79+R80*C80+C81*R81</f>
        <v>18399999.999999996</v>
      </c>
      <c r="S88" s="89">
        <f>40000*S83</f>
        <v>2480000</v>
      </c>
      <c r="T88" s="89">
        <f>T70*C70/2+T71*C71/2+T72*C72/2+T73*C73/2+T74*C74/2+T75*C75/2+T76*C76/2+T77*C77/2+T78*C78/2+T79*C79/2</f>
        <v>0</v>
      </c>
      <c r="U88" s="1"/>
      <c r="V88" s="100">
        <f>V70*C70+C71*V71+V72*C72+C73*V73+V74*C74+C75*V75+V76*C76+C77*V77+V78*C78+C79*V79+V80*C80+C81*V81</f>
        <v>16000000</v>
      </c>
      <c r="W88" s="89">
        <f>40000*W83</f>
        <v>2160000</v>
      </c>
      <c r="X88" s="89">
        <f>X70*C70/2+X71*C71/2+X72*C72/2+X73*C73/2+X74*C74/2+X75*C75/2+X76*C76/2+X77*C77/2+X78*C78/2+X79*C79/2</f>
        <v>0</v>
      </c>
      <c r="Y88" s="6"/>
    </row>
    <row r="89" spans="2:25" ht="14.65" thickBot="1" x14ac:dyDescent="0.5">
      <c r="B89" s="94" t="s">
        <v>204</v>
      </c>
      <c r="C89" s="8"/>
      <c r="D89" s="8"/>
      <c r="E89" s="91">
        <f>20000*E83</f>
        <v>3600000</v>
      </c>
      <c r="F89" s="8"/>
      <c r="G89" s="8"/>
      <c r="H89" s="9"/>
      <c r="I89" s="241">
        <f>20000*I83</f>
        <v>3600000</v>
      </c>
      <c r="J89" s="8"/>
      <c r="K89" s="8"/>
      <c r="L89" s="8"/>
      <c r="M89" s="91">
        <f>20000*M83</f>
        <v>4000000</v>
      </c>
      <c r="N89" s="8"/>
      <c r="O89" s="8"/>
      <c r="P89" s="150"/>
      <c r="Q89" s="9"/>
      <c r="R89" s="241">
        <f>20000*R83</f>
        <v>2400000</v>
      </c>
      <c r="S89" s="8"/>
      <c r="T89" s="8"/>
      <c r="U89" s="8"/>
      <c r="V89" s="91">
        <f>20000*V83</f>
        <v>2400000</v>
      </c>
      <c r="W89" s="8"/>
      <c r="X89" s="8"/>
      <c r="Y89" s="9"/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ACADE-EC01-4062-A439-3CB89F8CC38A}">
  <dimension ref="A1:N62"/>
  <sheetViews>
    <sheetView zoomScale="79" workbookViewId="0">
      <selection activeCell="I27" sqref="I27"/>
    </sheetView>
  </sheetViews>
  <sheetFormatPr defaultRowHeight="14.25" x14ac:dyDescent="0.45"/>
  <cols>
    <col min="2" max="2" width="24.1328125" customWidth="1"/>
    <col min="3" max="3" width="15.796875" customWidth="1"/>
    <col min="4" max="4" width="15.33203125" customWidth="1"/>
    <col min="5" max="5" width="14.46484375" customWidth="1"/>
    <col min="6" max="7" width="16.06640625" customWidth="1"/>
    <col min="9" max="9" width="21.265625" customWidth="1"/>
    <col min="10" max="10" width="15.9296875" customWidth="1"/>
    <col min="11" max="11" width="18.33203125" customWidth="1"/>
    <col min="12" max="12" width="16.06640625" customWidth="1"/>
    <col min="13" max="13" width="15.3984375" customWidth="1"/>
    <col min="14" max="14" width="15.53125" customWidth="1"/>
  </cols>
  <sheetData>
    <row r="1" spans="1:14" ht="14.65" thickBot="1" x14ac:dyDescent="0.5"/>
    <row r="2" spans="1:14" ht="14.65" thickBot="1" x14ac:dyDescent="0.5">
      <c r="A2" s="2"/>
      <c r="B2" s="21" t="s">
        <v>0</v>
      </c>
      <c r="C2" s="3" t="s">
        <v>5</v>
      </c>
      <c r="D2" s="3" t="s">
        <v>6</v>
      </c>
      <c r="E2" s="3" t="s">
        <v>7</v>
      </c>
      <c r="F2" s="3" t="s">
        <v>8</v>
      </c>
      <c r="G2" s="4" t="s">
        <v>9</v>
      </c>
    </row>
    <row r="3" spans="1:14" x14ac:dyDescent="0.45">
      <c r="A3" s="5"/>
      <c r="B3" s="1"/>
      <c r="C3" s="1"/>
      <c r="D3" s="1"/>
      <c r="E3" s="1"/>
      <c r="F3" s="1"/>
      <c r="G3" s="6"/>
      <c r="I3" s="10" t="s">
        <v>18</v>
      </c>
      <c r="J3" s="3" t="s">
        <v>5</v>
      </c>
      <c r="K3" s="3" t="s">
        <v>6</v>
      </c>
      <c r="L3" s="3" t="s">
        <v>7</v>
      </c>
      <c r="M3" s="3" t="s">
        <v>8</v>
      </c>
      <c r="N3" s="4" t="s">
        <v>9</v>
      </c>
    </row>
    <row r="4" spans="1:14" x14ac:dyDescent="0.45">
      <c r="A4" s="5"/>
      <c r="B4" s="51" t="s">
        <v>1</v>
      </c>
      <c r="C4" s="279">
        <v>800000</v>
      </c>
      <c r="D4" s="279">
        <v>3000000</v>
      </c>
      <c r="E4" s="279">
        <v>4000000</v>
      </c>
      <c r="F4" s="279">
        <v>4000000</v>
      </c>
      <c r="G4" s="76">
        <v>4000000</v>
      </c>
      <c r="I4" s="5"/>
      <c r="J4" s="1"/>
      <c r="K4" s="1"/>
      <c r="L4" s="1"/>
      <c r="M4" s="1"/>
      <c r="N4" s="6"/>
    </row>
    <row r="5" spans="1:14" x14ac:dyDescent="0.45">
      <c r="A5" s="5"/>
      <c r="B5" s="51" t="s">
        <v>60</v>
      </c>
      <c r="C5" s="279">
        <v>1000000</v>
      </c>
      <c r="D5" s="279">
        <v>800000</v>
      </c>
      <c r="E5" s="279">
        <v>1000000</v>
      </c>
      <c r="F5" s="279">
        <v>1000000</v>
      </c>
      <c r="G5" s="76">
        <v>1000000</v>
      </c>
      <c r="I5" s="5" t="s">
        <v>10</v>
      </c>
      <c r="J5" s="36">
        <f>Operation!S49</f>
        <v>88673.817777777775</v>
      </c>
      <c r="K5" s="36">
        <f>Operation!T49</f>
        <v>104000</v>
      </c>
      <c r="L5" s="36">
        <f>Operation!U49</f>
        <v>23695.564836679216</v>
      </c>
      <c r="M5" s="36">
        <f>Operation!V49</f>
        <v>66967.039607765211</v>
      </c>
      <c r="N5" s="43">
        <f>Operation!W49</f>
        <v>157073.53188171698</v>
      </c>
    </row>
    <row r="6" spans="1:14" x14ac:dyDescent="0.45">
      <c r="A6" s="5"/>
      <c r="B6" s="1"/>
      <c r="C6" s="19"/>
      <c r="D6" s="1"/>
      <c r="E6" s="1"/>
      <c r="F6" s="1"/>
      <c r="G6" s="6"/>
      <c r="I6" s="5" t="s">
        <v>14</v>
      </c>
      <c r="J6" s="36">
        <f>Operation!S50</f>
        <v>0</v>
      </c>
      <c r="K6" s="36">
        <f>Operation!T50</f>
        <v>213203.38615293609</v>
      </c>
      <c r="L6" s="36">
        <f>Operation!U50</f>
        <v>40000</v>
      </c>
      <c r="M6" s="36">
        <f>Operation!V50</f>
        <v>289455.59162484168</v>
      </c>
      <c r="N6" s="43">
        <f>Operation!W50</f>
        <v>35000</v>
      </c>
    </row>
    <row r="7" spans="1:14" ht="14.65" thickBot="1" x14ac:dyDescent="0.5">
      <c r="A7" s="56" t="s">
        <v>10</v>
      </c>
      <c r="B7" s="49" t="s">
        <v>16</v>
      </c>
      <c r="C7" s="36">
        <f>Operation!K23</f>
        <v>75302.835999999996</v>
      </c>
      <c r="D7" s="35">
        <f>Operation!L23</f>
        <v>70278.31740559086</v>
      </c>
      <c r="E7" s="35">
        <f>Operation!M23</f>
        <v>86270.744353011309</v>
      </c>
      <c r="F7" s="35">
        <f>Operation!N23</f>
        <v>27908.48</v>
      </c>
      <c r="G7" s="40">
        <f>Operation!O23</f>
        <v>61882.158693545265</v>
      </c>
      <c r="I7" s="7" t="s">
        <v>15</v>
      </c>
      <c r="J7" s="47">
        <f>Operation!S51</f>
        <v>900</v>
      </c>
      <c r="K7" s="47">
        <f>Operation!T51</f>
        <v>17634.686299455469</v>
      </c>
      <c r="L7" s="47">
        <f>Operation!U51</f>
        <v>12784.727598078964</v>
      </c>
      <c r="M7" s="47">
        <f>Operation!V51</f>
        <v>30914.030546910009</v>
      </c>
      <c r="N7" s="48">
        <f>Operation!W51</f>
        <v>9336.0085937087861</v>
      </c>
    </row>
    <row r="8" spans="1:14" ht="14.65" thickBot="1" x14ac:dyDescent="0.5">
      <c r="A8" s="5"/>
      <c r="B8" s="51" t="s">
        <v>17</v>
      </c>
      <c r="C8" s="284">
        <v>355</v>
      </c>
      <c r="D8" s="284">
        <v>355</v>
      </c>
      <c r="E8" s="284">
        <v>385</v>
      </c>
      <c r="F8" s="284">
        <v>600</v>
      </c>
      <c r="G8" s="212">
        <v>600</v>
      </c>
    </row>
    <row r="9" spans="1:14" x14ac:dyDescent="0.45">
      <c r="A9" s="5"/>
      <c r="B9" s="50" t="s">
        <v>285</v>
      </c>
      <c r="C9" s="224" t="s">
        <v>264</v>
      </c>
      <c r="D9" s="225">
        <f>C8*(1+2.5)</f>
        <v>1242.5</v>
      </c>
      <c r="E9" s="225">
        <f>D8*(1+2.5)</f>
        <v>1242.5</v>
      </c>
      <c r="F9" s="225">
        <f>E8*(1+2.5)</f>
        <v>1347.5</v>
      </c>
      <c r="G9" s="226">
        <f>F8*(1+2.5)</f>
        <v>2100</v>
      </c>
      <c r="I9" s="10" t="s">
        <v>108</v>
      </c>
      <c r="J9" s="3" t="s">
        <v>5</v>
      </c>
      <c r="K9" s="3" t="s">
        <v>6</v>
      </c>
      <c r="L9" s="3" t="s">
        <v>7</v>
      </c>
      <c r="M9" s="3" t="s">
        <v>8</v>
      </c>
      <c r="N9" s="4" t="s">
        <v>9</v>
      </c>
    </row>
    <row r="10" spans="1:14" x14ac:dyDescent="0.45">
      <c r="A10" s="5"/>
      <c r="B10" s="50" t="s">
        <v>58</v>
      </c>
      <c r="C10" s="302">
        <v>48973</v>
      </c>
      <c r="D10" s="302">
        <v>52536</v>
      </c>
      <c r="E10" s="302">
        <v>69814</v>
      </c>
      <c r="F10" s="302">
        <v>38325</v>
      </c>
      <c r="G10" s="194">
        <v>15789</v>
      </c>
      <c r="I10" s="5"/>
      <c r="J10" s="1"/>
      <c r="K10" s="1"/>
      <c r="L10" s="1"/>
      <c r="M10" s="1"/>
      <c r="N10" s="6"/>
    </row>
    <row r="11" spans="1:14" x14ac:dyDescent="0.45">
      <c r="A11" s="5"/>
      <c r="B11" s="50" t="s">
        <v>59</v>
      </c>
      <c r="C11" s="216">
        <f>C10*C8</f>
        <v>17385415</v>
      </c>
      <c r="D11" s="38">
        <f>D10*D8</f>
        <v>18650280</v>
      </c>
      <c r="E11" s="38">
        <f>E10*E8</f>
        <v>26878390</v>
      </c>
      <c r="F11" s="38">
        <f>F10*F8</f>
        <v>22995000</v>
      </c>
      <c r="G11" s="63">
        <f>G10*G8</f>
        <v>9473400</v>
      </c>
      <c r="I11" s="5" t="s">
        <v>10</v>
      </c>
      <c r="J11" s="35">
        <f>Operation!K32+Operation!S24+Operation!S33</f>
        <v>44996</v>
      </c>
      <c r="K11" s="35">
        <f>Operation!L32+Operation!T24+Operation!T33</f>
        <v>84696.817777777789</v>
      </c>
      <c r="L11" s="35">
        <f>Operation!M32+Operation!U24+Operation!U33</f>
        <v>82160.817777777789</v>
      </c>
      <c r="M11" s="35">
        <f>Operation!N32+Operation!V24+Operation!V33</f>
        <v>26042.382614457005</v>
      </c>
      <c r="N11" s="40">
        <f>Operation!O32+Operation!W24+Operation!W33</f>
        <v>25684.422222222216</v>
      </c>
    </row>
    <row r="12" spans="1:14" x14ac:dyDescent="0.45">
      <c r="A12" s="5"/>
      <c r="B12" s="50" t="s">
        <v>303</v>
      </c>
      <c r="C12" s="80">
        <f>C10/C7</f>
        <v>0.6503473521236306</v>
      </c>
      <c r="D12" s="80">
        <f t="shared" ref="D12:G12" si="0">D10/D7</f>
        <v>0.74754208608615036</v>
      </c>
      <c r="E12" s="80">
        <f t="shared" si="0"/>
        <v>0.80924304668484204</v>
      </c>
      <c r="F12" s="80">
        <f t="shared" si="0"/>
        <v>1.3732385282179467</v>
      </c>
      <c r="G12" s="81">
        <f t="shared" si="0"/>
        <v>0.25514623816196802</v>
      </c>
      <c r="I12" s="5" t="s">
        <v>14</v>
      </c>
      <c r="J12" s="35">
        <f>Operation!K33+Operation!S25+Operation!S34</f>
        <v>171665</v>
      </c>
      <c r="K12" s="35">
        <f>Operation!L33+Operation!T25+Operation!T34</f>
        <v>64811</v>
      </c>
      <c r="L12" s="35">
        <f>Operation!M33+Operation!U25+Operation!U34</f>
        <v>73457.386152936087</v>
      </c>
      <c r="M12" s="35">
        <f>Operation!N33+Operation!V25+Operation!V34</f>
        <v>107349.38615293609</v>
      </c>
      <c r="N12" s="40">
        <f>Operation!O33+Operation!W25+Operation!W34</f>
        <v>220291.97777777776</v>
      </c>
    </row>
    <row r="13" spans="1:14" ht="14.65" thickBot="1" x14ac:dyDescent="0.5">
      <c r="A13" s="5"/>
      <c r="B13" s="1"/>
      <c r="C13" s="217"/>
      <c r="D13" s="68"/>
      <c r="E13" s="68"/>
      <c r="F13" s="68"/>
      <c r="G13" s="69"/>
      <c r="I13" s="7" t="s">
        <v>15</v>
      </c>
      <c r="J13" s="41">
        <f>Operation!K34+Operation!S26+Operation!S35</f>
        <v>18197</v>
      </c>
      <c r="K13" s="41">
        <f>Operation!L34+Operation!T26+Operation!T35</f>
        <v>3883</v>
      </c>
      <c r="L13" s="41">
        <f>Operation!M34+Operation!U26+Operation!U35</f>
        <v>3176.6862994554685</v>
      </c>
      <c r="M13" s="41">
        <f>Operation!N34+Operation!V26+Operation!V35</f>
        <v>9514.4138975344322</v>
      </c>
      <c r="N13" s="42">
        <f>Operation!O34+Operation!W26+Operation!W35</f>
        <v>5973.444444444438</v>
      </c>
    </row>
    <row r="14" spans="1:14" ht="14.65" thickBot="1" x14ac:dyDescent="0.5">
      <c r="A14" s="56" t="s">
        <v>14</v>
      </c>
      <c r="B14" s="49" t="s">
        <v>16</v>
      </c>
      <c r="C14" s="36">
        <f>Operation!K24</f>
        <v>133128.9</v>
      </c>
      <c r="D14" s="35">
        <f>Operation!L24</f>
        <v>243732.94753764247</v>
      </c>
      <c r="E14" s="35">
        <f>Operation!M24</f>
        <v>65752.611612232387</v>
      </c>
      <c r="F14" s="35">
        <f>Operation!N24</f>
        <v>312124.48</v>
      </c>
      <c r="G14" s="40">
        <f>Operation!O24</f>
        <v>192739.87502963221</v>
      </c>
    </row>
    <row r="15" spans="1:14" x14ac:dyDescent="0.45">
      <c r="A15" s="5"/>
      <c r="B15" s="51" t="s">
        <v>17</v>
      </c>
      <c r="C15" s="284">
        <v>100</v>
      </c>
      <c r="D15" s="284">
        <v>115</v>
      </c>
      <c r="E15" s="284">
        <v>125</v>
      </c>
      <c r="F15" s="284">
        <v>200</v>
      </c>
      <c r="G15" s="212">
        <v>200</v>
      </c>
      <c r="I15" s="10" t="s">
        <v>103</v>
      </c>
      <c r="J15" s="3" t="s">
        <v>5</v>
      </c>
      <c r="K15" s="3" t="s">
        <v>6</v>
      </c>
      <c r="L15" s="3" t="s">
        <v>7</v>
      </c>
      <c r="M15" s="3" t="s">
        <v>8</v>
      </c>
      <c r="N15" s="4" t="s">
        <v>9</v>
      </c>
    </row>
    <row r="16" spans="1:14" x14ac:dyDescent="0.45">
      <c r="A16" s="5"/>
      <c r="B16" s="50" t="s">
        <v>285</v>
      </c>
      <c r="C16" s="224" t="s">
        <v>264</v>
      </c>
      <c r="D16" s="225">
        <f>C15*(1+2.5)</f>
        <v>350</v>
      </c>
      <c r="E16" s="225">
        <f>D15*(1+2.5)</f>
        <v>402.5</v>
      </c>
      <c r="F16" s="225">
        <f>E15*(1+2.5)</f>
        <v>437.5</v>
      </c>
      <c r="G16" s="226">
        <f>F15*(1+2.5)</f>
        <v>700</v>
      </c>
      <c r="I16" s="5"/>
      <c r="J16" s="1"/>
      <c r="K16" s="1"/>
      <c r="L16" s="1"/>
      <c r="M16" s="1"/>
      <c r="N16" s="6"/>
    </row>
    <row r="17" spans="1:14" x14ac:dyDescent="0.45">
      <c r="A17" s="5"/>
      <c r="B17" s="50" t="s">
        <v>58</v>
      </c>
      <c r="C17" s="302">
        <v>106854</v>
      </c>
      <c r="D17" s="302">
        <v>197557</v>
      </c>
      <c r="E17" s="302">
        <v>66108</v>
      </c>
      <c r="F17" s="302">
        <v>126513</v>
      </c>
      <c r="G17" s="194">
        <v>28484</v>
      </c>
      <c r="I17" s="5" t="s">
        <v>10</v>
      </c>
      <c r="J17" s="36">
        <f>Operation!K32</f>
        <v>14996</v>
      </c>
      <c r="K17" s="36">
        <f>Operation!L32</f>
        <v>84696.817777777789</v>
      </c>
      <c r="L17" s="36">
        <f>Operation!M32</f>
        <v>82160.817777777789</v>
      </c>
      <c r="M17" s="36">
        <f>Operation!N32</f>
        <v>26042.382614457005</v>
      </c>
      <c r="N17" s="43">
        <f>Operation!O32</f>
        <v>4684.4222222222161</v>
      </c>
    </row>
    <row r="18" spans="1:14" x14ac:dyDescent="0.45">
      <c r="A18" s="5"/>
      <c r="B18" s="50" t="s">
        <v>59</v>
      </c>
      <c r="C18" s="216">
        <f>C15*C17</f>
        <v>10685400</v>
      </c>
      <c r="D18" s="38">
        <f>D15*D17</f>
        <v>22719055</v>
      </c>
      <c r="E18" s="38">
        <f>E15*E17</f>
        <v>8263500</v>
      </c>
      <c r="F18" s="38">
        <f>F15*F17</f>
        <v>25302600</v>
      </c>
      <c r="G18" s="63">
        <f>G15*G17</f>
        <v>5696800</v>
      </c>
      <c r="I18" s="5" t="s">
        <v>14</v>
      </c>
      <c r="J18" s="36">
        <f>Operation!K33</f>
        <v>111665</v>
      </c>
      <c r="K18" s="36">
        <f>Operation!L33</f>
        <v>64811</v>
      </c>
      <c r="L18" s="36">
        <f>Operation!M33</f>
        <v>73457.386152936087</v>
      </c>
      <c r="M18" s="36">
        <f>Operation!N33</f>
        <v>7349.3861529360875</v>
      </c>
      <c r="N18" s="43">
        <f>Operation!O33</f>
        <v>220291.97777777776</v>
      </c>
    </row>
    <row r="19" spans="1:14" ht="14.65" thickBot="1" x14ac:dyDescent="0.5">
      <c r="A19" s="5"/>
      <c r="B19" s="50" t="s">
        <v>303</v>
      </c>
      <c r="C19" s="80">
        <f>C17/C14</f>
        <v>0.80263564109671159</v>
      </c>
      <c r="D19" s="80">
        <f>D17/D14</f>
        <v>0.81054696131916681</v>
      </c>
      <c r="E19" s="80">
        <f t="shared" ref="E19:G19" si="1">E17/E14</f>
        <v>1.0054049318962943</v>
      </c>
      <c r="F19" s="80">
        <f t="shared" si="1"/>
        <v>0.40532866886954849</v>
      </c>
      <c r="G19" s="81">
        <f t="shared" si="1"/>
        <v>0.14778467608542764</v>
      </c>
      <c r="I19" s="7" t="s">
        <v>15</v>
      </c>
      <c r="J19" s="47">
        <f>Operation!K34</f>
        <v>5697</v>
      </c>
      <c r="K19" s="47">
        <f>Operation!L34</f>
        <v>3883</v>
      </c>
      <c r="L19" s="47">
        <f>Operation!M34</f>
        <v>3176.6862994554685</v>
      </c>
      <c r="M19" s="47">
        <f>Operation!N34</f>
        <v>1514.4138975344322</v>
      </c>
      <c r="N19" s="48">
        <f>Operation!O34</f>
        <v>1973.444444444438</v>
      </c>
    </row>
    <row r="20" spans="1:14" ht="14.65" thickBot="1" x14ac:dyDescent="0.5">
      <c r="A20" s="5"/>
      <c r="B20" s="1"/>
      <c r="C20" s="217"/>
      <c r="D20" s="68"/>
      <c r="E20" s="68"/>
      <c r="F20" s="68"/>
      <c r="G20" s="69"/>
    </row>
    <row r="21" spans="1:14" x14ac:dyDescent="0.45">
      <c r="A21" s="56" t="s">
        <v>77</v>
      </c>
      <c r="B21" s="49" t="s">
        <v>16</v>
      </c>
      <c r="C21" s="36">
        <f>Operation!K25</f>
        <v>16367.94</v>
      </c>
      <c r="D21" s="35">
        <f>Operation!L25</f>
        <v>12885.917669509923</v>
      </c>
      <c r="E21" s="35">
        <f>Operation!M25</f>
        <v>13465.27250778099</v>
      </c>
      <c r="F21" s="35">
        <f>Operation!N25</f>
        <v>17485.599999999999</v>
      </c>
      <c r="G21" s="40">
        <f>Operation!O25</f>
        <v>13778.507734337902</v>
      </c>
      <c r="I21" s="23" t="s">
        <v>109</v>
      </c>
      <c r="J21" s="3" t="s">
        <v>5</v>
      </c>
      <c r="K21" s="3" t="s">
        <v>6</v>
      </c>
      <c r="L21" s="3" t="s">
        <v>7</v>
      </c>
      <c r="M21" s="3" t="s">
        <v>8</v>
      </c>
      <c r="N21" s="4" t="s">
        <v>9</v>
      </c>
    </row>
    <row r="22" spans="1:14" x14ac:dyDescent="0.45">
      <c r="A22" s="5"/>
      <c r="B22" s="51" t="s">
        <v>17</v>
      </c>
      <c r="C22" s="284">
        <v>940</v>
      </c>
      <c r="D22" s="284">
        <v>940</v>
      </c>
      <c r="E22" s="284">
        <v>980</v>
      </c>
      <c r="F22" s="284">
        <v>1500</v>
      </c>
      <c r="G22" s="212">
        <v>1500</v>
      </c>
      <c r="I22" s="5"/>
      <c r="J22" s="1"/>
      <c r="K22" s="1"/>
      <c r="L22" s="1"/>
      <c r="M22" s="1"/>
      <c r="N22" s="6"/>
    </row>
    <row r="23" spans="1:14" x14ac:dyDescent="0.45">
      <c r="A23" s="5"/>
      <c r="B23" s="50" t="s">
        <v>285</v>
      </c>
      <c r="C23" s="224" t="s">
        <v>264</v>
      </c>
      <c r="D23" s="225">
        <f>C22*(1+2.5)</f>
        <v>3290</v>
      </c>
      <c r="E23" s="225">
        <f>D22*(1+2.5)</f>
        <v>3290</v>
      </c>
      <c r="F23" s="225">
        <f>E22*(1+2.5)</f>
        <v>3430</v>
      </c>
      <c r="G23" s="226">
        <f>F22*(1+2.5)</f>
        <v>5250</v>
      </c>
      <c r="I23" s="20" t="s">
        <v>61</v>
      </c>
      <c r="J23" s="38">
        <f>C11+C18+C25</f>
        <v>41525975</v>
      </c>
      <c r="K23" s="38">
        <f>D11+D18+D25</f>
        <v>51841875</v>
      </c>
      <c r="L23" s="38">
        <f>E11+E18+E25</f>
        <v>48319950</v>
      </c>
      <c r="M23" s="38">
        <f>F11+F18+F25</f>
        <v>74480100</v>
      </c>
      <c r="N23" s="63">
        <f>G11+G18+G25</f>
        <v>35744200</v>
      </c>
    </row>
    <row r="24" spans="1:14" ht="14.65" thickBot="1" x14ac:dyDescent="0.5">
      <c r="A24" s="5"/>
      <c r="B24" s="67" t="s">
        <v>58</v>
      </c>
      <c r="C24" s="303">
        <v>14314</v>
      </c>
      <c r="D24" s="303">
        <v>11141</v>
      </c>
      <c r="E24" s="303">
        <v>13447</v>
      </c>
      <c r="F24" s="303">
        <v>17455</v>
      </c>
      <c r="G24" s="195">
        <v>13716</v>
      </c>
      <c r="I24" s="7" t="s">
        <v>62</v>
      </c>
      <c r="J24" s="44">
        <f>C38+C49+C60</f>
        <v>400050</v>
      </c>
      <c r="K24" s="44">
        <f>D38+D49+D60</f>
        <v>17360600</v>
      </c>
      <c r="L24" s="44">
        <f>E38+E49+E60</f>
        <v>6225000</v>
      </c>
      <c r="M24" s="44">
        <f>F38+F49+F60</f>
        <v>28835000</v>
      </c>
      <c r="N24" s="45">
        <f>G38+G49+G60</f>
        <v>28874145</v>
      </c>
    </row>
    <row r="25" spans="1:14" x14ac:dyDescent="0.45">
      <c r="A25" s="5"/>
      <c r="B25" s="50" t="s">
        <v>59</v>
      </c>
      <c r="C25" s="216">
        <f>C22*C24</f>
        <v>13455160</v>
      </c>
      <c r="D25" s="216">
        <f>D22*D24</f>
        <v>10472540</v>
      </c>
      <c r="E25" s="216">
        <f>E22*E24</f>
        <v>13178060</v>
      </c>
      <c r="F25" s="216">
        <f>F22*F24</f>
        <v>26182500</v>
      </c>
      <c r="G25" s="261">
        <f>G22*G24</f>
        <v>20574000</v>
      </c>
    </row>
    <row r="26" spans="1:14" ht="14.65" thickBot="1" x14ac:dyDescent="0.5">
      <c r="A26" s="7"/>
      <c r="B26" s="64" t="s">
        <v>303</v>
      </c>
      <c r="C26" s="262">
        <f>C24/C21</f>
        <v>0.87451444714484527</v>
      </c>
      <c r="D26" s="262">
        <f>D24/D21</f>
        <v>0.86458724056272152</v>
      </c>
      <c r="E26" s="262">
        <f t="shared" ref="E26:G26" si="2">E24/E21</f>
        <v>0.99864299012363611</v>
      </c>
      <c r="F26" s="262">
        <f t="shared" si="2"/>
        <v>0.99824998856201685</v>
      </c>
      <c r="G26" s="263">
        <f t="shared" si="2"/>
        <v>0.99546338866711059</v>
      </c>
    </row>
    <row r="27" spans="1:14" ht="14.65" thickBot="1" x14ac:dyDescent="0.5"/>
    <row r="28" spans="1:14" x14ac:dyDescent="0.45">
      <c r="A28" s="2"/>
      <c r="B28" s="21" t="s">
        <v>2</v>
      </c>
      <c r="C28" s="3" t="s">
        <v>5</v>
      </c>
      <c r="D28" s="3" t="s">
        <v>6</v>
      </c>
      <c r="E28" s="3" t="s">
        <v>7</v>
      </c>
      <c r="F28" s="3" t="s">
        <v>8</v>
      </c>
      <c r="G28" s="4" t="s">
        <v>9</v>
      </c>
    </row>
    <row r="29" spans="1:14" x14ac:dyDescent="0.45">
      <c r="A29" s="5"/>
      <c r="B29" s="1"/>
      <c r="C29" s="1"/>
      <c r="D29" s="1"/>
      <c r="E29" s="1"/>
      <c r="F29" s="1"/>
      <c r="G29" s="6"/>
      <c r="I29" s="70"/>
      <c r="J29" s="14"/>
      <c r="K29" s="14"/>
      <c r="L29" s="14"/>
      <c r="M29" s="14"/>
      <c r="N29" s="14"/>
    </row>
    <row r="30" spans="1:14" x14ac:dyDescent="0.45">
      <c r="A30" s="56" t="s">
        <v>10</v>
      </c>
      <c r="B30" s="198" t="s">
        <v>3</v>
      </c>
      <c r="C30" s="196">
        <v>0.65</v>
      </c>
      <c r="D30" s="196">
        <v>0.65</v>
      </c>
      <c r="E30" s="196">
        <v>0.55000000000000004</v>
      </c>
      <c r="F30" s="196">
        <v>0.6</v>
      </c>
      <c r="G30" s="197">
        <v>0.65</v>
      </c>
      <c r="I30" s="19"/>
      <c r="J30" s="19"/>
      <c r="K30" s="19"/>
      <c r="L30" s="19"/>
      <c r="M30" s="19"/>
      <c r="N30" s="19"/>
    </row>
    <row r="31" spans="1:14" x14ac:dyDescent="0.45">
      <c r="A31" s="5"/>
      <c r="B31" s="49" t="s">
        <v>4</v>
      </c>
      <c r="C31" s="201">
        <v>236</v>
      </c>
      <c r="D31" s="201">
        <v>236</v>
      </c>
      <c r="E31" s="201">
        <v>255</v>
      </c>
      <c r="F31" s="201">
        <v>240</v>
      </c>
      <c r="G31" s="266">
        <v>235</v>
      </c>
      <c r="I31" s="19"/>
      <c r="J31" s="19"/>
      <c r="K31" s="19"/>
      <c r="L31" s="19"/>
      <c r="M31" s="19"/>
      <c r="N31" s="19"/>
    </row>
    <row r="32" spans="1:14" x14ac:dyDescent="0.45">
      <c r="A32" s="5"/>
      <c r="B32" s="51" t="s">
        <v>11</v>
      </c>
      <c r="C32" s="82">
        <f>Operation!K26</f>
        <v>50000</v>
      </c>
      <c r="D32" s="82">
        <f>Operation!L26</f>
        <v>54000</v>
      </c>
      <c r="E32" s="82">
        <f>Operation!M26</f>
        <v>10000</v>
      </c>
      <c r="F32" s="82">
        <f>Operation!N26</f>
        <v>50000</v>
      </c>
      <c r="G32" s="83">
        <f>Operation!O26</f>
        <v>114000</v>
      </c>
      <c r="I32" s="19"/>
      <c r="J32" s="22"/>
      <c r="K32" s="22"/>
      <c r="L32" s="22"/>
      <c r="M32" s="22"/>
      <c r="N32" s="22"/>
    </row>
    <row r="33" spans="1:14" x14ac:dyDescent="0.45">
      <c r="A33" s="5"/>
      <c r="B33" s="198" t="s">
        <v>12</v>
      </c>
      <c r="C33" s="199">
        <f>Operation!S20</f>
        <v>0</v>
      </c>
      <c r="D33" s="199">
        <f>Operation!T20</f>
        <v>0</v>
      </c>
      <c r="E33" s="199">
        <f>Operation!U20</f>
        <v>0</v>
      </c>
      <c r="F33" s="199">
        <f>Operation!V20</f>
        <v>0</v>
      </c>
      <c r="G33" s="200">
        <f>Operation!W20</f>
        <v>0.73570000000000002</v>
      </c>
      <c r="I33" s="19"/>
      <c r="J33" s="22"/>
      <c r="K33" s="22"/>
      <c r="L33" s="22"/>
      <c r="M33" s="22"/>
      <c r="N33" s="22"/>
    </row>
    <row r="34" spans="1:14" x14ac:dyDescent="0.45">
      <c r="A34" s="5"/>
      <c r="B34" s="51" t="s">
        <v>13</v>
      </c>
      <c r="C34" s="284">
        <v>236</v>
      </c>
      <c r="D34" s="284">
        <v>236</v>
      </c>
      <c r="E34" s="284">
        <v>255</v>
      </c>
      <c r="F34" s="284">
        <v>240</v>
      </c>
      <c r="G34" s="212">
        <v>235</v>
      </c>
      <c r="I34" s="19"/>
      <c r="J34" s="22"/>
      <c r="K34" s="22"/>
      <c r="L34" s="22"/>
      <c r="M34" s="22"/>
      <c r="N34" s="22"/>
    </row>
    <row r="35" spans="1:14" x14ac:dyDescent="0.45">
      <c r="A35" s="5"/>
      <c r="B35" s="50" t="s">
        <v>285</v>
      </c>
      <c r="C35" s="223" t="s">
        <v>264</v>
      </c>
      <c r="D35" s="221">
        <f>C34*(1+0.3)</f>
        <v>306.8</v>
      </c>
      <c r="E35" s="221">
        <f>D34*(1+0.3)</f>
        <v>306.8</v>
      </c>
      <c r="F35" s="221">
        <f>E34*(1+0.3)</f>
        <v>331.5</v>
      </c>
      <c r="G35" s="222">
        <f>F34*(1+0.3)</f>
        <v>312</v>
      </c>
      <c r="I35" s="19"/>
      <c r="J35" s="22"/>
      <c r="K35" s="22"/>
      <c r="L35" s="22"/>
      <c r="M35" s="22"/>
      <c r="N35" s="22"/>
    </row>
    <row r="36" spans="1:14" x14ac:dyDescent="0.45">
      <c r="A36" s="5"/>
      <c r="B36" s="51" t="s">
        <v>110</v>
      </c>
      <c r="C36" s="279">
        <v>2</v>
      </c>
      <c r="D36" s="279">
        <v>2</v>
      </c>
      <c r="E36" s="279">
        <v>3</v>
      </c>
      <c r="F36" s="279">
        <v>2</v>
      </c>
      <c r="G36" s="76">
        <v>2</v>
      </c>
      <c r="I36" s="19"/>
      <c r="J36" s="22"/>
      <c r="K36" s="22"/>
      <c r="L36" s="22"/>
      <c r="M36" s="22"/>
      <c r="N36" s="22"/>
    </row>
    <row r="37" spans="1:14" x14ac:dyDescent="0.45">
      <c r="A37" s="5"/>
      <c r="B37" s="50" t="s">
        <v>58</v>
      </c>
      <c r="C37" s="302">
        <v>0</v>
      </c>
      <c r="D37" s="302">
        <f>D32</f>
        <v>54000</v>
      </c>
      <c r="E37" s="302">
        <f>E32</f>
        <v>10000</v>
      </c>
      <c r="F37" s="302">
        <f>F32</f>
        <v>50000</v>
      </c>
      <c r="G37" s="194">
        <f>G32</f>
        <v>114000</v>
      </c>
      <c r="I37" s="19"/>
      <c r="J37" s="22"/>
      <c r="K37" s="22"/>
      <c r="L37" s="22"/>
      <c r="M37" s="22"/>
      <c r="N37" s="22"/>
    </row>
    <row r="38" spans="1:14" x14ac:dyDescent="0.45">
      <c r="A38" s="5"/>
      <c r="B38" s="50" t="s">
        <v>59</v>
      </c>
      <c r="C38" s="38">
        <f>C37*C34</f>
        <v>0</v>
      </c>
      <c r="D38" s="38">
        <f t="shared" ref="D38:G38" si="3">D37*D34</f>
        <v>12744000</v>
      </c>
      <c r="E38" s="38">
        <f t="shared" si="3"/>
        <v>2550000</v>
      </c>
      <c r="F38" s="38">
        <f t="shared" si="3"/>
        <v>12000000</v>
      </c>
      <c r="G38" s="63">
        <f t="shared" si="3"/>
        <v>26790000</v>
      </c>
      <c r="I38" s="19"/>
      <c r="J38" s="22"/>
      <c r="K38" s="22"/>
      <c r="L38" s="22"/>
      <c r="M38" s="22"/>
      <c r="N38" s="22"/>
    </row>
    <row r="39" spans="1:14" x14ac:dyDescent="0.45">
      <c r="A39" s="5"/>
      <c r="B39" s="50" t="s">
        <v>303</v>
      </c>
      <c r="C39" s="80">
        <f>IF(C32&gt;0,C37/C32,0)</f>
        <v>0</v>
      </c>
      <c r="D39" s="80">
        <f t="shared" ref="D39:G39" si="4">IF(D32&gt;0,D37/D32,0)</f>
        <v>1</v>
      </c>
      <c r="E39" s="80">
        <f t="shared" si="4"/>
        <v>1</v>
      </c>
      <c r="F39" s="80">
        <f t="shared" si="4"/>
        <v>1</v>
      </c>
      <c r="G39" s="81">
        <f t="shared" si="4"/>
        <v>1</v>
      </c>
      <c r="I39" s="19"/>
      <c r="J39" s="22"/>
      <c r="K39" s="22"/>
      <c r="L39" s="22"/>
      <c r="M39" s="22"/>
      <c r="N39" s="22"/>
    </row>
    <row r="40" spans="1:14" x14ac:dyDescent="0.45">
      <c r="A40" s="5"/>
      <c r="B40" s="1"/>
      <c r="C40" s="1"/>
      <c r="D40" s="1"/>
      <c r="E40" s="1"/>
      <c r="F40" s="1"/>
      <c r="G40" s="6"/>
      <c r="I40" s="19"/>
      <c r="J40" s="66"/>
      <c r="K40" s="66"/>
      <c r="L40" s="66"/>
      <c r="M40" s="66"/>
      <c r="N40" s="66"/>
    </row>
    <row r="41" spans="1:14" x14ac:dyDescent="0.45">
      <c r="A41" s="56" t="s">
        <v>14</v>
      </c>
      <c r="B41" s="198" t="s">
        <v>3</v>
      </c>
      <c r="C41" s="196">
        <v>0.65</v>
      </c>
      <c r="D41" s="196">
        <v>0.65</v>
      </c>
      <c r="E41" s="196">
        <v>0.55000000000000004</v>
      </c>
      <c r="F41" s="196">
        <v>0.6</v>
      </c>
      <c r="G41" s="197">
        <v>0.66</v>
      </c>
      <c r="I41" s="19"/>
      <c r="J41" s="66"/>
      <c r="K41" s="66"/>
      <c r="L41" s="66"/>
      <c r="M41" s="66"/>
      <c r="N41" s="66"/>
    </row>
    <row r="42" spans="1:14" x14ac:dyDescent="0.45">
      <c r="A42" s="5"/>
      <c r="B42" s="49" t="s">
        <v>4</v>
      </c>
      <c r="C42" s="201">
        <v>65</v>
      </c>
      <c r="D42" s="201">
        <v>65</v>
      </c>
      <c r="E42" s="201">
        <v>75</v>
      </c>
      <c r="F42" s="201">
        <v>70</v>
      </c>
      <c r="G42" s="266">
        <v>69</v>
      </c>
      <c r="I42" s="19"/>
      <c r="J42" s="19"/>
      <c r="K42" s="19"/>
      <c r="L42" s="19"/>
      <c r="M42" s="19"/>
      <c r="N42" s="19"/>
    </row>
    <row r="43" spans="1:14" x14ac:dyDescent="0.45">
      <c r="A43" s="5"/>
      <c r="B43" s="51" t="s">
        <v>11</v>
      </c>
      <c r="C43" s="82">
        <f>Operation!K27</f>
        <v>0</v>
      </c>
      <c r="D43" s="82">
        <f>Operation!L27</f>
        <v>7200</v>
      </c>
      <c r="E43" s="82">
        <f>Operation!M27</f>
        <v>40000</v>
      </c>
      <c r="F43" s="82">
        <f>Operation!N27</f>
        <v>50000</v>
      </c>
      <c r="G43" s="83">
        <f>Operation!O27</f>
        <v>35000</v>
      </c>
      <c r="I43" s="19"/>
      <c r="J43" s="22"/>
      <c r="K43" s="22"/>
      <c r="L43" s="22"/>
      <c r="M43" s="22"/>
      <c r="N43" s="22"/>
    </row>
    <row r="44" spans="1:14" x14ac:dyDescent="0.45">
      <c r="A44" s="5"/>
      <c r="B44" s="198" t="s">
        <v>12</v>
      </c>
      <c r="C44" s="199">
        <f>Operation!S20</f>
        <v>0</v>
      </c>
      <c r="D44" s="199">
        <f>Operation!T20</f>
        <v>0</v>
      </c>
      <c r="E44" s="199">
        <f>Operation!U20</f>
        <v>0</v>
      </c>
      <c r="F44" s="199">
        <f>Operation!V20</f>
        <v>0</v>
      </c>
      <c r="G44" s="200">
        <f>Operation!W20</f>
        <v>0.73570000000000002</v>
      </c>
      <c r="I44" s="19"/>
      <c r="J44" s="22"/>
      <c r="K44" s="22"/>
      <c r="L44" s="22"/>
      <c r="M44" s="22"/>
      <c r="N44" s="22"/>
    </row>
    <row r="45" spans="1:14" x14ac:dyDescent="0.45">
      <c r="A45" s="5"/>
      <c r="B45" s="51" t="s">
        <v>13</v>
      </c>
      <c r="C45" s="284">
        <v>0</v>
      </c>
      <c r="D45" s="284">
        <v>65</v>
      </c>
      <c r="E45" s="284">
        <v>75</v>
      </c>
      <c r="F45" s="284">
        <v>70</v>
      </c>
      <c r="G45" s="212">
        <v>69</v>
      </c>
      <c r="I45" s="19"/>
      <c r="J45" s="22"/>
      <c r="K45" s="22"/>
      <c r="L45" s="22"/>
      <c r="M45" s="22"/>
      <c r="N45" s="22"/>
    </row>
    <row r="46" spans="1:14" x14ac:dyDescent="0.45">
      <c r="A46" s="5"/>
      <c r="B46" s="50" t="s">
        <v>285</v>
      </c>
      <c r="C46" s="223" t="s">
        <v>264</v>
      </c>
      <c r="D46" s="221">
        <f>C45*(1+0.3)</f>
        <v>0</v>
      </c>
      <c r="E46" s="221">
        <f>D45*(1+0.3)</f>
        <v>84.5</v>
      </c>
      <c r="F46" s="221">
        <f>E45*(1+0.3)</f>
        <v>97.5</v>
      </c>
      <c r="G46" s="222">
        <f>F45*(1+0.3)</f>
        <v>91</v>
      </c>
      <c r="I46" s="19"/>
      <c r="J46" s="22"/>
      <c r="K46" s="22"/>
      <c r="L46" s="22"/>
      <c r="M46" s="22"/>
      <c r="N46" s="22"/>
    </row>
    <row r="47" spans="1:14" x14ac:dyDescent="0.45">
      <c r="A47" s="5"/>
      <c r="B47" s="51" t="s">
        <v>110</v>
      </c>
      <c r="C47" s="82">
        <f>C36</f>
        <v>2</v>
      </c>
      <c r="D47" s="82">
        <f>D36</f>
        <v>2</v>
      </c>
      <c r="E47" s="82">
        <f>E36</f>
        <v>3</v>
      </c>
      <c r="F47" s="82">
        <f>F36</f>
        <v>2</v>
      </c>
      <c r="G47" s="83">
        <f>G36</f>
        <v>2</v>
      </c>
      <c r="I47" s="19"/>
      <c r="J47" s="22"/>
      <c r="K47" s="22"/>
      <c r="L47" s="22"/>
      <c r="M47" s="22"/>
      <c r="N47" s="22"/>
    </row>
    <row r="48" spans="1:14" x14ac:dyDescent="0.45">
      <c r="A48" s="5"/>
      <c r="B48" s="50" t="s">
        <v>58</v>
      </c>
      <c r="C48" s="302">
        <f>C43</f>
        <v>0</v>
      </c>
      <c r="D48" s="302">
        <v>7000</v>
      </c>
      <c r="E48" s="302">
        <f t="shared" ref="E48:F48" si="5">E43</f>
        <v>40000</v>
      </c>
      <c r="F48" s="302">
        <f t="shared" si="5"/>
        <v>50000</v>
      </c>
      <c r="G48" s="194">
        <v>30205</v>
      </c>
      <c r="I48" s="19"/>
      <c r="J48" s="22"/>
      <c r="K48" s="22"/>
      <c r="L48" s="22"/>
      <c r="M48" s="22"/>
      <c r="N48" s="22"/>
    </row>
    <row r="49" spans="1:14" x14ac:dyDescent="0.45">
      <c r="A49" s="5"/>
      <c r="B49" s="50" t="s">
        <v>59</v>
      </c>
      <c r="C49" s="101">
        <f>C45*C48</f>
        <v>0</v>
      </c>
      <c r="D49" s="101">
        <f t="shared" ref="D49:G49" si="6">D45*D48</f>
        <v>455000</v>
      </c>
      <c r="E49" s="101">
        <f t="shared" si="6"/>
        <v>3000000</v>
      </c>
      <c r="F49" s="101">
        <f t="shared" si="6"/>
        <v>3500000</v>
      </c>
      <c r="G49" s="102">
        <f t="shared" si="6"/>
        <v>2084145</v>
      </c>
      <c r="I49" s="19"/>
      <c r="J49" s="22"/>
      <c r="K49" s="22"/>
      <c r="L49" s="22"/>
      <c r="M49" s="22"/>
      <c r="N49" s="22"/>
    </row>
    <row r="50" spans="1:14" x14ac:dyDescent="0.45">
      <c r="A50" s="5"/>
      <c r="B50" s="50" t="s">
        <v>303</v>
      </c>
      <c r="C50" s="80">
        <f>IF(C43&gt;0,C48/C43,0)</f>
        <v>0</v>
      </c>
      <c r="D50" s="80">
        <f t="shared" ref="D50:G50" si="7">IF(D43&gt;0,D48/D43,0)</f>
        <v>0.97222222222222221</v>
      </c>
      <c r="E50" s="80">
        <f t="shared" si="7"/>
        <v>1</v>
      </c>
      <c r="F50" s="80">
        <f t="shared" si="7"/>
        <v>1</v>
      </c>
      <c r="G50" s="81">
        <f t="shared" si="7"/>
        <v>0.86299999999999999</v>
      </c>
      <c r="I50" s="19"/>
      <c r="J50" s="22"/>
      <c r="K50" s="22"/>
      <c r="L50" s="22"/>
      <c r="M50" s="22"/>
      <c r="N50" s="22"/>
    </row>
    <row r="51" spans="1:14" x14ac:dyDescent="0.45">
      <c r="A51" s="5"/>
      <c r="B51" s="1"/>
      <c r="C51" s="1"/>
      <c r="D51" s="1"/>
      <c r="E51" s="1"/>
      <c r="F51" s="1"/>
      <c r="G51" s="6"/>
      <c r="I51" s="19"/>
      <c r="J51" s="22"/>
      <c r="K51" s="22"/>
      <c r="L51" s="22"/>
      <c r="M51" s="22"/>
      <c r="N51" s="22"/>
    </row>
    <row r="52" spans="1:14" x14ac:dyDescent="0.45">
      <c r="A52" s="56" t="s">
        <v>77</v>
      </c>
      <c r="B52" s="198" t="s">
        <v>3</v>
      </c>
      <c r="C52" s="196">
        <v>0.65</v>
      </c>
      <c r="D52" s="196">
        <v>0.65</v>
      </c>
      <c r="E52" s="196">
        <v>0.55000000000000004</v>
      </c>
      <c r="F52" s="196">
        <v>0.6</v>
      </c>
      <c r="G52" s="197">
        <v>0.66</v>
      </c>
      <c r="I52" s="19"/>
      <c r="J52" s="66"/>
      <c r="K52" s="66"/>
      <c r="L52" s="66"/>
      <c r="M52" s="66"/>
      <c r="N52" s="66"/>
    </row>
    <row r="53" spans="1:14" x14ac:dyDescent="0.45">
      <c r="A53" s="5"/>
      <c r="B53" s="49" t="s">
        <v>4</v>
      </c>
      <c r="C53" s="201">
        <v>640</v>
      </c>
      <c r="D53" s="201">
        <v>625</v>
      </c>
      <c r="E53" s="201">
        <v>675</v>
      </c>
      <c r="F53" s="201">
        <v>635</v>
      </c>
      <c r="G53" s="266">
        <v>625</v>
      </c>
      <c r="I53" s="19"/>
      <c r="J53" s="19"/>
      <c r="K53" s="19"/>
      <c r="L53" s="19"/>
      <c r="M53" s="19"/>
      <c r="N53" s="19"/>
    </row>
    <row r="54" spans="1:14" x14ac:dyDescent="0.45">
      <c r="A54" s="5"/>
      <c r="B54" s="51" t="s">
        <v>11</v>
      </c>
      <c r="C54" s="82">
        <f>Operation!K28</f>
        <v>900</v>
      </c>
      <c r="D54" s="82">
        <f>Operation!L28</f>
        <v>7200</v>
      </c>
      <c r="E54" s="82">
        <f>Operation!M28</f>
        <v>1000</v>
      </c>
      <c r="F54" s="82">
        <f>Operation!N28</f>
        <v>21000</v>
      </c>
      <c r="G54" s="83">
        <f>Operation!O28</f>
        <v>0</v>
      </c>
      <c r="I54" s="19"/>
      <c r="J54" s="22"/>
      <c r="K54" s="22"/>
      <c r="L54" s="22"/>
      <c r="M54" s="22"/>
      <c r="N54" s="22"/>
    </row>
    <row r="55" spans="1:14" x14ac:dyDescent="0.45">
      <c r="A55" s="5"/>
      <c r="B55" s="198" t="s">
        <v>12</v>
      </c>
      <c r="C55" s="199">
        <f>Operation!S20</f>
        <v>0</v>
      </c>
      <c r="D55" s="199">
        <f>Operation!T20</f>
        <v>0</v>
      </c>
      <c r="E55" s="199">
        <f>Operation!U20</f>
        <v>0</v>
      </c>
      <c r="F55" s="199">
        <f>Operation!V20</f>
        <v>0</v>
      </c>
      <c r="G55" s="200">
        <f>Operation!W20</f>
        <v>0.73570000000000002</v>
      </c>
      <c r="I55" s="19"/>
      <c r="J55" s="22"/>
      <c r="K55" s="22"/>
      <c r="L55" s="22"/>
      <c r="M55" s="22"/>
      <c r="N55" s="22"/>
    </row>
    <row r="56" spans="1:14" x14ac:dyDescent="0.45">
      <c r="A56" s="5"/>
      <c r="B56" s="51" t="s">
        <v>13</v>
      </c>
      <c r="C56" s="284">
        <v>444.5</v>
      </c>
      <c r="D56" s="284">
        <v>578</v>
      </c>
      <c r="E56" s="284">
        <v>675</v>
      </c>
      <c r="F56" s="284">
        <v>635</v>
      </c>
      <c r="G56" s="212">
        <v>625</v>
      </c>
      <c r="I56" s="19"/>
      <c r="J56" s="22"/>
      <c r="K56" s="22"/>
      <c r="L56" s="22"/>
      <c r="M56" s="22"/>
      <c r="N56" s="22"/>
    </row>
    <row r="57" spans="1:14" x14ac:dyDescent="0.45">
      <c r="A57" s="5"/>
      <c r="B57" s="50" t="s">
        <v>285</v>
      </c>
      <c r="C57" s="223" t="s">
        <v>264</v>
      </c>
      <c r="D57" s="221">
        <f>C56*(1+0.3)</f>
        <v>577.85</v>
      </c>
      <c r="E57" s="221">
        <f>D56*(1+0.3)</f>
        <v>751.4</v>
      </c>
      <c r="F57" s="221">
        <f>E56*(1+0.3)</f>
        <v>877.5</v>
      </c>
      <c r="G57" s="222">
        <f>F56*(1+0.3)</f>
        <v>825.5</v>
      </c>
      <c r="I57" s="19"/>
      <c r="J57" s="22"/>
      <c r="K57" s="22"/>
      <c r="L57" s="22"/>
      <c r="M57" s="22"/>
      <c r="N57" s="22"/>
    </row>
    <row r="58" spans="1:14" x14ac:dyDescent="0.45">
      <c r="A58" s="5"/>
      <c r="B58" s="51" t="s">
        <v>110</v>
      </c>
      <c r="C58" s="82">
        <f>C47</f>
        <v>2</v>
      </c>
      <c r="D58" s="82">
        <f>D47</f>
        <v>2</v>
      </c>
      <c r="E58" s="82">
        <f>E47</f>
        <v>3</v>
      </c>
      <c r="F58" s="82">
        <f>F47</f>
        <v>2</v>
      </c>
      <c r="G58" s="83">
        <f>G47</f>
        <v>2</v>
      </c>
      <c r="I58" s="19"/>
      <c r="J58" s="22"/>
      <c r="K58" s="22"/>
      <c r="L58" s="22"/>
      <c r="M58" s="22"/>
      <c r="N58" s="22"/>
    </row>
    <row r="59" spans="1:14" x14ac:dyDescent="0.45">
      <c r="A59" s="5"/>
      <c r="B59" s="50" t="s">
        <v>58</v>
      </c>
      <c r="C59" s="302">
        <f>C54</f>
        <v>900</v>
      </c>
      <c r="D59" s="302">
        <f t="shared" ref="D59:G59" si="8">D54</f>
        <v>7200</v>
      </c>
      <c r="E59" s="302">
        <f t="shared" si="8"/>
        <v>1000</v>
      </c>
      <c r="F59" s="302">
        <f t="shared" si="8"/>
        <v>21000</v>
      </c>
      <c r="G59" s="194">
        <f t="shared" si="8"/>
        <v>0</v>
      </c>
      <c r="I59" s="19"/>
      <c r="J59" s="22"/>
      <c r="K59" s="22"/>
      <c r="L59" s="22"/>
      <c r="M59" s="22"/>
      <c r="N59" s="22"/>
    </row>
    <row r="60" spans="1:14" x14ac:dyDescent="0.45">
      <c r="A60" s="5"/>
      <c r="B60" s="50" t="s">
        <v>59</v>
      </c>
      <c r="C60" s="101">
        <f>C56*C59</f>
        <v>400050</v>
      </c>
      <c r="D60" s="101">
        <f t="shared" ref="D60:G60" si="9">D56*D59</f>
        <v>4161600</v>
      </c>
      <c r="E60" s="101">
        <f t="shared" si="9"/>
        <v>675000</v>
      </c>
      <c r="F60" s="101">
        <f t="shared" si="9"/>
        <v>13335000</v>
      </c>
      <c r="G60" s="102">
        <f t="shared" si="9"/>
        <v>0</v>
      </c>
      <c r="I60" s="19"/>
      <c r="J60" s="22"/>
      <c r="K60" s="22"/>
      <c r="L60" s="22"/>
      <c r="M60" s="22"/>
      <c r="N60" s="22"/>
    </row>
    <row r="61" spans="1:14" ht="14.65" thickBot="1" x14ac:dyDescent="0.5">
      <c r="A61" s="7"/>
      <c r="B61" s="64" t="s">
        <v>303</v>
      </c>
      <c r="C61" s="262">
        <f>IF(C54&gt;0,C59/C54,0)</f>
        <v>1</v>
      </c>
      <c r="D61" s="262">
        <f t="shared" ref="D61:G61" si="10">IF(D54&gt;0,D59/D54,0)</f>
        <v>1</v>
      </c>
      <c r="E61" s="262">
        <f t="shared" si="10"/>
        <v>1</v>
      </c>
      <c r="F61" s="262">
        <f t="shared" si="10"/>
        <v>1</v>
      </c>
      <c r="G61" s="263">
        <f t="shared" si="10"/>
        <v>0</v>
      </c>
      <c r="I61" s="19"/>
      <c r="J61" s="19"/>
      <c r="K61" s="19"/>
      <c r="L61" s="19"/>
      <c r="M61" s="19"/>
      <c r="N61" s="19"/>
    </row>
    <row r="62" spans="1:14" x14ac:dyDescent="0.45">
      <c r="I62" s="19"/>
      <c r="J62" s="66"/>
      <c r="K62" s="66"/>
      <c r="L62" s="66"/>
      <c r="M62" s="66"/>
      <c r="N62" s="66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E8FCF-1B5F-44B6-B6E8-37A1CC80E38C}">
  <dimension ref="A1:Q61"/>
  <sheetViews>
    <sheetView zoomScale="80" zoomScaleNormal="80" workbookViewId="0">
      <selection activeCell="M31" sqref="M31:P31"/>
    </sheetView>
  </sheetViews>
  <sheetFormatPr defaultRowHeight="14.25" x14ac:dyDescent="0.45"/>
  <cols>
    <col min="2" max="2" width="25.73046875" customWidth="1"/>
    <col min="3" max="3" width="14.59765625" customWidth="1"/>
    <col min="4" max="4" width="14.796875" customWidth="1"/>
    <col min="5" max="5" width="14.1328125" customWidth="1"/>
    <col min="6" max="6" width="13.33203125" customWidth="1"/>
    <col min="7" max="7" width="13.9296875" customWidth="1"/>
    <col min="9" max="9" width="13.3984375" customWidth="1"/>
    <col min="10" max="10" width="16.6640625" customWidth="1"/>
    <col min="11" max="11" width="19" customWidth="1"/>
    <col min="12" max="12" width="14.33203125" customWidth="1"/>
    <col min="13" max="13" width="13.796875" customWidth="1"/>
    <col min="14" max="14" width="13.46484375" customWidth="1"/>
    <col min="15" max="15" width="12" customWidth="1"/>
    <col min="16" max="16" width="13.1328125" customWidth="1"/>
  </cols>
  <sheetData>
    <row r="1" spans="2:16" ht="14.65" thickBot="1" x14ac:dyDescent="0.5"/>
    <row r="2" spans="2:16" ht="14.65" thickBot="1" x14ac:dyDescent="0.5">
      <c r="K2" s="72" t="s">
        <v>23</v>
      </c>
      <c r="L2" s="73" t="s">
        <v>24</v>
      </c>
    </row>
    <row r="3" spans="2:16" x14ac:dyDescent="0.45">
      <c r="B3" s="23" t="s">
        <v>0</v>
      </c>
      <c r="C3" s="3" t="s">
        <v>5</v>
      </c>
      <c r="D3" s="3" t="s">
        <v>6</v>
      </c>
      <c r="E3" s="3" t="s">
        <v>7</v>
      </c>
      <c r="F3" s="3" t="s">
        <v>8</v>
      </c>
      <c r="G3" s="4" t="s">
        <v>9</v>
      </c>
      <c r="K3" s="56" t="s">
        <v>25</v>
      </c>
      <c r="L3" s="57">
        <v>5</v>
      </c>
    </row>
    <row r="4" spans="2:16" ht="14.65" thickBot="1" x14ac:dyDescent="0.5">
      <c r="B4" s="5"/>
      <c r="C4" s="1"/>
      <c r="D4" s="1"/>
      <c r="E4" s="1"/>
      <c r="F4" s="1"/>
      <c r="G4" s="6"/>
      <c r="K4" s="56" t="s">
        <v>14</v>
      </c>
      <c r="L4" s="57">
        <v>1</v>
      </c>
    </row>
    <row r="5" spans="2:16" x14ac:dyDescent="0.45">
      <c r="B5" s="59" t="s">
        <v>19</v>
      </c>
      <c r="C5" s="82">
        <f>C7+C6</f>
        <v>8</v>
      </c>
      <c r="D5" s="82">
        <f t="shared" ref="D5:G5" si="0">D7+D6</f>
        <v>11</v>
      </c>
      <c r="E5" s="82">
        <f t="shared" si="0"/>
        <v>11</v>
      </c>
      <c r="F5" s="82">
        <f t="shared" si="0"/>
        <v>16</v>
      </c>
      <c r="G5" s="83">
        <f t="shared" si="0"/>
        <v>18</v>
      </c>
      <c r="K5" s="56" t="s">
        <v>15</v>
      </c>
      <c r="L5" s="57">
        <v>10</v>
      </c>
      <c r="M5" s="218" t="s">
        <v>284</v>
      </c>
    </row>
    <row r="6" spans="2:16" x14ac:dyDescent="0.45">
      <c r="B6" s="62" t="s">
        <v>237</v>
      </c>
      <c r="C6" s="281">
        <v>0</v>
      </c>
      <c r="D6" s="281">
        <v>3</v>
      </c>
      <c r="E6" s="281">
        <v>0</v>
      </c>
      <c r="F6" s="281">
        <v>5</v>
      </c>
      <c r="G6" s="155">
        <v>2</v>
      </c>
      <c r="K6" s="56" t="s">
        <v>26</v>
      </c>
      <c r="L6" s="40">
        <v>40000</v>
      </c>
      <c r="M6" s="219">
        <v>25000</v>
      </c>
    </row>
    <row r="7" spans="2:16" ht="14.65" thickBot="1" x14ac:dyDescent="0.5">
      <c r="B7" s="56" t="s">
        <v>238</v>
      </c>
      <c r="C7" s="49">
        <v>8</v>
      </c>
      <c r="D7" s="35">
        <f>C5</f>
        <v>8</v>
      </c>
      <c r="E7" s="35">
        <f t="shared" ref="E7:G7" si="1">D5</f>
        <v>11</v>
      </c>
      <c r="F7" s="35">
        <f t="shared" si="1"/>
        <v>11</v>
      </c>
      <c r="G7" s="40">
        <f t="shared" si="1"/>
        <v>16</v>
      </c>
      <c r="K7" s="71" t="s">
        <v>27</v>
      </c>
      <c r="L7" s="42">
        <v>55000</v>
      </c>
      <c r="M7" s="220">
        <v>35000</v>
      </c>
    </row>
    <row r="8" spans="2:16" ht="14.65" thickBot="1" x14ac:dyDescent="0.5">
      <c r="B8" s="56" t="s">
        <v>20</v>
      </c>
      <c r="C8" s="201">
        <v>500000</v>
      </c>
      <c r="D8" s="201">
        <v>500000</v>
      </c>
      <c r="E8" s="201">
        <v>500000</v>
      </c>
      <c r="F8" s="201">
        <v>500000</v>
      </c>
      <c r="G8" s="266">
        <v>500000</v>
      </c>
    </row>
    <row r="9" spans="2:16" x14ac:dyDescent="0.45">
      <c r="B9" s="156" t="s">
        <v>38</v>
      </c>
      <c r="C9" s="154" cm="1">
        <f t="array" ref="C9:G9">C8:G8/4*C5:G5</f>
        <v>1000000</v>
      </c>
      <c r="D9" s="154">
        <v>1375000</v>
      </c>
      <c r="E9" s="154">
        <v>1375000</v>
      </c>
      <c r="F9" s="154">
        <v>2000000</v>
      </c>
      <c r="G9" s="157">
        <v>2250000</v>
      </c>
      <c r="J9" s="2"/>
      <c r="K9" s="13"/>
      <c r="L9" s="3" t="s">
        <v>5</v>
      </c>
      <c r="M9" s="3" t="s">
        <v>6</v>
      </c>
      <c r="N9" s="3" t="s">
        <v>7</v>
      </c>
      <c r="O9" s="3" t="s">
        <v>8</v>
      </c>
      <c r="P9" s="4" t="s">
        <v>9</v>
      </c>
    </row>
    <row r="10" spans="2:16" x14ac:dyDescent="0.45">
      <c r="B10" s="56" t="s">
        <v>21</v>
      </c>
      <c r="C10" s="35">
        <f>L6*C5</f>
        <v>320000</v>
      </c>
      <c r="D10" s="35">
        <f>L6*D5</f>
        <v>440000</v>
      </c>
      <c r="E10" s="35">
        <f>M6*E5</f>
        <v>275000</v>
      </c>
      <c r="F10" s="35">
        <f>L6*F5</f>
        <v>640000</v>
      </c>
      <c r="G10" s="40">
        <f>L6*G5</f>
        <v>720000</v>
      </c>
      <c r="J10" s="5"/>
      <c r="K10" s="49" t="s">
        <v>198</v>
      </c>
      <c r="L10" s="89">
        <f>C9+C17</f>
        <v>1780000</v>
      </c>
      <c r="M10" s="89">
        <f>D9+D17</f>
        <v>2275000</v>
      </c>
      <c r="N10" s="89">
        <f>E9+E17</f>
        <v>2335000</v>
      </c>
      <c r="O10" s="89">
        <f>F9+F17</f>
        <v>2660000</v>
      </c>
      <c r="P10" s="96">
        <f>G9+G17</f>
        <v>2790000</v>
      </c>
    </row>
    <row r="11" spans="2:16" x14ac:dyDescent="0.45">
      <c r="B11" s="5"/>
      <c r="C11" s="17"/>
      <c r="D11" s="17"/>
      <c r="E11" s="17"/>
      <c r="F11" s="17"/>
      <c r="G11" s="18"/>
      <c r="J11" s="5"/>
      <c r="K11" s="49" t="s">
        <v>205</v>
      </c>
      <c r="L11" s="89">
        <f>300000+L14*2</f>
        <v>2343968.1777777779</v>
      </c>
      <c r="M11" s="89">
        <f>300000+M14*2</f>
        <v>2475350.6760727596</v>
      </c>
      <c r="N11" s="89">
        <f>300000+N14*2</f>
        <v>1704706.876401131</v>
      </c>
      <c r="O11" s="89">
        <f t="shared" ref="O11:P11" si="2">300000+O14*2</f>
        <v>2172273.0666666664</v>
      </c>
      <c r="P11" s="96">
        <f t="shared" si="2"/>
        <v>2033942.5573580118</v>
      </c>
    </row>
    <row r="12" spans="2:16" x14ac:dyDescent="0.45">
      <c r="B12" s="5"/>
      <c r="C12" s="17"/>
      <c r="D12" s="17"/>
      <c r="E12" s="17"/>
      <c r="F12" s="17"/>
      <c r="G12" s="18"/>
      <c r="J12" s="5"/>
      <c r="K12" s="49" t="s">
        <v>136</v>
      </c>
      <c r="L12" s="89">
        <f>L24+L32</f>
        <v>5742000</v>
      </c>
      <c r="M12" s="89">
        <f>M24+M32</f>
        <v>7309500</v>
      </c>
      <c r="N12" s="89">
        <f>N24+N32</f>
        <v>7309500</v>
      </c>
      <c r="O12" s="89">
        <f>O24+O32</f>
        <v>9027500</v>
      </c>
      <c r="P12" s="96">
        <f>P24+P32</f>
        <v>9402500</v>
      </c>
    </row>
    <row r="13" spans="2:16" x14ac:dyDescent="0.45">
      <c r="B13" s="59" t="s">
        <v>22</v>
      </c>
      <c r="C13" s="82">
        <f>C14+C15</f>
        <v>13</v>
      </c>
      <c r="D13" s="82">
        <f t="shared" ref="D13:G13" si="3">D14+D15</f>
        <v>15</v>
      </c>
      <c r="E13" s="82">
        <f t="shared" si="3"/>
        <v>16</v>
      </c>
      <c r="F13" s="82">
        <f t="shared" si="3"/>
        <v>11</v>
      </c>
      <c r="G13" s="83">
        <f t="shared" si="3"/>
        <v>9</v>
      </c>
      <c r="J13" s="5"/>
      <c r="K13" s="49" t="s">
        <v>28</v>
      </c>
      <c r="L13" s="35">
        <f>C10+C18</f>
        <v>1035000</v>
      </c>
      <c r="M13" s="35">
        <f>D10+D18</f>
        <v>1265000</v>
      </c>
      <c r="N13" s="35">
        <f>E10+E18</f>
        <v>835000</v>
      </c>
      <c r="O13" s="35">
        <f>F10+F18</f>
        <v>1245000</v>
      </c>
      <c r="P13" s="40">
        <f>G10+G18</f>
        <v>1215000</v>
      </c>
    </row>
    <row r="14" spans="2:16" x14ac:dyDescent="0.45">
      <c r="B14" s="158" t="s">
        <v>237</v>
      </c>
      <c r="C14" s="285">
        <v>0</v>
      </c>
      <c r="D14" s="285">
        <v>2</v>
      </c>
      <c r="E14" s="285">
        <v>1</v>
      </c>
      <c r="F14" s="285">
        <v>-5</v>
      </c>
      <c r="G14" s="159">
        <v>-2</v>
      </c>
      <c r="J14" s="5"/>
      <c r="K14" s="49" t="s">
        <v>29</v>
      </c>
      <c r="L14" s="35">
        <f>C24*L3+C25*L4+C26*L5+Marketing!J11*L3+Marketing!J12*L4+Marketing!J13*L5</f>
        <v>1021984.0888888889</v>
      </c>
      <c r="M14" s="35">
        <f>D24*L3+D25*L4+D26*L5+Marketing!K11*L3+Marketing!K12*L4+Marketing!K13*L5+(Marketing!D32-Marketing!D37)*L3+(Marketing!D43-Marketing!D48)+(Marketing!D54-Marketing!D59)*L5</f>
        <v>1087675.3380363798</v>
      </c>
      <c r="N14" s="35">
        <f>E24*L3+E25*L4+E26*L5+Marketing!L11*L3+Marketing!L12*L4+Marketing!L13*L5+(Marketing!E32-Marketing!E37)*L3+(Marketing!E43-Marketing!E48)+L5*(Marketing!E54-Marketing!E59)</f>
        <v>702353.43820056552</v>
      </c>
      <c r="O14" s="35">
        <f>F24*L3+F25*L4+F26*L5+Marketing!M11*L3+Marketing!M12*L4+Marketing!M13*L5+(Marketing!F32-Marketing!F37)*L3+(Marketing!F43-Marketing!F48)+L5*(Marketing!F54-Marketing!F59)</f>
        <v>936136.53333333321</v>
      </c>
      <c r="P14" s="40">
        <f>G24*L3+G25*L4+G26*L5+Marketing!N11*L3+Marketing!N12*L4+Marketing!N13*L5+(Marketing!G32-Marketing!G37)*L3+(Marketing!G43-Marketing!G48)+L5*(Marketing!G54-Marketing!G59)</f>
        <v>866971.27867900592</v>
      </c>
    </row>
    <row r="15" spans="2:16" x14ac:dyDescent="0.45">
      <c r="B15" s="59" t="s">
        <v>238</v>
      </c>
      <c r="C15" s="49">
        <v>13</v>
      </c>
      <c r="D15" s="35">
        <f>C13</f>
        <v>13</v>
      </c>
      <c r="E15" s="35">
        <f t="shared" ref="E15:G15" si="4">D13</f>
        <v>15</v>
      </c>
      <c r="F15" s="35">
        <f t="shared" si="4"/>
        <v>16</v>
      </c>
      <c r="G15" s="40">
        <f t="shared" si="4"/>
        <v>11</v>
      </c>
      <c r="J15" s="5"/>
      <c r="K15" s="50" t="s">
        <v>64</v>
      </c>
      <c r="L15" s="80">
        <f>L14/L13</f>
        <v>0.98742424047235644</v>
      </c>
      <c r="M15" s="80">
        <f>M14/M13</f>
        <v>0.8598224016097864</v>
      </c>
      <c r="N15" s="80">
        <f>N14/N13</f>
        <v>0.84114184215636589</v>
      </c>
      <c r="O15" s="80">
        <f>O14/O13</f>
        <v>0.75191689424364117</v>
      </c>
      <c r="P15" s="81">
        <f>P14/P13</f>
        <v>0.71355660796625997</v>
      </c>
    </row>
    <row r="16" spans="2:16" x14ac:dyDescent="0.45">
      <c r="B16" s="56" t="s">
        <v>20</v>
      </c>
      <c r="C16" s="201">
        <v>240000</v>
      </c>
      <c r="D16" s="201">
        <v>240000</v>
      </c>
      <c r="E16" s="201">
        <v>240000</v>
      </c>
      <c r="F16" s="201">
        <v>240000</v>
      </c>
      <c r="G16" s="266">
        <v>240000</v>
      </c>
      <c r="J16" s="5"/>
      <c r="K16" s="51" t="s">
        <v>34</v>
      </c>
      <c r="L16" s="284">
        <v>200000</v>
      </c>
      <c r="M16" s="284">
        <v>600000</v>
      </c>
      <c r="N16" s="284">
        <v>800000</v>
      </c>
      <c r="O16" s="284">
        <v>800000</v>
      </c>
      <c r="P16" s="212">
        <v>800000</v>
      </c>
    </row>
    <row r="17" spans="1:17" x14ac:dyDescent="0.45">
      <c r="B17" s="56" t="s">
        <v>38</v>
      </c>
      <c r="C17" s="89" cm="1">
        <f t="array" ref="C17:G17">C16:G16/4*C13:G13</f>
        <v>780000</v>
      </c>
      <c r="D17" s="89">
        <v>900000</v>
      </c>
      <c r="E17" s="89">
        <v>960000</v>
      </c>
      <c r="F17" s="89">
        <v>660000</v>
      </c>
      <c r="G17" s="96">
        <v>540000</v>
      </c>
      <c r="J17" s="5"/>
      <c r="K17" s="51" t="s">
        <v>35</v>
      </c>
      <c r="L17" s="284">
        <v>1000000</v>
      </c>
      <c r="M17" s="284">
        <v>1000000</v>
      </c>
      <c r="N17" s="284">
        <v>1500000</v>
      </c>
      <c r="O17" s="284">
        <v>3000000</v>
      </c>
      <c r="P17" s="212">
        <v>4500000</v>
      </c>
    </row>
    <row r="18" spans="1:17" ht="14.65" thickBot="1" x14ac:dyDescent="0.5">
      <c r="B18" s="71" t="s">
        <v>21</v>
      </c>
      <c r="C18" s="41">
        <f>L7*C13</f>
        <v>715000</v>
      </c>
      <c r="D18" s="41">
        <f>L7*D13</f>
        <v>825000</v>
      </c>
      <c r="E18" s="41">
        <f>M7*E13</f>
        <v>560000</v>
      </c>
      <c r="F18" s="41">
        <f>L7*F13</f>
        <v>605000</v>
      </c>
      <c r="G18" s="42">
        <f>L7*G13</f>
        <v>495000</v>
      </c>
      <c r="J18" s="5"/>
      <c r="K18" s="1"/>
      <c r="L18" s="1"/>
      <c r="M18" s="1"/>
      <c r="N18" s="1"/>
      <c r="O18" s="1"/>
      <c r="P18" s="6"/>
    </row>
    <row r="19" spans="1:17" x14ac:dyDescent="0.45">
      <c r="J19" s="160" t="s">
        <v>33</v>
      </c>
      <c r="K19" s="50" t="s">
        <v>31</v>
      </c>
      <c r="L19" s="82">
        <f>L20+L22</f>
        <v>140</v>
      </c>
      <c r="M19" s="82">
        <f>M20+M22</f>
        <v>175</v>
      </c>
      <c r="N19" s="82">
        <f>N20+N22</f>
        <v>175</v>
      </c>
      <c r="O19" s="82">
        <f>O20+O22</f>
        <v>175</v>
      </c>
      <c r="P19" s="83">
        <f>P20+P22</f>
        <v>185</v>
      </c>
    </row>
    <row r="20" spans="1:17" x14ac:dyDescent="0.45">
      <c r="J20" s="5"/>
      <c r="K20" s="51" t="s">
        <v>237</v>
      </c>
      <c r="L20" s="281">
        <v>0</v>
      </c>
      <c r="M20" s="281">
        <v>35</v>
      </c>
      <c r="N20" s="281">
        <v>0</v>
      </c>
      <c r="O20" s="281">
        <v>0</v>
      </c>
      <c r="P20" s="155">
        <v>10</v>
      </c>
    </row>
    <row r="21" spans="1:17" ht="14.65" thickBot="1" x14ac:dyDescent="0.5">
      <c r="J21" s="5"/>
      <c r="K21" s="50" t="s">
        <v>244</v>
      </c>
      <c r="L21" s="50">
        <f>0.1*L22</f>
        <v>14</v>
      </c>
      <c r="M21" s="50">
        <f>0.1*M22</f>
        <v>14</v>
      </c>
      <c r="N21" s="49">
        <f>0.1*N22</f>
        <v>17.5</v>
      </c>
      <c r="O21" s="49">
        <f>0.1*O22</f>
        <v>17.5</v>
      </c>
      <c r="P21" s="57">
        <f>0.1*P22</f>
        <v>17.5</v>
      </c>
    </row>
    <row r="22" spans="1:17" x14ac:dyDescent="0.45">
      <c r="A22" s="2"/>
      <c r="B22" s="21" t="s">
        <v>37</v>
      </c>
      <c r="C22" s="3" t="s">
        <v>5</v>
      </c>
      <c r="D22" s="3" t="s">
        <v>6</v>
      </c>
      <c r="E22" s="3" t="s">
        <v>7</v>
      </c>
      <c r="F22" s="3" t="s">
        <v>8</v>
      </c>
      <c r="G22" s="4" t="s">
        <v>9</v>
      </c>
      <c r="J22" s="5"/>
      <c r="K22" s="49" t="s">
        <v>238</v>
      </c>
      <c r="L22" s="49">
        <v>140</v>
      </c>
      <c r="M22" s="35">
        <f>L19</f>
        <v>140</v>
      </c>
      <c r="N22" s="35">
        <f>M19</f>
        <v>175</v>
      </c>
      <c r="O22" s="35">
        <f>N19</f>
        <v>175</v>
      </c>
      <c r="P22" s="40">
        <f>O19</f>
        <v>175</v>
      </c>
    </row>
    <row r="23" spans="1:17" x14ac:dyDescent="0.45">
      <c r="A23" s="5"/>
      <c r="B23" s="1"/>
      <c r="C23" s="1"/>
      <c r="D23" s="1"/>
      <c r="E23" s="1"/>
      <c r="F23" s="1"/>
      <c r="G23" s="6"/>
      <c r="J23" s="5"/>
      <c r="K23" s="49" t="s">
        <v>199</v>
      </c>
      <c r="L23" s="77">
        <v>42000</v>
      </c>
      <c r="M23" s="77">
        <v>42000</v>
      </c>
      <c r="N23" s="77">
        <v>42000</v>
      </c>
      <c r="O23" s="77">
        <v>50000</v>
      </c>
      <c r="P23" s="304">
        <v>50000</v>
      </c>
    </row>
    <row r="24" spans="1:17" x14ac:dyDescent="0.45">
      <c r="A24" s="56" t="s">
        <v>39</v>
      </c>
      <c r="B24" s="49" t="s">
        <v>10</v>
      </c>
      <c r="C24" s="35">
        <f>Marketing!J5-Marketing!C32+(Marketing!C32-Marketing!C37)</f>
        <v>88673.817777777775</v>
      </c>
      <c r="D24" s="35">
        <f>Marketing!K5-Marketing!D32+Operation!T24+Operation!T33</f>
        <v>50000</v>
      </c>
      <c r="E24" s="35">
        <f>Marketing!L5-Marketing!E32+Operation!U24+Operation!U33</f>
        <v>13695.564836679216</v>
      </c>
      <c r="F24" s="35">
        <f>Marketing!M5-Marketing!F32+Operation!V24+Operation!V33</f>
        <v>16967.039607765211</v>
      </c>
      <c r="G24" s="40">
        <f>Marketing!N5-Marketing!G32+Operation!W24+Operation!W33</f>
        <v>64073.531881716975</v>
      </c>
      <c r="J24" s="5"/>
      <c r="K24" s="49" t="s">
        <v>32</v>
      </c>
      <c r="L24" s="89">
        <f>L19*L23/4</f>
        <v>1470000</v>
      </c>
      <c r="M24" s="89">
        <f>M19*M23/4</f>
        <v>1837500</v>
      </c>
      <c r="N24" s="89">
        <f>N19*N23/4</f>
        <v>1837500</v>
      </c>
      <c r="O24" s="89">
        <f>O19*O23/4</f>
        <v>2187500</v>
      </c>
      <c r="P24" s="96">
        <f>P19*P23/4</f>
        <v>2312500</v>
      </c>
    </row>
    <row r="25" spans="1:17" x14ac:dyDescent="0.45">
      <c r="A25" s="5"/>
      <c r="B25" s="49" t="s">
        <v>14</v>
      </c>
      <c r="C25" s="35">
        <f>Marketing!J6-Marketing!C43+(Marketing!C43-Marketing!C48)</f>
        <v>0</v>
      </c>
      <c r="D25" s="35">
        <f>Marketing!K6-Marketing!D43+Operation!T25+Operation!T34</f>
        <v>206003.38615293609</v>
      </c>
      <c r="E25" s="35">
        <f>Marketing!L6-Marketing!E43+Operation!U25+Operation!U34</f>
        <v>0</v>
      </c>
      <c r="F25" s="35">
        <f>Marketing!M6-Marketing!F43+Operation!V25+Operation!V34</f>
        <v>339455.59162484168</v>
      </c>
      <c r="G25" s="40">
        <f>Marketing!N6-Marketing!G43+Operation!W25+Operation!W34</f>
        <v>0</v>
      </c>
      <c r="J25" s="5"/>
      <c r="K25" s="198" t="s">
        <v>273</v>
      </c>
      <c r="L25" s="188">
        <v>0.98499999999999999</v>
      </c>
      <c r="M25" s="188"/>
      <c r="N25" s="188"/>
      <c r="O25" s="188"/>
      <c r="P25" s="189"/>
    </row>
    <row r="26" spans="1:17" x14ac:dyDescent="0.45">
      <c r="A26" s="5"/>
      <c r="B26" s="49" t="s">
        <v>15</v>
      </c>
      <c r="C26" s="35">
        <f>Marketing!J7-Marketing!C54+(Marketing!C54-Marketing!C59)</f>
        <v>0</v>
      </c>
      <c r="D26" s="35">
        <f>Marketing!K7-Marketing!D54+Operation!T26+Operation!T35</f>
        <v>10434.686299455469</v>
      </c>
      <c r="E26" s="35">
        <f>Marketing!L7-Marketing!E54+Operation!U26+Operation!U35</f>
        <v>11784.727598078964</v>
      </c>
      <c r="F26" s="35">
        <f>Marketing!M7-Marketing!F54+Operation!V26+Operation!V35</f>
        <v>17914.030546910009</v>
      </c>
      <c r="G26" s="40">
        <f>Marketing!N7-Marketing!G54+Operation!W26+Operation!W35</f>
        <v>13336.008593708786</v>
      </c>
      <c r="J26" s="5"/>
      <c r="K26" s="1"/>
      <c r="L26" s="17"/>
      <c r="M26" s="17"/>
      <c r="N26" s="17"/>
      <c r="O26" s="17"/>
      <c r="P26" s="18"/>
    </row>
    <row r="27" spans="1:17" x14ac:dyDescent="0.45">
      <c r="A27" s="5"/>
      <c r="B27" s="1"/>
      <c r="C27" s="17"/>
      <c r="D27" s="17"/>
      <c r="E27" s="17"/>
      <c r="F27" s="17"/>
      <c r="G27" s="18"/>
      <c r="J27" s="160" t="s">
        <v>30</v>
      </c>
      <c r="K27" s="50" t="s">
        <v>31</v>
      </c>
      <c r="L27" s="82">
        <f>L28+L30</f>
        <v>534</v>
      </c>
      <c r="M27" s="82">
        <f>M28+M30</f>
        <v>684</v>
      </c>
      <c r="N27" s="82">
        <f>N28+N30</f>
        <v>684</v>
      </c>
      <c r="O27" s="82">
        <f>O28+O30</f>
        <v>684</v>
      </c>
      <c r="P27" s="83">
        <f>P28+P30</f>
        <v>709</v>
      </c>
    </row>
    <row r="28" spans="1:17" x14ac:dyDescent="0.45">
      <c r="A28" s="5"/>
      <c r="B28" s="49" t="s">
        <v>41</v>
      </c>
      <c r="C28" s="35">
        <f>F57</f>
        <v>347500</v>
      </c>
      <c r="D28" s="35">
        <f>H57</f>
        <v>480000</v>
      </c>
      <c r="E28" s="35">
        <f>J57</f>
        <v>417500</v>
      </c>
      <c r="F28" s="35">
        <f>L57</f>
        <v>625000</v>
      </c>
      <c r="G28" s="40">
        <f>N57</f>
        <v>540000</v>
      </c>
      <c r="J28" s="5"/>
      <c r="K28" s="51" t="s">
        <v>237</v>
      </c>
      <c r="L28" s="281">
        <v>-60</v>
      </c>
      <c r="M28" s="281">
        <v>150</v>
      </c>
      <c r="N28" s="281">
        <v>0</v>
      </c>
      <c r="O28" s="281">
        <v>0</v>
      </c>
      <c r="P28" s="155">
        <v>25</v>
      </c>
    </row>
    <row r="29" spans="1:17" x14ac:dyDescent="0.45">
      <c r="A29" s="5"/>
      <c r="B29" s="49" t="s">
        <v>42</v>
      </c>
      <c r="C29" s="35" cm="1">
        <f t="array" ref="C29:G29">L3*C24:G24+L4*C25:G25+L5*C26:G26</f>
        <v>443369.08888888889</v>
      </c>
      <c r="D29" s="35">
        <v>560350.24914749083</v>
      </c>
      <c r="E29" s="35">
        <v>186325.10016418571</v>
      </c>
      <c r="F29" s="35">
        <v>603431.0951327678</v>
      </c>
      <c r="G29" s="40">
        <v>453727.74534567271</v>
      </c>
      <c r="J29" s="5"/>
      <c r="K29" s="50" t="s">
        <v>244</v>
      </c>
      <c r="L29" s="50">
        <f>0.1*L30</f>
        <v>59.400000000000006</v>
      </c>
      <c r="M29" s="50">
        <f t="shared" ref="M29:P29" si="5">0.1*M30</f>
        <v>53.400000000000006</v>
      </c>
      <c r="N29" s="49">
        <f t="shared" si="5"/>
        <v>68.400000000000006</v>
      </c>
      <c r="O29" s="49">
        <f t="shared" si="5"/>
        <v>68.400000000000006</v>
      </c>
      <c r="P29" s="57">
        <f t="shared" si="5"/>
        <v>68.400000000000006</v>
      </c>
    </row>
    <row r="30" spans="1:17" x14ac:dyDescent="0.45">
      <c r="A30" s="5"/>
      <c r="B30" s="50" t="s">
        <v>304</v>
      </c>
      <c r="C30" s="80">
        <f>C29/C28</f>
        <v>1.2758822701838528</v>
      </c>
      <c r="D30" s="80">
        <f t="shared" ref="D30:G30" si="6">D29/D28</f>
        <v>1.1673963523906059</v>
      </c>
      <c r="E30" s="80">
        <f t="shared" si="6"/>
        <v>0.44628766506391787</v>
      </c>
      <c r="F30" s="80">
        <f t="shared" si="6"/>
        <v>0.9654897522124285</v>
      </c>
      <c r="G30" s="81">
        <f t="shared" si="6"/>
        <v>0.84023656545494951</v>
      </c>
      <c r="J30" s="5"/>
      <c r="K30" s="49" t="s">
        <v>238</v>
      </c>
      <c r="L30" s="49">
        <v>594</v>
      </c>
      <c r="M30" s="35">
        <f>L27</f>
        <v>534</v>
      </c>
      <c r="N30" s="35">
        <f>M27</f>
        <v>684</v>
      </c>
      <c r="O30" s="35">
        <f>N27</f>
        <v>684</v>
      </c>
      <c r="P30" s="40">
        <f>O27</f>
        <v>684</v>
      </c>
    </row>
    <row r="31" spans="1:17" x14ac:dyDescent="0.45">
      <c r="A31" s="5"/>
      <c r="B31" s="49" t="s">
        <v>43</v>
      </c>
      <c r="C31" s="38">
        <f>IF(C29&lt;C28,0.3*C29,0.3*C28)</f>
        <v>104250</v>
      </c>
      <c r="D31" s="38">
        <f>IF(D29&lt;D28,0.3*D29,0.3*D28)</f>
        <v>144000</v>
      </c>
      <c r="E31" s="38">
        <f>IF(E29&lt;E28,0.3*E29,0.3*E28)</f>
        <v>55897.530049255714</v>
      </c>
      <c r="F31" s="38">
        <f>IF(F29&lt;F28,0.3*F29,0.3*F28)</f>
        <v>181029.32853983034</v>
      </c>
      <c r="G31" s="63">
        <f>IF(G29&lt;G28,0.3*G29,0.3*G28)</f>
        <v>136118.32360370181</v>
      </c>
      <c r="J31" s="5"/>
      <c r="K31" s="49" t="s">
        <v>199</v>
      </c>
      <c r="L31" s="77">
        <v>32000</v>
      </c>
      <c r="M31" s="77">
        <v>32000</v>
      </c>
      <c r="N31" s="77">
        <v>32000</v>
      </c>
      <c r="O31" s="77">
        <v>40000</v>
      </c>
      <c r="P31" s="304">
        <v>40000</v>
      </c>
      <c r="Q31" s="1"/>
    </row>
    <row r="32" spans="1:17" x14ac:dyDescent="0.45">
      <c r="A32" s="5"/>
      <c r="B32" s="50" t="s">
        <v>66</v>
      </c>
      <c r="C32" s="35">
        <f>IF(C29-C28&lt;0,0,C29-C28)</f>
        <v>95869.088888888888</v>
      </c>
      <c r="D32" s="35">
        <f>IF(D29-D28&lt;0,0,D29-D28)</f>
        <v>80350.249147490831</v>
      </c>
      <c r="E32" s="35">
        <f>IF(E29-E28&lt;0,0,E29-E28)</f>
        <v>0</v>
      </c>
      <c r="F32" s="35">
        <f>IF(F29-F28&lt;0,0,F29-F28)</f>
        <v>0</v>
      </c>
      <c r="G32" s="40">
        <f>IF(G29-G28&lt;0,0,G29-G28)</f>
        <v>0</v>
      </c>
      <c r="J32" s="5"/>
      <c r="K32" s="49" t="s">
        <v>32</v>
      </c>
      <c r="L32" s="89">
        <f>L27*L31/4</f>
        <v>4272000</v>
      </c>
      <c r="M32" s="89">
        <f>M27*M31/4</f>
        <v>5472000</v>
      </c>
      <c r="N32" s="89">
        <f>N27*N31/4</f>
        <v>5472000</v>
      </c>
      <c r="O32" s="89">
        <f>O27*O31/4</f>
        <v>6840000</v>
      </c>
      <c r="P32" s="96">
        <f>P27*P31/4</f>
        <v>7090000</v>
      </c>
      <c r="Q32" s="1"/>
    </row>
    <row r="33" spans="1:17" x14ac:dyDescent="0.45">
      <c r="A33" s="5"/>
      <c r="B33" s="227" t="s">
        <v>65</v>
      </c>
      <c r="C33" s="228">
        <f>0.75*C32</f>
        <v>71901.816666666666</v>
      </c>
      <c r="D33" s="228">
        <f t="shared" ref="D33:G33" si="7">0.75*D32</f>
        <v>60262.686860618123</v>
      </c>
      <c r="E33" s="228">
        <f t="shared" si="7"/>
        <v>0</v>
      </c>
      <c r="F33" s="228">
        <f t="shared" si="7"/>
        <v>0</v>
      </c>
      <c r="G33" s="229">
        <f t="shared" si="7"/>
        <v>0</v>
      </c>
      <c r="J33" s="5"/>
      <c r="K33" s="198" t="s">
        <v>273</v>
      </c>
      <c r="L33" s="188">
        <v>0.83299999999999996</v>
      </c>
      <c r="M33" s="188"/>
      <c r="N33" s="188"/>
      <c r="O33" s="188"/>
      <c r="P33" s="189"/>
      <c r="Q33" s="1"/>
    </row>
    <row r="34" spans="1:17" ht="14.65" thickBot="1" x14ac:dyDescent="0.5">
      <c r="A34" s="7"/>
      <c r="B34" s="64" t="s">
        <v>286</v>
      </c>
      <c r="C34" s="44">
        <f>C31+C33</f>
        <v>176151.81666666665</v>
      </c>
      <c r="D34" s="44">
        <f t="shared" ref="D34:G34" si="8">D31+D33</f>
        <v>204262.68686061812</v>
      </c>
      <c r="E34" s="44">
        <f t="shared" si="8"/>
        <v>55897.530049255714</v>
      </c>
      <c r="F34" s="44">
        <f t="shared" si="8"/>
        <v>181029.32853983034</v>
      </c>
      <c r="G34" s="45">
        <f t="shared" si="8"/>
        <v>136118.32360370181</v>
      </c>
      <c r="J34" s="5"/>
      <c r="K34" s="1"/>
      <c r="L34" s="17"/>
      <c r="M34" s="17"/>
      <c r="N34" s="17"/>
      <c r="O34" s="17"/>
      <c r="P34" s="18"/>
      <c r="Q34" s="1"/>
    </row>
    <row r="35" spans="1:17" x14ac:dyDescent="0.45">
      <c r="J35" s="62" t="s">
        <v>36</v>
      </c>
      <c r="K35" s="49" t="s">
        <v>25</v>
      </c>
      <c r="L35" s="284">
        <v>0</v>
      </c>
      <c r="M35" s="284">
        <v>600000</v>
      </c>
      <c r="N35" s="284">
        <v>400000</v>
      </c>
      <c r="O35" s="284">
        <v>250000</v>
      </c>
      <c r="P35" s="212">
        <v>300000</v>
      </c>
      <c r="Q35" s="1"/>
    </row>
    <row r="36" spans="1:17" x14ac:dyDescent="0.45">
      <c r="J36" s="5"/>
      <c r="K36" s="49" t="s">
        <v>14</v>
      </c>
      <c r="L36" s="284">
        <v>0</v>
      </c>
      <c r="M36" s="284">
        <v>0</v>
      </c>
      <c r="N36" s="284"/>
      <c r="O36" s="284">
        <v>200000</v>
      </c>
      <c r="P36" s="212">
        <v>300000</v>
      </c>
      <c r="Q36" s="1"/>
    </row>
    <row r="37" spans="1:17" ht="14.65" thickBot="1" x14ac:dyDescent="0.5">
      <c r="J37" s="7"/>
      <c r="K37" s="74" t="s">
        <v>15</v>
      </c>
      <c r="L37" s="286">
        <v>0</v>
      </c>
      <c r="M37" s="286">
        <v>0</v>
      </c>
      <c r="N37" s="286">
        <v>120000</v>
      </c>
      <c r="O37" s="286">
        <v>100000</v>
      </c>
      <c r="P37" s="213">
        <v>300000</v>
      </c>
      <c r="Q37" s="1"/>
    </row>
    <row r="38" spans="1:17" x14ac:dyDescent="0.45">
      <c r="O38" s="1"/>
      <c r="P38" s="1"/>
      <c r="Q38" s="1"/>
    </row>
    <row r="39" spans="1:17" x14ac:dyDescent="0.45">
      <c r="O39" s="1"/>
      <c r="P39" s="1"/>
      <c r="Q39" s="1"/>
    </row>
    <row r="40" spans="1:17" ht="14.65" thickBot="1" x14ac:dyDescent="0.5">
      <c r="O40" s="1"/>
      <c r="P40" s="1"/>
      <c r="Q40" s="1"/>
    </row>
    <row r="41" spans="1:17" ht="14.65" thickBot="1" x14ac:dyDescent="0.5">
      <c r="B41" s="23" t="s">
        <v>40</v>
      </c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2"/>
      <c r="O41" s="1"/>
      <c r="P41" s="1"/>
      <c r="Q41" s="1"/>
    </row>
    <row r="42" spans="1:17" x14ac:dyDescent="0.45">
      <c r="B42" s="5"/>
      <c r="C42" s="1"/>
      <c r="D42" s="1"/>
      <c r="E42" s="2" t="s">
        <v>5</v>
      </c>
      <c r="F42" s="12"/>
      <c r="G42" s="13" t="s">
        <v>6</v>
      </c>
      <c r="H42" s="13"/>
      <c r="I42" s="2" t="s">
        <v>7</v>
      </c>
      <c r="J42" s="12"/>
      <c r="K42" s="13" t="s">
        <v>8</v>
      </c>
      <c r="L42" s="13"/>
      <c r="M42" s="2" t="s">
        <v>9</v>
      </c>
      <c r="N42" s="12"/>
      <c r="O42" s="1"/>
      <c r="P42" s="1"/>
      <c r="Q42" s="1"/>
    </row>
    <row r="43" spans="1:17" x14ac:dyDescent="0.45">
      <c r="B43" s="56" t="s">
        <v>73</v>
      </c>
      <c r="C43" s="49" t="s">
        <v>59</v>
      </c>
      <c r="D43" s="52" t="s">
        <v>74</v>
      </c>
      <c r="E43" s="56" t="s">
        <v>71</v>
      </c>
      <c r="F43" s="57" t="s">
        <v>72</v>
      </c>
      <c r="G43" s="54" t="s">
        <v>71</v>
      </c>
      <c r="H43" s="52" t="s">
        <v>72</v>
      </c>
      <c r="I43" s="56" t="s">
        <v>71</v>
      </c>
      <c r="J43" s="57" t="s">
        <v>72</v>
      </c>
      <c r="K43" s="54" t="s">
        <v>71</v>
      </c>
      <c r="L43" s="52" t="s">
        <v>72</v>
      </c>
      <c r="M43" s="56" t="s">
        <v>71</v>
      </c>
      <c r="N43" s="57" t="s">
        <v>72</v>
      </c>
      <c r="O43" s="1"/>
      <c r="P43" s="1"/>
      <c r="Q43" s="1"/>
    </row>
    <row r="44" spans="1:17" x14ac:dyDescent="0.45">
      <c r="B44" s="56">
        <v>3</v>
      </c>
      <c r="C44" s="89">
        <v>80000</v>
      </c>
      <c r="D44" s="53">
        <v>30000</v>
      </c>
      <c r="E44" s="59">
        <v>0</v>
      </c>
      <c r="F44" s="57">
        <f t="shared" ref="F44:F55" si="9">D44*E44</f>
        <v>0</v>
      </c>
      <c r="G44" s="55">
        <f>E59</f>
        <v>6</v>
      </c>
      <c r="H44" s="52">
        <f>D44*G44</f>
        <v>180000</v>
      </c>
      <c r="I44" s="59">
        <f>G59</f>
        <v>0</v>
      </c>
      <c r="J44" s="57">
        <f>D44*I44</f>
        <v>0</v>
      </c>
      <c r="K44" s="55">
        <f>I59</f>
        <v>9</v>
      </c>
      <c r="L44" s="52">
        <f>D44*K44</f>
        <v>270000</v>
      </c>
      <c r="M44" s="59">
        <f>K59</f>
        <v>0</v>
      </c>
      <c r="N44" s="57">
        <f>D44*M44</f>
        <v>0</v>
      </c>
      <c r="O44" s="1"/>
      <c r="P44" s="1"/>
      <c r="Q44" s="1"/>
    </row>
    <row r="45" spans="1:17" x14ac:dyDescent="0.45">
      <c r="B45" s="56">
        <v>6</v>
      </c>
      <c r="C45" s="89">
        <f>C44*(1-1/12)</f>
        <v>73333.333333333328</v>
      </c>
      <c r="D45" s="52">
        <f>D44*(1-1/12)</f>
        <v>27500</v>
      </c>
      <c r="E45" s="59">
        <v>0</v>
      </c>
      <c r="F45" s="57">
        <f t="shared" si="9"/>
        <v>0</v>
      </c>
      <c r="G45" s="55">
        <f t="shared" ref="G45:G55" si="10">E44</f>
        <v>0</v>
      </c>
      <c r="H45" s="52">
        <f>D45*G45</f>
        <v>0</v>
      </c>
      <c r="I45" s="59">
        <f t="shared" ref="I45:I55" si="11">G44</f>
        <v>6</v>
      </c>
      <c r="J45" s="57">
        <f t="shared" ref="J45:J55" si="12">D45*I45</f>
        <v>165000</v>
      </c>
      <c r="K45" s="55">
        <f t="shared" ref="K45:K55" si="13">I44</f>
        <v>0</v>
      </c>
      <c r="L45" s="52">
        <f t="shared" ref="L45:L55" si="14">D45*K45</f>
        <v>0</v>
      </c>
      <c r="M45" s="59">
        <f t="shared" ref="M45:M55" si="15">K44</f>
        <v>9</v>
      </c>
      <c r="N45" s="57">
        <f t="shared" ref="N45:N55" si="16">D45*M45</f>
        <v>247500</v>
      </c>
      <c r="O45" s="1"/>
      <c r="P45" s="1"/>
      <c r="Q45" s="1"/>
    </row>
    <row r="46" spans="1:17" x14ac:dyDescent="0.45">
      <c r="B46" s="56">
        <v>9</v>
      </c>
      <c r="C46" s="89">
        <f>C44*(1-2/12)</f>
        <v>66666.666666666672</v>
      </c>
      <c r="D46" s="52">
        <f>D44*(1-2/12)</f>
        <v>25000</v>
      </c>
      <c r="E46" s="59">
        <v>0</v>
      </c>
      <c r="F46" s="57">
        <f>D46*E46</f>
        <v>0</v>
      </c>
      <c r="G46" s="55">
        <f t="shared" si="10"/>
        <v>0</v>
      </c>
      <c r="H46" s="52">
        <f t="shared" ref="H46:H55" si="17">D46*G46</f>
        <v>0</v>
      </c>
      <c r="I46" s="59">
        <f t="shared" si="11"/>
        <v>0</v>
      </c>
      <c r="J46" s="57">
        <f t="shared" si="12"/>
        <v>0</v>
      </c>
      <c r="K46" s="55">
        <f t="shared" si="13"/>
        <v>6</v>
      </c>
      <c r="L46" s="52">
        <f t="shared" si="14"/>
        <v>150000</v>
      </c>
      <c r="M46" s="59">
        <f t="shared" si="15"/>
        <v>0</v>
      </c>
      <c r="N46" s="57">
        <f t="shared" si="16"/>
        <v>0</v>
      </c>
      <c r="O46" s="1"/>
      <c r="P46" s="1"/>
      <c r="Q46" s="1"/>
    </row>
    <row r="47" spans="1:17" x14ac:dyDescent="0.45">
      <c r="B47" s="61" t="s">
        <v>67</v>
      </c>
      <c r="C47" s="89">
        <f>C44*(1-3/12)</f>
        <v>60000</v>
      </c>
      <c r="D47" s="52">
        <f>D44*(1-3/12)</f>
        <v>22500</v>
      </c>
      <c r="E47" s="59">
        <v>7</v>
      </c>
      <c r="F47" s="57">
        <f t="shared" si="9"/>
        <v>157500</v>
      </c>
      <c r="G47" s="55">
        <f t="shared" si="10"/>
        <v>0</v>
      </c>
      <c r="H47" s="52">
        <f t="shared" si="17"/>
        <v>0</v>
      </c>
      <c r="I47" s="59">
        <f t="shared" si="11"/>
        <v>0</v>
      </c>
      <c r="J47" s="57">
        <f t="shared" si="12"/>
        <v>0</v>
      </c>
      <c r="K47" s="55">
        <f t="shared" si="13"/>
        <v>0</v>
      </c>
      <c r="L47" s="52">
        <f t="shared" si="14"/>
        <v>0</v>
      </c>
      <c r="M47" s="59">
        <f t="shared" si="15"/>
        <v>6</v>
      </c>
      <c r="N47" s="57">
        <f t="shared" si="16"/>
        <v>135000</v>
      </c>
      <c r="O47" s="1"/>
      <c r="P47" s="1"/>
      <c r="Q47" s="1"/>
    </row>
    <row r="48" spans="1:17" x14ac:dyDescent="0.45">
      <c r="B48" s="56">
        <v>15</v>
      </c>
      <c r="C48" s="89">
        <f>C44*(1-4/12)</f>
        <v>53333.333333333336</v>
      </c>
      <c r="D48" s="52">
        <f>D44*(1-4/12)</f>
        <v>20000.000000000004</v>
      </c>
      <c r="E48" s="59">
        <v>7</v>
      </c>
      <c r="F48" s="57">
        <f t="shared" si="9"/>
        <v>140000.00000000003</v>
      </c>
      <c r="G48" s="55">
        <f t="shared" si="10"/>
        <v>7</v>
      </c>
      <c r="H48" s="52">
        <f t="shared" si="17"/>
        <v>140000.00000000003</v>
      </c>
      <c r="I48" s="59">
        <f t="shared" si="11"/>
        <v>0</v>
      </c>
      <c r="J48" s="57">
        <f t="shared" si="12"/>
        <v>0</v>
      </c>
      <c r="K48" s="55">
        <f t="shared" si="13"/>
        <v>0</v>
      </c>
      <c r="L48" s="52">
        <f t="shared" si="14"/>
        <v>0</v>
      </c>
      <c r="M48" s="59">
        <f t="shared" si="15"/>
        <v>0</v>
      </c>
      <c r="N48" s="57">
        <f t="shared" si="16"/>
        <v>0</v>
      </c>
      <c r="O48" s="1"/>
      <c r="P48" s="1"/>
      <c r="Q48" s="1"/>
    </row>
    <row r="49" spans="2:17" x14ac:dyDescent="0.45">
      <c r="B49" s="56">
        <v>18</v>
      </c>
      <c r="C49" s="89">
        <f>C44*(1-5/12)</f>
        <v>46666.666666666664</v>
      </c>
      <c r="D49" s="52">
        <f>D44*(1-5/12)</f>
        <v>17499.999999999996</v>
      </c>
      <c r="E49" s="59">
        <v>0</v>
      </c>
      <c r="F49" s="57">
        <f t="shared" si="9"/>
        <v>0</v>
      </c>
      <c r="G49" s="55">
        <f t="shared" si="10"/>
        <v>7</v>
      </c>
      <c r="H49" s="52">
        <f t="shared" si="17"/>
        <v>122499.99999999997</v>
      </c>
      <c r="I49" s="59">
        <f t="shared" si="11"/>
        <v>7</v>
      </c>
      <c r="J49" s="57">
        <f t="shared" si="12"/>
        <v>122499.99999999997</v>
      </c>
      <c r="K49" s="55">
        <f t="shared" si="13"/>
        <v>0</v>
      </c>
      <c r="L49" s="52">
        <f t="shared" si="14"/>
        <v>0</v>
      </c>
      <c r="M49" s="59">
        <f t="shared" si="15"/>
        <v>0</v>
      </c>
      <c r="N49" s="57">
        <f t="shared" si="16"/>
        <v>0</v>
      </c>
      <c r="O49" s="1"/>
      <c r="P49" s="1"/>
      <c r="Q49" s="1"/>
    </row>
    <row r="50" spans="2:17" x14ac:dyDescent="0.45">
      <c r="B50" s="56">
        <v>21</v>
      </c>
      <c r="C50" s="89">
        <f>C44*(1-6/12)</f>
        <v>40000</v>
      </c>
      <c r="D50" s="52">
        <f>D44*(1-6/12)</f>
        <v>15000</v>
      </c>
      <c r="E50" s="59">
        <v>0</v>
      </c>
      <c r="F50" s="57">
        <f t="shared" si="9"/>
        <v>0</v>
      </c>
      <c r="G50" s="55">
        <f t="shared" si="10"/>
        <v>0</v>
      </c>
      <c r="H50" s="52">
        <f t="shared" si="17"/>
        <v>0</v>
      </c>
      <c r="I50" s="59">
        <f t="shared" si="11"/>
        <v>7</v>
      </c>
      <c r="J50" s="57">
        <f t="shared" si="12"/>
        <v>105000</v>
      </c>
      <c r="K50" s="55">
        <f t="shared" si="13"/>
        <v>7</v>
      </c>
      <c r="L50" s="52">
        <f t="shared" si="14"/>
        <v>105000</v>
      </c>
      <c r="M50" s="59">
        <f t="shared" si="15"/>
        <v>0</v>
      </c>
      <c r="N50" s="57">
        <f t="shared" si="16"/>
        <v>0</v>
      </c>
    </row>
    <row r="51" spans="2:17" x14ac:dyDescent="0.45">
      <c r="B51" s="61" t="s">
        <v>68</v>
      </c>
      <c r="C51" s="89">
        <f>C44*(1-7/12)</f>
        <v>33333.333333333328</v>
      </c>
      <c r="D51" s="52">
        <f>D44*(1-7/12)</f>
        <v>12499.999999999998</v>
      </c>
      <c r="E51" s="59">
        <v>0</v>
      </c>
      <c r="F51" s="57">
        <f t="shared" si="9"/>
        <v>0</v>
      </c>
      <c r="G51" s="55">
        <f t="shared" si="10"/>
        <v>0</v>
      </c>
      <c r="H51" s="52">
        <f t="shared" si="17"/>
        <v>0</v>
      </c>
      <c r="I51" s="59">
        <f t="shared" si="11"/>
        <v>0</v>
      </c>
      <c r="J51" s="57">
        <f t="shared" si="12"/>
        <v>0</v>
      </c>
      <c r="K51" s="55">
        <f t="shared" si="13"/>
        <v>7</v>
      </c>
      <c r="L51" s="52">
        <f t="shared" si="14"/>
        <v>87499.999999999985</v>
      </c>
      <c r="M51" s="59">
        <f t="shared" si="15"/>
        <v>7</v>
      </c>
      <c r="N51" s="57">
        <f t="shared" si="16"/>
        <v>87499.999999999985</v>
      </c>
    </row>
    <row r="52" spans="2:17" x14ac:dyDescent="0.45">
      <c r="B52" s="56">
        <v>27</v>
      </c>
      <c r="C52" s="89">
        <f>C44*(1-8/12)</f>
        <v>26666.666666666668</v>
      </c>
      <c r="D52" s="52">
        <f>D44*(1-8/12)</f>
        <v>10000.000000000002</v>
      </c>
      <c r="E52" s="59">
        <v>5</v>
      </c>
      <c r="F52" s="57">
        <f t="shared" si="9"/>
        <v>50000.000000000007</v>
      </c>
      <c r="G52" s="55">
        <f t="shared" si="10"/>
        <v>0</v>
      </c>
      <c r="H52" s="52">
        <f t="shared" si="17"/>
        <v>0</v>
      </c>
      <c r="I52" s="59">
        <f t="shared" si="11"/>
        <v>0</v>
      </c>
      <c r="J52" s="57">
        <f t="shared" si="12"/>
        <v>0</v>
      </c>
      <c r="K52" s="55">
        <f t="shared" si="13"/>
        <v>0</v>
      </c>
      <c r="L52" s="52">
        <f t="shared" si="14"/>
        <v>0</v>
      </c>
      <c r="M52" s="59">
        <f t="shared" si="15"/>
        <v>7</v>
      </c>
      <c r="N52" s="57">
        <f t="shared" si="16"/>
        <v>70000.000000000015</v>
      </c>
    </row>
    <row r="53" spans="2:17" x14ac:dyDescent="0.45">
      <c r="B53" s="56">
        <v>30</v>
      </c>
      <c r="C53" s="89">
        <f>C44*(1-9/12)</f>
        <v>20000</v>
      </c>
      <c r="D53" s="52">
        <f>D44*(1-9/12)</f>
        <v>7500</v>
      </c>
      <c r="E53" s="59">
        <v>0</v>
      </c>
      <c r="F53" s="57">
        <f t="shared" si="9"/>
        <v>0</v>
      </c>
      <c r="G53" s="55">
        <f t="shared" si="10"/>
        <v>5</v>
      </c>
      <c r="H53" s="52">
        <f t="shared" si="17"/>
        <v>37500</v>
      </c>
      <c r="I53" s="59">
        <f t="shared" si="11"/>
        <v>0</v>
      </c>
      <c r="J53" s="57">
        <f t="shared" si="12"/>
        <v>0</v>
      </c>
      <c r="K53" s="55">
        <f t="shared" si="13"/>
        <v>0</v>
      </c>
      <c r="L53" s="52">
        <f t="shared" si="14"/>
        <v>0</v>
      </c>
      <c r="M53" s="59">
        <f t="shared" si="15"/>
        <v>0</v>
      </c>
      <c r="N53" s="57">
        <f t="shared" si="16"/>
        <v>0</v>
      </c>
    </row>
    <row r="54" spans="2:17" x14ac:dyDescent="0.45">
      <c r="B54" s="56">
        <v>33</v>
      </c>
      <c r="C54" s="89">
        <f>C44*(1-10/12)</f>
        <v>13333.33333333333</v>
      </c>
      <c r="D54" s="52">
        <f>D44*(1-10/12)</f>
        <v>4999.9999999999991</v>
      </c>
      <c r="E54" s="59">
        <v>0</v>
      </c>
      <c r="F54" s="57">
        <f t="shared" si="9"/>
        <v>0</v>
      </c>
      <c r="G54" s="55">
        <f t="shared" si="10"/>
        <v>0</v>
      </c>
      <c r="H54" s="52">
        <f t="shared" si="17"/>
        <v>0</v>
      </c>
      <c r="I54" s="59">
        <f t="shared" si="11"/>
        <v>5</v>
      </c>
      <c r="J54" s="57">
        <f t="shared" si="12"/>
        <v>24999.999999999996</v>
      </c>
      <c r="K54" s="55">
        <f t="shared" si="13"/>
        <v>0</v>
      </c>
      <c r="L54" s="52">
        <f t="shared" si="14"/>
        <v>0</v>
      </c>
      <c r="M54" s="59">
        <f t="shared" si="15"/>
        <v>0</v>
      </c>
      <c r="N54" s="57">
        <f t="shared" si="16"/>
        <v>0</v>
      </c>
    </row>
    <row r="55" spans="2:17" x14ac:dyDescent="0.45">
      <c r="B55" s="61" t="s">
        <v>69</v>
      </c>
      <c r="C55" s="89">
        <f>C44*(1-11/12)</f>
        <v>6666.6666666666697</v>
      </c>
      <c r="D55" s="52">
        <f>D44*(1-11/12)</f>
        <v>2500.0000000000009</v>
      </c>
      <c r="E55" s="59">
        <v>0</v>
      </c>
      <c r="F55" s="57">
        <f t="shared" si="9"/>
        <v>0</v>
      </c>
      <c r="G55" s="55">
        <f t="shared" si="10"/>
        <v>0</v>
      </c>
      <c r="H55" s="52">
        <f t="shared" si="17"/>
        <v>0</v>
      </c>
      <c r="I55" s="59">
        <f t="shared" si="11"/>
        <v>0</v>
      </c>
      <c r="J55" s="57">
        <f t="shared" si="12"/>
        <v>0</v>
      </c>
      <c r="K55" s="55">
        <f t="shared" si="13"/>
        <v>5</v>
      </c>
      <c r="L55" s="52">
        <f t="shared" si="14"/>
        <v>12500.000000000004</v>
      </c>
      <c r="M55" s="59">
        <f t="shared" si="15"/>
        <v>0</v>
      </c>
      <c r="N55" s="57">
        <f t="shared" si="16"/>
        <v>0</v>
      </c>
    </row>
    <row r="56" spans="2:17" x14ac:dyDescent="0.45">
      <c r="B56" s="5"/>
      <c r="C56" s="1"/>
      <c r="D56" s="1"/>
      <c r="E56" s="5"/>
      <c r="F56" s="6"/>
      <c r="G56" s="1"/>
      <c r="H56" s="1"/>
      <c r="I56" s="5"/>
      <c r="J56" s="6"/>
      <c r="K56" s="1"/>
      <c r="L56" s="1"/>
      <c r="M56" s="5"/>
      <c r="N56" s="6"/>
    </row>
    <row r="57" spans="2:17" x14ac:dyDescent="0.45">
      <c r="B57" s="56" t="s">
        <v>70</v>
      </c>
      <c r="C57" s="1"/>
      <c r="D57" s="1"/>
      <c r="E57" s="59">
        <f t="shared" ref="E57:N57" si="18">SUM(E44:E55)</f>
        <v>19</v>
      </c>
      <c r="F57" s="57">
        <f t="shared" si="18"/>
        <v>347500</v>
      </c>
      <c r="G57" s="55">
        <f t="shared" si="18"/>
        <v>25</v>
      </c>
      <c r="H57" s="52">
        <f t="shared" si="18"/>
        <v>480000</v>
      </c>
      <c r="I57" s="59">
        <f t="shared" si="18"/>
        <v>25</v>
      </c>
      <c r="J57" s="57">
        <f t="shared" si="18"/>
        <v>417500</v>
      </c>
      <c r="K57" s="55">
        <f t="shared" si="18"/>
        <v>34</v>
      </c>
      <c r="L57" s="52">
        <f t="shared" si="18"/>
        <v>625000</v>
      </c>
      <c r="M57" s="59">
        <f t="shared" si="18"/>
        <v>29</v>
      </c>
      <c r="N57" s="57">
        <f t="shared" si="18"/>
        <v>540000</v>
      </c>
    </row>
    <row r="58" spans="2:17" x14ac:dyDescent="0.45">
      <c r="B58" s="5"/>
      <c r="C58" s="1"/>
      <c r="D58" s="1"/>
      <c r="E58" s="5"/>
      <c r="F58" s="6"/>
      <c r="G58" s="1"/>
      <c r="H58" s="1"/>
      <c r="I58" s="5"/>
      <c r="J58" s="6"/>
      <c r="K58" s="1"/>
      <c r="L58" s="1"/>
      <c r="M58" s="5"/>
      <c r="N58" s="6"/>
    </row>
    <row r="59" spans="2:17" x14ac:dyDescent="0.45">
      <c r="B59" s="62" t="s">
        <v>75</v>
      </c>
      <c r="C59" s="1"/>
      <c r="D59" s="1"/>
      <c r="E59" s="79">
        <v>6</v>
      </c>
      <c r="F59" s="6"/>
      <c r="G59" s="287">
        <v>0</v>
      </c>
      <c r="H59" s="1"/>
      <c r="I59" s="79">
        <v>9</v>
      </c>
      <c r="J59" s="6"/>
      <c r="K59" s="287">
        <v>0</v>
      </c>
      <c r="L59" s="1"/>
      <c r="M59" s="79">
        <v>0</v>
      </c>
      <c r="N59" s="6"/>
    </row>
    <row r="60" spans="2:17" x14ac:dyDescent="0.45">
      <c r="B60" s="59" t="s">
        <v>59</v>
      </c>
      <c r="C60" s="1"/>
      <c r="D60" s="1"/>
      <c r="E60" s="100">
        <f>E44*C44+C45*E45+E46*C46+C47*E47+E48*C48+C49*E49+E50*C50+C51*E51+E52*C52+C53*E53+E54*C54+C55*E55</f>
        <v>926666.66666666674</v>
      </c>
      <c r="F60" s="6"/>
      <c r="G60" s="90">
        <f>G44*C44+C45*G45+G46*C46+C47*G47+G48*C48+C49*G49+G50*C50+C51*G51+G52*C52+C53*G53+G54*C54+C55*G55</f>
        <v>1280000</v>
      </c>
      <c r="H60" s="1"/>
      <c r="I60" s="100">
        <f>I44*C44+C45*I45+I46*C46+C47*I47+I48*C48+C49*I49+I50*C50+C51*I51+I52*C52+C53*I53+I54*C54+C55*I55</f>
        <v>1113333.3333333333</v>
      </c>
      <c r="J60" s="6"/>
      <c r="K60" s="90">
        <f>K44*C44+C45*K45+K46*C46+C47*K47+K48*C48+C49*K49+K50*C50+C51*K51+K52*C52+C53*K53+K54*C54+C55*K55</f>
        <v>1666666.6666666665</v>
      </c>
      <c r="L60" s="1"/>
      <c r="M60" s="100">
        <f>M44*C44+C45*M45+M46*C46+C47*M47+M48*C48+C49*M49+M50*C50+C51*M51+M52*C52+C53*M53+M54*C54+C55*M55</f>
        <v>1440000</v>
      </c>
      <c r="N60" s="6"/>
    </row>
    <row r="61" spans="2:17" ht="14.65" thickBot="1" x14ac:dyDescent="0.5">
      <c r="B61" s="94" t="s">
        <v>204</v>
      </c>
      <c r="C61" s="8"/>
      <c r="D61" s="8"/>
      <c r="E61" s="91">
        <f>E47*(C46-C47)+E48*(C47-C48)+E52*(C51-C52)+E45*(C44-C45)+E46*(C45-C46)+E49*(C48-C49)+E50*(C49-C50)+E51*(C50-C51)+E53*(C52-C53)+E54*(C53-C54)+E55*(C54-C55)</f>
        <v>126666.66666666664</v>
      </c>
      <c r="F61" s="9"/>
      <c r="G61" s="91">
        <f>G47*(C46-C47)+G48*(C47-C48)+G52*(C51-C52)+G45*(C44-C45)+G46*(C45-C46)+G49*(C48-C49)+G50*(C49-C50)+G51*(C50-C51)+G53*(C52-C53)+G54*(C53-C54)+G55*(C54-C55)</f>
        <v>126666.66666666669</v>
      </c>
      <c r="H61" s="8"/>
      <c r="I61" s="91">
        <f>I47*(C46-C47)+I48*(C47-C48)+I52*(C51-C52)+I45*(C44-C45)+I46*(C45-C46)+I49*(C48-C49)+I50*(C49-C50)+I51*(C50-C51)+I53*(C52-C53)+I54*(C53-C54)+I55*(C54-C55)</f>
        <v>166666.66666666672</v>
      </c>
      <c r="J61" s="9"/>
      <c r="K61" s="91">
        <f>K47*(C46-C47)+K48*(C47-C48)+K52*(C51-C52)+K45*(C44-C45)+K46*(C45-C46)+K49*(C48-C49)+K50*(C49-C50)+K51*(C50-C51)+K53*(C52-C53)+K54*(C53-C54)+K55*(C54-C55)</f>
        <v>166666.66666666663</v>
      </c>
      <c r="L61" s="8"/>
      <c r="M61" s="91">
        <f>M47*(C46-C47)+M48*(C47-C48)+M52*(C51-C52)+M45*(C44-C45)+M46*(C45-C46)+M49*(C48-C49)+M50*(C49-C50)+M51*(C50-C51)+M53*(C52-C53)+M54*(C53-C54)+M55*(C54-C55)</f>
        <v>193333.33333333337</v>
      </c>
      <c r="N61" s="9"/>
    </row>
  </sheetData>
  <pageMargins left="0.7" right="0.7" top="0.75" bottom="0.75" header="0.3" footer="0.3"/>
  <pageSetup paperSize="9" orientation="portrait" r:id="rId1"/>
  <ignoredErrors>
    <ignoredError sqref="H44:H55 J44:J55 L44:L55" formula="1"/>
  </ignoredErrors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3D653-1FAB-412D-AE2D-08549B74A233}">
  <dimension ref="A1:M81"/>
  <sheetViews>
    <sheetView zoomScale="80" zoomScaleNormal="80" workbookViewId="0">
      <selection activeCell="J60" sqref="J60"/>
    </sheetView>
  </sheetViews>
  <sheetFormatPr defaultRowHeight="14.25" x14ac:dyDescent="0.45"/>
  <cols>
    <col min="1" max="1" width="34.9296875" customWidth="1"/>
    <col min="2" max="2" width="17.53125" customWidth="1"/>
    <col min="3" max="3" width="16.46484375" customWidth="1"/>
    <col min="4" max="4" width="21.59765625" customWidth="1"/>
    <col min="5" max="5" width="19.73046875" customWidth="1"/>
    <col min="6" max="6" width="20.73046875" customWidth="1"/>
    <col min="8" max="8" width="23.86328125" customWidth="1"/>
    <col min="9" max="9" width="15.86328125" customWidth="1"/>
    <col min="10" max="10" width="13.53125" customWidth="1"/>
    <col min="11" max="11" width="13.1328125" customWidth="1"/>
    <col min="12" max="12" width="15.06640625" customWidth="1"/>
    <col min="13" max="13" width="13.46484375" customWidth="1"/>
  </cols>
  <sheetData>
    <row r="1" spans="1:13" ht="18" x14ac:dyDescent="0.55000000000000004">
      <c r="A1" s="106" t="s">
        <v>159</v>
      </c>
      <c r="B1" s="107" t="s">
        <v>5</v>
      </c>
      <c r="C1" s="107" t="s">
        <v>6</v>
      </c>
      <c r="D1" s="107" t="s">
        <v>7</v>
      </c>
      <c r="E1" s="107" t="s">
        <v>8</v>
      </c>
      <c r="F1" s="108" t="s">
        <v>9</v>
      </c>
      <c r="G1" s="86"/>
      <c r="H1" s="2"/>
      <c r="I1" s="109" t="s">
        <v>130</v>
      </c>
      <c r="J1" s="110"/>
      <c r="K1" s="13"/>
      <c r="L1" s="13"/>
      <c r="M1" s="12"/>
    </row>
    <row r="2" spans="1:13" x14ac:dyDescent="0.45">
      <c r="A2" s="128" t="s">
        <v>161</v>
      </c>
      <c r="B2" s="129">
        <f>I20</f>
        <v>41926025</v>
      </c>
      <c r="C2" s="129">
        <f t="shared" ref="C2:F2" si="0">J20</f>
        <v>69202475</v>
      </c>
      <c r="D2" s="129">
        <f t="shared" si="0"/>
        <v>54544950</v>
      </c>
      <c r="E2" s="129">
        <f t="shared" si="0"/>
        <v>103315100</v>
      </c>
      <c r="F2" s="130">
        <f t="shared" si="0"/>
        <v>64618345</v>
      </c>
      <c r="H2" s="111" t="s">
        <v>132</v>
      </c>
      <c r="I2" s="112" t="s">
        <v>5</v>
      </c>
      <c r="J2" s="112" t="s">
        <v>6</v>
      </c>
      <c r="K2" s="112" t="s">
        <v>7</v>
      </c>
      <c r="L2" s="112" t="s">
        <v>8</v>
      </c>
      <c r="M2" s="113" t="s">
        <v>9</v>
      </c>
    </row>
    <row r="3" spans="1:13" x14ac:dyDescent="0.45">
      <c r="A3" s="56" t="s">
        <v>163</v>
      </c>
      <c r="B3" s="114">
        <f>(B47+B48+B49+B50+B51+B52)*3/2</f>
        <v>13654500</v>
      </c>
      <c r="C3" s="114">
        <f t="shared" ref="C3:F3" si="1">(C47+C48+C49+C50+C51+C52)*3/2</f>
        <v>17535000</v>
      </c>
      <c r="D3" s="114">
        <f t="shared" si="1"/>
        <v>15744000</v>
      </c>
      <c r="E3" s="114">
        <f t="shared" si="1"/>
        <v>21345000</v>
      </c>
      <c r="F3" s="115">
        <f t="shared" si="1"/>
        <v>16956000</v>
      </c>
      <c r="H3" s="5" t="s">
        <v>97</v>
      </c>
      <c r="I3" s="114">
        <f>Marketing!C11</f>
        <v>17385415</v>
      </c>
      <c r="J3" s="114">
        <f>Marketing!D11</f>
        <v>18650280</v>
      </c>
      <c r="K3" s="114">
        <f>Marketing!E11</f>
        <v>26878390</v>
      </c>
      <c r="L3" s="114">
        <f>Marketing!F11</f>
        <v>22995000</v>
      </c>
      <c r="M3" s="115">
        <f>Marketing!G11</f>
        <v>9473400</v>
      </c>
    </row>
    <row r="4" spans="1:13" x14ac:dyDescent="0.45">
      <c r="A4" s="105" t="s">
        <v>165</v>
      </c>
      <c r="B4" s="118">
        <v>6636772</v>
      </c>
      <c r="C4" s="118">
        <v>-5133813</v>
      </c>
      <c r="D4" s="118">
        <v>7392900</v>
      </c>
      <c r="E4" s="118">
        <v>-6111522</v>
      </c>
      <c r="F4" s="125"/>
      <c r="H4" s="5" t="s">
        <v>135</v>
      </c>
      <c r="I4" s="114">
        <f>Marketing!C38</f>
        <v>0</v>
      </c>
      <c r="J4" s="114">
        <f>Marketing!D38</f>
        <v>12744000</v>
      </c>
      <c r="K4" s="114">
        <f>Marketing!E38</f>
        <v>2550000</v>
      </c>
      <c r="L4" s="114">
        <f>Marketing!F38</f>
        <v>12000000</v>
      </c>
      <c r="M4" s="115">
        <f>Marketing!G38</f>
        <v>26790000</v>
      </c>
    </row>
    <row r="5" spans="1:13" x14ac:dyDescent="0.45">
      <c r="A5" s="56" t="s">
        <v>167</v>
      </c>
      <c r="B5" s="114">
        <f>B56</f>
        <v>6418046.771555556</v>
      </c>
      <c r="C5" s="114">
        <f t="shared" ref="C5:F5" si="2">C56</f>
        <v>14363205.265270934</v>
      </c>
      <c r="D5" s="114">
        <f t="shared" si="2"/>
        <v>4906945.4017716656</v>
      </c>
      <c r="E5" s="114">
        <f t="shared" si="2"/>
        <v>15903252.789478138</v>
      </c>
      <c r="F5" s="115">
        <f t="shared" si="2"/>
        <v>13998332.429733997</v>
      </c>
      <c r="H5" s="5" t="s">
        <v>98</v>
      </c>
      <c r="I5" s="114">
        <f>Marketing!C18</f>
        <v>10685400</v>
      </c>
      <c r="J5" s="114">
        <f>Marketing!D18</f>
        <v>22719055</v>
      </c>
      <c r="K5" s="114">
        <f>Marketing!E18</f>
        <v>8263500</v>
      </c>
      <c r="L5" s="114">
        <f>Marketing!F18</f>
        <v>25302600</v>
      </c>
      <c r="M5" s="115">
        <f>Marketing!G18</f>
        <v>5696800</v>
      </c>
    </row>
    <row r="6" spans="1:13" x14ac:dyDescent="0.45">
      <c r="A6" s="56" t="s">
        <v>168</v>
      </c>
      <c r="B6" s="114">
        <f>Operation!S45</f>
        <v>14300640</v>
      </c>
      <c r="C6" s="114">
        <f>Operation!T45</f>
        <v>0</v>
      </c>
      <c r="D6" s="114">
        <f>Operation!U45</f>
        <v>0</v>
      </c>
      <c r="E6" s="114">
        <f>Operation!V45</f>
        <v>8520950</v>
      </c>
      <c r="F6" s="115">
        <f>Operation!W45</f>
        <v>6800000</v>
      </c>
      <c r="H6" s="5" t="s">
        <v>138</v>
      </c>
      <c r="I6" s="114">
        <f>Marketing!C49</f>
        <v>0</v>
      </c>
      <c r="J6" s="114">
        <f>Marketing!D49</f>
        <v>455000</v>
      </c>
      <c r="K6" s="114">
        <f>Marketing!E49</f>
        <v>3000000</v>
      </c>
      <c r="L6" s="114">
        <f>Marketing!F49</f>
        <v>3500000</v>
      </c>
      <c r="M6" s="115">
        <f>Marketing!G49</f>
        <v>2084145</v>
      </c>
    </row>
    <row r="7" spans="1:13" x14ac:dyDescent="0.45">
      <c r="A7" s="105" t="s">
        <v>169</v>
      </c>
      <c r="B7" s="118">
        <v>8467433</v>
      </c>
      <c r="C7" s="118">
        <v>-390775</v>
      </c>
      <c r="D7" s="118">
        <v>-13111817</v>
      </c>
      <c r="E7" s="118">
        <v>6985262</v>
      </c>
      <c r="F7" s="125"/>
      <c r="H7" s="5" t="s">
        <v>99</v>
      </c>
      <c r="I7" s="114">
        <f>Marketing!C25</f>
        <v>13455160</v>
      </c>
      <c r="J7" s="114">
        <f>Marketing!D25</f>
        <v>10472540</v>
      </c>
      <c r="K7" s="114">
        <f>Marketing!E25</f>
        <v>13178060</v>
      </c>
      <c r="L7" s="114">
        <f>Marketing!F25</f>
        <v>26182500</v>
      </c>
      <c r="M7" s="115">
        <f>Marketing!G25</f>
        <v>20574000</v>
      </c>
    </row>
    <row r="8" spans="1:13" x14ac:dyDescent="0.45">
      <c r="A8" s="128" t="s">
        <v>170</v>
      </c>
      <c r="B8" s="129">
        <f>B3-B4+B5+B6-B7</f>
        <v>19268981.771555558</v>
      </c>
      <c r="C8" s="129">
        <f t="shared" ref="C8:F8" si="3">C3-C4+C5+C6-C7</f>
        <v>37422793.265270934</v>
      </c>
      <c r="D8" s="129">
        <f t="shared" si="3"/>
        <v>26369862.401771665</v>
      </c>
      <c r="E8" s="129">
        <f t="shared" si="3"/>
        <v>44895462.789478138</v>
      </c>
      <c r="F8" s="130">
        <f t="shared" si="3"/>
        <v>37754332.429733999</v>
      </c>
      <c r="H8" s="5" t="s">
        <v>141</v>
      </c>
      <c r="I8" s="114">
        <f>Marketing!C60</f>
        <v>400050</v>
      </c>
      <c r="J8" s="114">
        <f>Marketing!D60</f>
        <v>4161600</v>
      </c>
      <c r="K8" s="114">
        <f>Marketing!E60</f>
        <v>675000</v>
      </c>
      <c r="L8" s="114">
        <f>Marketing!F60</f>
        <v>13335000</v>
      </c>
      <c r="M8" s="115">
        <f>Marketing!G60</f>
        <v>0</v>
      </c>
    </row>
    <row r="9" spans="1:13" x14ac:dyDescent="0.45">
      <c r="A9" s="128" t="s">
        <v>172</v>
      </c>
      <c r="B9" s="129">
        <f>B2-B8</f>
        <v>22657043.228444442</v>
      </c>
      <c r="C9" s="129">
        <f t="shared" ref="C9:F9" si="4">C2-C8</f>
        <v>31779681.734729066</v>
      </c>
      <c r="D9" s="129">
        <f t="shared" si="4"/>
        <v>28175087.598228335</v>
      </c>
      <c r="E9" s="129">
        <f t="shared" si="4"/>
        <v>58419637.210521862</v>
      </c>
      <c r="F9" s="130">
        <f t="shared" si="4"/>
        <v>26864012.570266001</v>
      </c>
      <c r="H9" s="131" t="s">
        <v>143</v>
      </c>
      <c r="I9" s="129">
        <f>I3+I4+I5+I6+I7+I8</f>
        <v>41926025</v>
      </c>
      <c r="J9" s="129">
        <f t="shared" ref="J9:M9" si="5">J3+J4+J5+J6+J7+J8</f>
        <v>69202475</v>
      </c>
      <c r="K9" s="129">
        <f>K3+K4+K5+K6+K7+K8</f>
        <v>54544950</v>
      </c>
      <c r="L9" s="129">
        <f t="shared" si="5"/>
        <v>103315100</v>
      </c>
      <c r="M9" s="130">
        <f t="shared" si="5"/>
        <v>64618345</v>
      </c>
    </row>
    <row r="10" spans="1:13" x14ac:dyDescent="0.45">
      <c r="A10" s="59" t="s">
        <v>174</v>
      </c>
      <c r="B10" s="119">
        <f>Operation!S55</f>
        <v>3700000</v>
      </c>
      <c r="C10" s="119">
        <f>Operation!T55</f>
        <v>3550000</v>
      </c>
      <c r="D10" s="119">
        <f>Operation!U55</f>
        <v>2650000</v>
      </c>
      <c r="E10" s="119">
        <f>Operation!V55</f>
        <v>2980000</v>
      </c>
      <c r="F10" s="121">
        <f>Operation!W55</f>
        <v>2860000</v>
      </c>
      <c r="H10" s="5"/>
      <c r="I10" s="89"/>
      <c r="J10" s="89"/>
      <c r="K10" s="89"/>
      <c r="L10" s="89"/>
      <c r="M10" s="96"/>
    </row>
    <row r="11" spans="1:13" x14ac:dyDescent="0.45">
      <c r="A11" s="56" t="s">
        <v>176</v>
      </c>
      <c r="B11" s="114">
        <f>Operation!E89</f>
        <v>3600000</v>
      </c>
      <c r="C11" s="114">
        <f>Operation!I89</f>
        <v>3600000</v>
      </c>
      <c r="D11" s="114">
        <f>Operation!M89</f>
        <v>4000000</v>
      </c>
      <c r="E11" s="114">
        <f>Operation!R89</f>
        <v>2400000</v>
      </c>
      <c r="F11" s="115">
        <f>Operation!V89</f>
        <v>2400000</v>
      </c>
      <c r="H11" s="111" t="s">
        <v>145</v>
      </c>
      <c r="I11" s="114"/>
      <c r="J11" s="114"/>
      <c r="K11" s="89"/>
      <c r="L11" s="89"/>
      <c r="M11" s="96"/>
    </row>
    <row r="12" spans="1:13" x14ac:dyDescent="0.45">
      <c r="A12" s="56" t="s">
        <v>178</v>
      </c>
      <c r="B12" s="114">
        <f>Operation!F88</f>
        <v>2000000</v>
      </c>
      <c r="C12" s="89">
        <f>Operation!J88</f>
        <v>1600000</v>
      </c>
      <c r="D12" s="120">
        <f>Operation!N88</f>
        <v>1600000</v>
      </c>
      <c r="E12" s="89">
        <f>Operation!S88</f>
        <v>2480000</v>
      </c>
      <c r="F12" s="96">
        <f>Operation!W88</f>
        <v>2160000</v>
      </c>
      <c r="H12" s="5" t="s">
        <v>10</v>
      </c>
      <c r="I12" s="114">
        <f>I3+I4</f>
        <v>17385415</v>
      </c>
      <c r="J12" s="114">
        <f t="shared" ref="J12:M12" si="6">J3+J4</f>
        <v>31394280</v>
      </c>
      <c r="K12" s="114">
        <f>K3+K4</f>
        <v>29428390</v>
      </c>
      <c r="L12" s="114">
        <f t="shared" si="6"/>
        <v>34995000</v>
      </c>
      <c r="M12" s="115">
        <f t="shared" si="6"/>
        <v>36263400</v>
      </c>
    </row>
    <row r="13" spans="1:13" x14ac:dyDescent="0.45">
      <c r="A13" s="56" t="s">
        <v>179</v>
      </c>
      <c r="B13" s="114">
        <f>Operation!S11</f>
        <v>1000000</v>
      </c>
      <c r="C13" s="114">
        <f>Operation!T11</f>
        <v>3500000</v>
      </c>
      <c r="D13" s="114">
        <f>Operation!U11</f>
        <v>5000000</v>
      </c>
      <c r="E13" s="114">
        <f>Operation!V11</f>
        <v>5000000</v>
      </c>
      <c r="F13" s="115">
        <f>Operation!W11</f>
        <v>5000000</v>
      </c>
      <c r="H13" s="5" t="s">
        <v>14</v>
      </c>
      <c r="I13" s="114">
        <f>I5+I6</f>
        <v>10685400</v>
      </c>
      <c r="J13" s="114">
        <f t="shared" ref="J13:M13" si="7">J5+J6</f>
        <v>23174055</v>
      </c>
      <c r="K13" s="114">
        <f t="shared" si="7"/>
        <v>11263500</v>
      </c>
      <c r="L13" s="114">
        <f t="shared" si="7"/>
        <v>28802600</v>
      </c>
      <c r="M13" s="115">
        <f t="shared" si="7"/>
        <v>7780945</v>
      </c>
    </row>
    <row r="14" spans="1:13" x14ac:dyDescent="0.45">
      <c r="A14" s="128" t="s">
        <v>180</v>
      </c>
      <c r="B14" s="129">
        <f>B10+B11+B12+B13</f>
        <v>10300000</v>
      </c>
      <c r="C14" s="129">
        <f t="shared" ref="C14:F14" si="8">C10+C11+C12+C13</f>
        <v>12250000</v>
      </c>
      <c r="D14" s="129">
        <f t="shared" si="8"/>
        <v>13250000</v>
      </c>
      <c r="E14" s="129">
        <f t="shared" si="8"/>
        <v>12860000</v>
      </c>
      <c r="F14" s="130">
        <f t="shared" si="8"/>
        <v>12420000</v>
      </c>
      <c r="H14" s="5" t="s">
        <v>77</v>
      </c>
      <c r="I14" s="114">
        <f>I7+I8</f>
        <v>13855210</v>
      </c>
      <c r="J14" s="114">
        <f t="shared" ref="J14:M14" si="9">J7+J8</f>
        <v>14634140</v>
      </c>
      <c r="K14" s="114">
        <f t="shared" si="9"/>
        <v>13853060</v>
      </c>
      <c r="L14" s="114">
        <f t="shared" si="9"/>
        <v>39517500</v>
      </c>
      <c r="M14" s="115">
        <f t="shared" si="9"/>
        <v>20574000</v>
      </c>
    </row>
    <row r="15" spans="1:13" x14ac:dyDescent="0.45">
      <c r="A15" s="56" t="s">
        <v>181</v>
      </c>
      <c r="B15" s="114">
        <f>Distribution!C31+Distribution!C33</f>
        <v>176151.81666666665</v>
      </c>
      <c r="C15" s="114">
        <f>Distribution!D31+Distribution!D33</f>
        <v>204262.68686061812</v>
      </c>
      <c r="D15" s="114">
        <f>Distribution!E31+Distribution!E33</f>
        <v>55897.530049255714</v>
      </c>
      <c r="E15" s="114">
        <f>Distribution!F31+Distribution!F33</f>
        <v>181029.32853983034</v>
      </c>
      <c r="F15" s="115">
        <f>Distribution!G31+Distribution!G33</f>
        <v>136118.32360370181</v>
      </c>
      <c r="H15" s="131" t="s">
        <v>143</v>
      </c>
      <c r="I15" s="129">
        <f>I12+I13+I14</f>
        <v>41926025</v>
      </c>
      <c r="J15" s="129">
        <f t="shared" ref="J15:M15" si="10">J12+J13+J14</f>
        <v>69202475</v>
      </c>
      <c r="K15" s="129">
        <f t="shared" si="10"/>
        <v>54544950</v>
      </c>
      <c r="L15" s="129">
        <f t="shared" si="10"/>
        <v>103315100</v>
      </c>
      <c r="M15" s="130">
        <f t="shared" si="10"/>
        <v>64618345</v>
      </c>
    </row>
    <row r="16" spans="1:13" x14ac:dyDescent="0.45">
      <c r="A16" s="56" t="s">
        <v>182</v>
      </c>
      <c r="B16" s="114">
        <f>Distribution!E61</f>
        <v>126666.66666666664</v>
      </c>
      <c r="C16" s="89">
        <f>Distribution!G61</f>
        <v>126666.66666666669</v>
      </c>
      <c r="D16" s="89">
        <f>Distribution!I61</f>
        <v>166666.66666666672</v>
      </c>
      <c r="E16" s="89">
        <f>Distribution!K61</f>
        <v>166666.66666666663</v>
      </c>
      <c r="F16" s="96">
        <f>Distribution!M61</f>
        <v>193333.33333333337</v>
      </c>
      <c r="H16" s="5"/>
      <c r="I16" s="89"/>
      <c r="J16" s="89"/>
      <c r="K16" s="89"/>
      <c r="L16" s="89"/>
      <c r="M16" s="96"/>
    </row>
    <row r="17" spans="1:13" x14ac:dyDescent="0.45">
      <c r="A17" s="59" t="s">
        <v>183</v>
      </c>
      <c r="B17" s="114">
        <f>300000+2*(Operation!L32*5+1*Operation!L33+Operation!L34*10)</f>
        <v>1354250.1777777779</v>
      </c>
      <c r="C17" s="114">
        <f>300000+2*(Operation!M32*5+1*Operation!M33+Operation!M34*10)</f>
        <v>1332056.6760727596</v>
      </c>
      <c r="D17" s="114">
        <f>300000+2*(Operation!N32*5+1*Operation!N33+Operation!N34*10)</f>
        <v>605410.87640113081</v>
      </c>
      <c r="E17" s="114">
        <f>300000+2*(Operation!O32*5+1*Operation!O33+Operation!O34*10)</f>
        <v>826897.06666666642</v>
      </c>
      <c r="F17" s="115">
        <f>300000+2*(Operation!P32*5+1*Operation!P33+Operation!P34*10)</f>
        <v>1254764.5573580118</v>
      </c>
      <c r="H17" s="111" t="s">
        <v>150</v>
      </c>
      <c r="I17" s="114"/>
      <c r="J17" s="114"/>
      <c r="K17" s="89"/>
      <c r="L17" s="89"/>
      <c r="M17" s="96"/>
    </row>
    <row r="18" spans="1:13" x14ac:dyDescent="0.45">
      <c r="A18" s="128" t="s">
        <v>184</v>
      </c>
      <c r="B18" s="129">
        <f>B15+B16+B17</f>
        <v>1657068.6611111113</v>
      </c>
      <c r="C18" s="129">
        <f t="shared" ref="C18:F18" si="11">C15+C16+C17</f>
        <v>1662986.0296000442</v>
      </c>
      <c r="D18" s="129">
        <f t="shared" si="11"/>
        <v>827975.07311705325</v>
      </c>
      <c r="E18" s="129">
        <f t="shared" si="11"/>
        <v>1174593.0618731633</v>
      </c>
      <c r="F18" s="130">
        <f t="shared" si="11"/>
        <v>1584216.2142950469</v>
      </c>
      <c r="H18" s="5" t="s">
        <v>152</v>
      </c>
      <c r="I18" s="114">
        <f>I3+I5+I7</f>
        <v>41525975</v>
      </c>
      <c r="J18" s="114">
        <f t="shared" ref="J18:M18" si="12">J3+J5+J7</f>
        <v>51841875</v>
      </c>
      <c r="K18" s="114">
        <f t="shared" si="12"/>
        <v>48319950</v>
      </c>
      <c r="L18" s="114">
        <f t="shared" si="12"/>
        <v>74480100</v>
      </c>
      <c r="M18" s="115">
        <f t="shared" si="12"/>
        <v>35744200</v>
      </c>
    </row>
    <row r="19" spans="1:13" x14ac:dyDescent="0.45">
      <c r="A19" s="59" t="s">
        <v>185</v>
      </c>
      <c r="B19" s="114">
        <f>Marketing!C4+Marketing!C5+Distribution!L35+Distribution!L36+Distribution!L37+Distribution!L16+Distribution!L17</f>
        <v>3000000</v>
      </c>
      <c r="C19" s="114">
        <f>Marketing!D4+Marketing!D5+Distribution!M35+Distribution!M36+Distribution!M37+Distribution!M16+Distribution!M17</f>
        <v>6000000</v>
      </c>
      <c r="D19" s="114">
        <f>Marketing!E4+Marketing!E5+Distribution!N35+Distribution!N36+Distribution!N37+Distribution!N16+Distribution!N17</f>
        <v>7820000</v>
      </c>
      <c r="E19" s="114">
        <f>Marketing!F4+Marketing!F5+Distribution!O35+Distribution!O36+Distribution!O37+Distribution!O16+Distribution!O17</f>
        <v>9350000</v>
      </c>
      <c r="F19" s="115">
        <f>Marketing!G4+Marketing!G5+Distribution!P35+Distribution!P36+Distribution!P37+Distribution!P16+Distribution!P17</f>
        <v>11200000</v>
      </c>
      <c r="H19" s="5" t="s">
        <v>154</v>
      </c>
      <c r="I19" s="114">
        <f>I4+I6+I8</f>
        <v>400050</v>
      </c>
      <c r="J19" s="114">
        <f t="shared" ref="J19:M19" si="13">J4+J6+J8</f>
        <v>17360600</v>
      </c>
      <c r="K19" s="114">
        <f t="shared" si="13"/>
        <v>6225000</v>
      </c>
      <c r="L19" s="114">
        <f t="shared" si="13"/>
        <v>28835000</v>
      </c>
      <c r="M19" s="115">
        <f t="shared" si="13"/>
        <v>28874145</v>
      </c>
    </row>
    <row r="20" spans="1:13" ht="14.65" thickBot="1" x14ac:dyDescent="0.5">
      <c r="A20" s="56" t="s">
        <v>186</v>
      </c>
      <c r="B20" s="114">
        <f>B53</f>
        <v>1780000</v>
      </c>
      <c r="C20" s="114">
        <f t="shared" ref="C20:F20" si="14">C53</f>
        <v>2275000</v>
      </c>
      <c r="D20" s="114">
        <f t="shared" si="14"/>
        <v>2335000</v>
      </c>
      <c r="E20" s="114">
        <f t="shared" si="14"/>
        <v>2660000</v>
      </c>
      <c r="F20" s="115">
        <f t="shared" si="14"/>
        <v>2790000</v>
      </c>
      <c r="H20" s="132" t="s">
        <v>143</v>
      </c>
      <c r="I20" s="133">
        <f>I18+I19</f>
        <v>41926025</v>
      </c>
      <c r="J20" s="133">
        <f t="shared" ref="J20:M20" si="15">J18+J19</f>
        <v>69202475</v>
      </c>
      <c r="K20" s="133">
        <f t="shared" si="15"/>
        <v>54544950</v>
      </c>
      <c r="L20" s="133">
        <f t="shared" si="15"/>
        <v>103315100</v>
      </c>
      <c r="M20" s="134">
        <f t="shared" si="15"/>
        <v>64618345</v>
      </c>
    </row>
    <row r="21" spans="1:13" x14ac:dyDescent="0.45">
      <c r="A21" s="56" t="s">
        <v>187</v>
      </c>
      <c r="B21" s="114">
        <f>Distribution!L32</f>
        <v>4272000</v>
      </c>
      <c r="C21" s="114">
        <f>Distribution!M32</f>
        <v>5472000</v>
      </c>
      <c r="D21" s="114">
        <f>Distribution!N32</f>
        <v>5472000</v>
      </c>
      <c r="E21" s="114">
        <f>Distribution!O32</f>
        <v>6840000</v>
      </c>
      <c r="F21" s="115">
        <f>Distribution!P32</f>
        <v>7090000</v>
      </c>
    </row>
    <row r="22" spans="1:13" x14ac:dyDescent="0.45">
      <c r="A22" s="56" t="s">
        <v>188</v>
      </c>
      <c r="B22" s="114">
        <f>Distribution!L24</f>
        <v>1470000</v>
      </c>
      <c r="C22" s="114">
        <f>Distribution!M24</f>
        <v>1837500</v>
      </c>
      <c r="D22" s="114">
        <f>Distribution!N24</f>
        <v>1837500</v>
      </c>
      <c r="E22" s="114">
        <f>Distribution!O24</f>
        <v>2187500</v>
      </c>
      <c r="F22" s="115">
        <f>Distribution!P24</f>
        <v>2312500</v>
      </c>
    </row>
    <row r="23" spans="1:13" x14ac:dyDescent="0.45">
      <c r="A23" s="56" t="s">
        <v>136</v>
      </c>
      <c r="B23" s="114">
        <f>B21+B22</f>
        <v>5742000</v>
      </c>
      <c r="C23" s="114">
        <f t="shared" ref="C23:F23" si="16">C21+C22</f>
        <v>7309500</v>
      </c>
      <c r="D23" s="114">
        <f t="shared" si="16"/>
        <v>7309500</v>
      </c>
      <c r="E23" s="114">
        <f t="shared" si="16"/>
        <v>9027500</v>
      </c>
      <c r="F23" s="115">
        <f t="shared" si="16"/>
        <v>9402500</v>
      </c>
    </row>
    <row r="24" spans="1:13" x14ac:dyDescent="0.45">
      <c r="A24" s="128" t="s">
        <v>189</v>
      </c>
      <c r="B24" s="129">
        <f>B19+B20+B23</f>
        <v>10522000</v>
      </c>
      <c r="C24" s="129">
        <f t="shared" ref="C24:F24" si="17">C19+C20+C23</f>
        <v>15584500</v>
      </c>
      <c r="D24" s="129">
        <f t="shared" si="17"/>
        <v>17464500</v>
      </c>
      <c r="E24" s="129">
        <f t="shared" si="17"/>
        <v>21037500</v>
      </c>
      <c r="F24" s="130">
        <f t="shared" si="17"/>
        <v>23392500</v>
      </c>
    </row>
    <row r="25" spans="1:13" x14ac:dyDescent="0.45">
      <c r="A25" s="128" t="s">
        <v>190</v>
      </c>
      <c r="B25" s="129">
        <f>B9-B14-B18-B24</f>
        <v>177974.56733333133</v>
      </c>
      <c r="C25" s="129">
        <f t="shared" ref="C25:F25" si="18">C9-C14-C18-C24</f>
        <v>2282195.7051290236</v>
      </c>
      <c r="D25" s="129">
        <f t="shared" si="18"/>
        <v>-3367387.4748887178</v>
      </c>
      <c r="E25" s="129">
        <f t="shared" si="18"/>
        <v>23347544.148648702</v>
      </c>
      <c r="F25" s="130">
        <f t="shared" si="18"/>
        <v>-10532703.644029045</v>
      </c>
      <c r="H25" s="145"/>
      <c r="I25" s="145"/>
    </row>
    <row r="26" spans="1:13" ht="14.65" thickBot="1" x14ac:dyDescent="0.5">
      <c r="A26" s="56" t="s">
        <v>191</v>
      </c>
      <c r="B26" s="114">
        <f>Operation!G88</f>
        <v>0</v>
      </c>
      <c r="C26" s="89">
        <f>Operation!K88</f>
        <v>0</v>
      </c>
      <c r="D26" s="89">
        <f>Operation!O88</f>
        <v>2400000</v>
      </c>
      <c r="E26" s="89">
        <f>Operation!T88</f>
        <v>0</v>
      </c>
      <c r="F26" s="96">
        <f>Operation!X88</f>
        <v>0</v>
      </c>
      <c r="H26" s="145"/>
      <c r="I26" s="145"/>
    </row>
    <row r="27" spans="1:13" x14ac:dyDescent="0.45">
      <c r="A27" s="56" t="s">
        <v>192</v>
      </c>
      <c r="B27" s="114">
        <f>IF(Marketing!C5&lt;500000,I28*(0.02-0.002*Marketing!C5/100000),I28*0.01)</f>
        <v>326345.94</v>
      </c>
      <c r="C27" s="114">
        <f>IF(Marketing!D5&lt;500000,J28*(0.02-0.002*Marketing!D5/100000),J28*0.01)</f>
        <v>326345.94</v>
      </c>
      <c r="D27" s="114">
        <f>IF(Marketing!E5&lt;500000,K28*(0.02-0.002*Marketing!E5/100000),K28*0.01)</f>
        <v>324345.94</v>
      </c>
      <c r="E27" s="114">
        <f>IF(Marketing!F5&lt;500000,(L28+K30)*(0.02-0.002*Marketing!F5/100000),(L28+K30)*0.01)</f>
        <v>324345.94</v>
      </c>
      <c r="F27" s="114">
        <f>IF(Marketing!G5&lt;500000,(M28+L30-M29)*(0.02-0.002*Marketing!G5/100000),(M28+L30-M29)*0.01)</f>
        <v>364345.94</v>
      </c>
      <c r="H27" s="10" t="s">
        <v>233</v>
      </c>
      <c r="I27" s="13" t="s">
        <v>5</v>
      </c>
      <c r="J27" s="13" t="s">
        <v>6</v>
      </c>
      <c r="K27" s="13" t="s">
        <v>7</v>
      </c>
      <c r="L27" s="13" t="s">
        <v>8</v>
      </c>
      <c r="M27" s="12" t="s">
        <v>9</v>
      </c>
    </row>
    <row r="28" spans="1:13" x14ac:dyDescent="0.45">
      <c r="A28" s="56" t="s">
        <v>193</v>
      </c>
      <c r="B28" s="118">
        <v>0</v>
      </c>
      <c r="C28" s="118">
        <v>0</v>
      </c>
      <c r="D28" s="118">
        <v>0</v>
      </c>
      <c r="E28" s="118">
        <v>0</v>
      </c>
      <c r="F28" s="125">
        <v>0</v>
      </c>
      <c r="H28" s="20" t="s">
        <v>234</v>
      </c>
      <c r="I28" s="114">
        <v>32634594</v>
      </c>
      <c r="J28" s="114">
        <f>I28-I29+I30</f>
        <v>32634594</v>
      </c>
      <c r="K28" s="114">
        <f>J28-J29+J30</f>
        <v>32434594</v>
      </c>
      <c r="L28" s="114">
        <f t="shared" ref="L28:M28" si="19">K28-K29+K30</f>
        <v>32434594</v>
      </c>
      <c r="M28" s="115">
        <f t="shared" si="19"/>
        <v>39434594</v>
      </c>
    </row>
    <row r="29" spans="1:13" x14ac:dyDescent="0.45">
      <c r="A29" s="128" t="s">
        <v>194</v>
      </c>
      <c r="B29" s="129">
        <f>B26+B27+B28</f>
        <v>326345.94</v>
      </c>
      <c r="C29" s="129">
        <f t="shared" ref="C29:F29" si="20">C26+C27+C28</f>
        <v>326345.94</v>
      </c>
      <c r="D29" s="129">
        <f t="shared" si="20"/>
        <v>2724345.94</v>
      </c>
      <c r="E29" s="129">
        <f t="shared" si="20"/>
        <v>324345.94</v>
      </c>
      <c r="F29" s="130">
        <f t="shared" si="20"/>
        <v>364345.94</v>
      </c>
      <c r="H29" s="5" t="s">
        <v>235</v>
      </c>
      <c r="I29" s="288"/>
      <c r="J29" s="288">
        <v>200000</v>
      </c>
      <c r="K29" s="288"/>
      <c r="L29" s="288"/>
      <c r="M29" s="124">
        <v>10000000</v>
      </c>
    </row>
    <row r="30" spans="1:13" ht="14.65" thickBot="1" x14ac:dyDescent="0.5">
      <c r="A30" s="128" t="s">
        <v>195</v>
      </c>
      <c r="B30" s="129">
        <f>B25-B29</f>
        <v>-148371.37266666867</v>
      </c>
      <c r="C30" s="129">
        <f t="shared" ref="C30:F30" si="21">C25-C29</f>
        <v>1955849.7651290237</v>
      </c>
      <c r="D30" s="129">
        <f t="shared" si="21"/>
        <v>-6091733.4148887172</v>
      </c>
      <c r="E30" s="129">
        <f t="shared" si="21"/>
        <v>23023198.2086487</v>
      </c>
      <c r="F30" s="130">
        <f t="shared" si="21"/>
        <v>-10897049.584029045</v>
      </c>
      <c r="H30" s="7" t="s">
        <v>236</v>
      </c>
      <c r="I30" s="289"/>
      <c r="J30" s="289"/>
      <c r="K30" s="289"/>
      <c r="L30" s="289">
        <v>7000000</v>
      </c>
      <c r="M30" s="151"/>
    </row>
    <row r="31" spans="1:13" x14ac:dyDescent="0.45">
      <c r="A31" s="56" t="s">
        <v>196</v>
      </c>
      <c r="B31" s="50"/>
      <c r="C31" s="49"/>
      <c r="D31" s="49"/>
      <c r="E31" s="152">
        <f>E33</f>
        <v>6244761.9934444306</v>
      </c>
      <c r="F31" s="57"/>
    </row>
    <row r="32" spans="1:13" x14ac:dyDescent="0.45">
      <c r="A32" s="128" t="s">
        <v>197</v>
      </c>
      <c r="B32" s="129">
        <f>B30-B31</f>
        <v>-148371.37266666867</v>
      </c>
      <c r="C32" s="129">
        <f>C30-C33</f>
        <v>1466887.3238467677</v>
      </c>
      <c r="D32" s="129">
        <f t="shared" ref="D32:F32" si="22">D30-D31</f>
        <v>-6091733.4148887172</v>
      </c>
      <c r="E32" s="129">
        <f t="shared" si="22"/>
        <v>16778436.215204269</v>
      </c>
      <c r="F32" s="130">
        <f t="shared" si="22"/>
        <v>-10897049.584029045</v>
      </c>
    </row>
    <row r="33" spans="1:6" ht="14.65" thickBot="1" x14ac:dyDescent="0.5">
      <c r="A33" s="135" t="s">
        <v>210</v>
      </c>
      <c r="B33" s="116">
        <f>IF(B30&lt;0,0,0.25*B30)</f>
        <v>0</v>
      </c>
      <c r="C33" s="116">
        <f>IF(C30&lt;0,B33,0.25*C30+B33)</f>
        <v>488962.44128225592</v>
      </c>
      <c r="D33" s="116">
        <f>IF(D30&lt;0,C33,0.25*D30+C33)</f>
        <v>488962.44128225592</v>
      </c>
      <c r="E33" s="116">
        <f>IF(E30&lt;0,D33,0.25*E30+D33)</f>
        <v>6244761.9934444306</v>
      </c>
      <c r="F33" s="117">
        <f>IF(F30&lt;0,0,0.5*F30)</f>
        <v>0</v>
      </c>
    </row>
    <row r="35" spans="1:6" ht="14.65" thickBot="1" x14ac:dyDescent="0.5"/>
    <row r="36" spans="1:6" ht="18" x14ac:dyDescent="0.55000000000000004">
      <c r="A36" s="122" t="s">
        <v>115</v>
      </c>
      <c r="B36" s="107" t="s">
        <v>5</v>
      </c>
      <c r="C36" s="107" t="s">
        <v>6</v>
      </c>
      <c r="D36" s="107" t="s">
        <v>7</v>
      </c>
      <c r="E36" s="107" t="s">
        <v>8</v>
      </c>
      <c r="F36" s="108" t="s">
        <v>9</v>
      </c>
    </row>
    <row r="37" spans="1:6" x14ac:dyDescent="0.45">
      <c r="A37" s="123" t="s">
        <v>116</v>
      </c>
      <c r="B37" s="1"/>
      <c r="C37" s="1"/>
      <c r="D37" s="1"/>
      <c r="E37" s="1"/>
      <c r="F37" s="6"/>
    </row>
    <row r="38" spans="1:6" x14ac:dyDescent="0.45">
      <c r="A38" s="128" t="s">
        <v>117</v>
      </c>
      <c r="B38" s="49"/>
      <c r="C38" s="49"/>
      <c r="D38" s="49"/>
      <c r="E38" s="49"/>
      <c r="F38" s="57"/>
    </row>
    <row r="39" spans="1:6" x14ac:dyDescent="0.45">
      <c r="A39" s="56" t="s">
        <v>118</v>
      </c>
      <c r="B39" s="120">
        <f>I18*2/3</f>
        <v>27683983.333333332</v>
      </c>
      <c r="C39" s="120">
        <f t="shared" ref="C39:F39" si="23">J18*2/3</f>
        <v>34561250</v>
      </c>
      <c r="D39" s="120">
        <f t="shared" si="23"/>
        <v>32213300</v>
      </c>
      <c r="E39" s="120">
        <f t="shared" si="23"/>
        <v>49653400</v>
      </c>
      <c r="F39" s="214">
        <f t="shared" si="23"/>
        <v>23829466.666666668</v>
      </c>
    </row>
    <row r="40" spans="1:6" x14ac:dyDescent="0.45">
      <c r="A40" s="56" t="s">
        <v>119</v>
      </c>
      <c r="B40" s="118">
        <v>0</v>
      </c>
      <c r="C40" s="118">
        <v>0</v>
      </c>
      <c r="D40" s="118">
        <v>0</v>
      </c>
      <c r="E40" s="118">
        <v>0</v>
      </c>
      <c r="F40" s="125">
        <v>0</v>
      </c>
    </row>
    <row r="41" spans="1:6" x14ac:dyDescent="0.45">
      <c r="A41" s="56" t="s">
        <v>120</v>
      </c>
      <c r="B41" s="114">
        <v>20273353.329999998</v>
      </c>
      <c r="C41" s="114">
        <f>B72</f>
        <v>14108691.666666666</v>
      </c>
      <c r="D41" s="89">
        <f t="shared" ref="D41:F41" si="24">C72</f>
        <v>28854358.333333332</v>
      </c>
      <c r="E41" s="89">
        <f>D72</f>
        <v>18181650</v>
      </c>
      <c r="F41" s="96">
        <f t="shared" si="24"/>
        <v>44050033.333333328</v>
      </c>
    </row>
    <row r="42" spans="1:6" x14ac:dyDescent="0.45">
      <c r="A42" s="56" t="s">
        <v>121</v>
      </c>
      <c r="B42" s="138">
        <v>0</v>
      </c>
      <c r="C42" s="114">
        <f>Operation!G88</f>
        <v>0</v>
      </c>
      <c r="D42" s="89">
        <f>Operation!K88</f>
        <v>0</v>
      </c>
      <c r="E42" s="89">
        <f>Operation!O88</f>
        <v>2400000</v>
      </c>
      <c r="F42" s="96">
        <f>Operation!T88</f>
        <v>0</v>
      </c>
    </row>
    <row r="43" spans="1:6" x14ac:dyDescent="0.45">
      <c r="A43" s="59" t="s">
        <v>122</v>
      </c>
      <c r="B43" s="114">
        <f>I19*(3-Marketing!C36)/3</f>
        <v>133350</v>
      </c>
      <c r="C43" s="114">
        <f>J19*(3-Marketing!D36)/3</f>
        <v>5786866.666666667</v>
      </c>
      <c r="D43" s="114">
        <f>K19*(3-Marketing!E36)/3</f>
        <v>0</v>
      </c>
      <c r="E43" s="114">
        <f>L19*(3-Marketing!F36)/3</f>
        <v>9611666.666666666</v>
      </c>
      <c r="F43" s="115">
        <f>M19*(3-Marketing!G36)/3</f>
        <v>9624715</v>
      </c>
    </row>
    <row r="44" spans="1:6" x14ac:dyDescent="0.45">
      <c r="A44" s="56" t="s">
        <v>123</v>
      </c>
      <c r="B44" s="114">
        <f>I30</f>
        <v>0</v>
      </c>
      <c r="C44" s="114">
        <f t="shared" ref="C44:F44" si="25">J30</f>
        <v>0</v>
      </c>
      <c r="D44" s="114">
        <f t="shared" si="25"/>
        <v>0</v>
      </c>
      <c r="E44" s="114">
        <f t="shared" si="25"/>
        <v>7000000</v>
      </c>
      <c r="F44" s="115">
        <f t="shared" si="25"/>
        <v>0</v>
      </c>
    </row>
    <row r="45" spans="1:6" x14ac:dyDescent="0.45">
      <c r="A45" s="128" t="s">
        <v>124</v>
      </c>
      <c r="B45" s="129">
        <f>B39+B40+B41+C42+B43+B44</f>
        <v>48090686.663333327</v>
      </c>
      <c r="C45" s="129">
        <f>C39+C40+C41+D42+C43+C44</f>
        <v>54456808.333333328</v>
      </c>
      <c r="D45" s="129">
        <f>D39+D40+D41+E42+D43+D44</f>
        <v>63467658.333333328</v>
      </c>
      <c r="E45" s="129">
        <f>E39+E40+E41+F42+E43+E44</f>
        <v>84446716.666666672</v>
      </c>
      <c r="F45" s="130">
        <f>F39+F40+F41+F42+F43+F44</f>
        <v>77504215</v>
      </c>
    </row>
    <row r="46" spans="1:6" x14ac:dyDescent="0.45">
      <c r="A46" s="128" t="s">
        <v>125</v>
      </c>
      <c r="B46" s="89"/>
      <c r="C46" s="89"/>
      <c r="D46" s="89"/>
      <c r="E46" s="89"/>
      <c r="F46" s="96"/>
    </row>
    <row r="47" spans="1:6" x14ac:dyDescent="0.45">
      <c r="A47" s="56" t="s">
        <v>126</v>
      </c>
      <c r="B47" s="114">
        <f>2/3*Operation!C20</f>
        <v>5016000</v>
      </c>
      <c r="C47" s="114">
        <f>2/3*Operation!D20</f>
        <v>6204000</v>
      </c>
      <c r="D47" s="114">
        <f>2/3*Operation!E20</f>
        <v>1584000</v>
      </c>
      <c r="E47" s="114">
        <f>2/3*Operation!F20</f>
        <v>4950000</v>
      </c>
      <c r="F47" s="115">
        <f>2/3*Operation!G20</f>
        <v>8910000</v>
      </c>
    </row>
    <row r="48" spans="1:6" x14ac:dyDescent="0.45">
      <c r="A48" s="56" t="s">
        <v>127</v>
      </c>
      <c r="B48" s="114">
        <f>2/3*Operation!C41</f>
        <v>1320000</v>
      </c>
      <c r="C48" s="114">
        <f>2/3*Operation!D41</f>
        <v>1826000</v>
      </c>
      <c r="D48" s="114">
        <f>2/3*Operation!E41</f>
        <v>3300000</v>
      </c>
      <c r="E48" s="114">
        <f>2/3*Operation!F41</f>
        <v>4400000</v>
      </c>
      <c r="F48" s="115">
        <f>2/3*Operation!G41</f>
        <v>198000</v>
      </c>
    </row>
    <row r="49" spans="1:6" x14ac:dyDescent="0.45">
      <c r="A49" s="56" t="s">
        <v>128</v>
      </c>
      <c r="B49" s="114">
        <f>2/3*Operation!C62</f>
        <v>2074000</v>
      </c>
      <c r="C49" s="114">
        <f>2/3*Operation!D62</f>
        <v>3660000</v>
      </c>
      <c r="D49" s="114">
        <f>2/3*Operation!E62</f>
        <v>5612000</v>
      </c>
      <c r="E49" s="114">
        <f>2/3*Operation!F62</f>
        <v>4880000</v>
      </c>
      <c r="F49" s="115">
        <f>2/3*Operation!G62</f>
        <v>2196000</v>
      </c>
    </row>
    <row r="50" spans="1:6" x14ac:dyDescent="0.45">
      <c r="A50" s="56" t="s">
        <v>129</v>
      </c>
      <c r="B50" s="114">
        <f>2/3*Operation!C21</f>
        <v>693000</v>
      </c>
      <c r="C50" s="114">
        <f>2/3*Operation!D21</f>
        <v>0</v>
      </c>
      <c r="D50" s="114">
        <f>2/3*Operation!E21</f>
        <v>0</v>
      </c>
      <c r="E50" s="114">
        <f>2/3*Operation!F21</f>
        <v>0</v>
      </c>
      <c r="F50" s="115">
        <f>2/3*Operation!G21</f>
        <v>0</v>
      </c>
    </row>
    <row r="51" spans="1:6" x14ac:dyDescent="0.45">
      <c r="A51" s="56" t="s">
        <v>131</v>
      </c>
      <c r="B51" s="114">
        <f>2/3*Operation!C42</f>
        <v>0</v>
      </c>
      <c r="C51" s="114">
        <f>2/3*Operation!D42</f>
        <v>0</v>
      </c>
      <c r="D51" s="114">
        <f>2/3*Operation!E42</f>
        <v>0</v>
      </c>
      <c r="E51" s="114">
        <f>2/3*Operation!F42</f>
        <v>0</v>
      </c>
      <c r="F51" s="115">
        <f>2/3*Operation!G42</f>
        <v>0</v>
      </c>
    </row>
    <row r="52" spans="1:6" x14ac:dyDescent="0.45">
      <c r="A52" s="56" t="s">
        <v>133</v>
      </c>
      <c r="B52" s="114">
        <f>2/3*Operation!C63</f>
        <v>0</v>
      </c>
      <c r="C52" s="114">
        <f>2/3*Operation!D63</f>
        <v>0</v>
      </c>
      <c r="D52" s="114">
        <f>2/3*Operation!E63</f>
        <v>0</v>
      </c>
      <c r="E52" s="114">
        <f>2/3*Operation!F63</f>
        <v>0</v>
      </c>
      <c r="F52" s="115">
        <f>2/3*Operation!G63</f>
        <v>0</v>
      </c>
    </row>
    <row r="53" spans="1:6" x14ac:dyDescent="0.45">
      <c r="A53" s="56" t="s">
        <v>134</v>
      </c>
      <c r="B53" s="114">
        <f>Distribution!L10</f>
        <v>1780000</v>
      </c>
      <c r="C53" s="114">
        <f>Distribution!M10</f>
        <v>2275000</v>
      </c>
      <c r="D53" s="114">
        <f>Distribution!N10</f>
        <v>2335000</v>
      </c>
      <c r="E53" s="114">
        <f>Distribution!O10</f>
        <v>2660000</v>
      </c>
      <c r="F53" s="115">
        <f>Distribution!P10</f>
        <v>2790000</v>
      </c>
    </row>
    <row r="54" spans="1:6" x14ac:dyDescent="0.45">
      <c r="A54" s="56" t="s">
        <v>136</v>
      </c>
      <c r="B54" s="114">
        <f>Distribution!L12</f>
        <v>5742000</v>
      </c>
      <c r="C54" s="114">
        <f>Distribution!M12</f>
        <v>7309500</v>
      </c>
      <c r="D54" s="114">
        <f>Distribution!N12</f>
        <v>7309500</v>
      </c>
      <c r="E54" s="114">
        <f>Distribution!O12</f>
        <v>9027500</v>
      </c>
      <c r="F54" s="115">
        <f>Distribution!P12</f>
        <v>9402500</v>
      </c>
    </row>
    <row r="55" spans="1:6" x14ac:dyDescent="0.45">
      <c r="A55" s="56" t="s">
        <v>137</v>
      </c>
      <c r="B55" s="114">
        <f>Operation!F88</f>
        <v>2000000</v>
      </c>
      <c r="C55" s="89">
        <f>Operation!J88</f>
        <v>1600000</v>
      </c>
      <c r="D55" s="89">
        <f>Operation!N88</f>
        <v>1600000</v>
      </c>
      <c r="E55" s="89">
        <f>Operation!S88</f>
        <v>2480000</v>
      </c>
      <c r="F55" s="96">
        <f>Operation!W88</f>
        <v>2160000</v>
      </c>
    </row>
    <row r="56" spans="1:6" x14ac:dyDescent="0.45">
      <c r="A56" s="56" t="s">
        <v>139</v>
      </c>
      <c r="B56" s="114">
        <f>Operation!S56</f>
        <v>6418046.771555556</v>
      </c>
      <c r="C56" s="114">
        <f>Operation!T56</f>
        <v>14363205.265270934</v>
      </c>
      <c r="D56" s="114">
        <f>Operation!U56</f>
        <v>4906945.4017716656</v>
      </c>
      <c r="E56" s="114">
        <f>Operation!V56</f>
        <v>15903252.789478138</v>
      </c>
      <c r="F56" s="115">
        <f>Operation!W56</f>
        <v>13998332.429733997</v>
      </c>
    </row>
    <row r="57" spans="1:6" x14ac:dyDescent="0.45">
      <c r="A57" s="56" t="s">
        <v>140</v>
      </c>
      <c r="B57" s="114">
        <f>Distribution!L16</f>
        <v>200000</v>
      </c>
      <c r="C57" s="114">
        <f>Distribution!M16</f>
        <v>600000</v>
      </c>
      <c r="D57" s="114">
        <f>Distribution!N16</f>
        <v>800000</v>
      </c>
      <c r="E57" s="114">
        <f>Distribution!O16</f>
        <v>800000</v>
      </c>
      <c r="F57" s="115">
        <f>Distribution!P16</f>
        <v>800000</v>
      </c>
    </row>
    <row r="58" spans="1:6" x14ac:dyDescent="0.45">
      <c r="A58" s="56" t="s">
        <v>142</v>
      </c>
      <c r="B58" s="114">
        <f>Distribution!L35+Distribution!L36+Distribution!L37</f>
        <v>0</v>
      </c>
      <c r="C58" s="114">
        <f>Distribution!M35+Distribution!M36+Distribution!M37</f>
        <v>600000</v>
      </c>
      <c r="D58" s="114">
        <f>Distribution!N35+Distribution!N36+Distribution!N37</f>
        <v>520000</v>
      </c>
      <c r="E58" s="114">
        <f>Distribution!O35+Distribution!O36+Distribution!O37</f>
        <v>550000</v>
      </c>
      <c r="F58" s="115">
        <f>Distribution!P35+Distribution!P36+Distribution!P37</f>
        <v>900000</v>
      </c>
    </row>
    <row r="59" spans="1:6" x14ac:dyDescent="0.45">
      <c r="A59" s="56" t="s">
        <v>144</v>
      </c>
      <c r="B59" s="114">
        <v>0</v>
      </c>
      <c r="C59" s="89">
        <f>Operation!E86*Operation!C70</f>
        <v>0</v>
      </c>
      <c r="D59" s="89">
        <f>Operation!I86*Operation!C70</f>
        <v>4800000</v>
      </c>
      <c r="E59" s="89">
        <f>Operation!M86*Operation!C70</f>
        <v>0</v>
      </c>
      <c r="F59" s="96">
        <f>Operation!R86*Operation!C70</f>
        <v>0</v>
      </c>
    </row>
    <row r="60" spans="1:6" x14ac:dyDescent="0.45">
      <c r="A60" s="56" t="s">
        <v>75</v>
      </c>
      <c r="B60" s="215">
        <v>0</v>
      </c>
      <c r="C60" s="114">
        <f>80000*Distribution!E59</f>
        <v>480000</v>
      </c>
      <c r="D60" s="114">
        <f>80000*Distribution!G59</f>
        <v>0</v>
      </c>
      <c r="E60" s="114">
        <f>80000*Distribution!I59</f>
        <v>720000</v>
      </c>
      <c r="F60" s="115">
        <f>80000*Distribution!K59</f>
        <v>0</v>
      </c>
    </row>
    <row r="61" spans="1:6" x14ac:dyDescent="0.45">
      <c r="A61" s="56" t="s">
        <v>146</v>
      </c>
      <c r="B61" s="114">
        <v>14542772</v>
      </c>
      <c r="C61" s="89">
        <f>B75</f>
        <v>27882541.994444445</v>
      </c>
      <c r="D61" s="89">
        <f t="shared" ref="D61:F61" si="26">C75</f>
        <v>19231319.362933375</v>
      </c>
      <c r="E61" s="89">
        <f t="shared" si="26"/>
        <v>20059308.406450383</v>
      </c>
      <c r="F61" s="96">
        <f t="shared" si="26"/>
        <v>32623876.395206496</v>
      </c>
    </row>
    <row r="62" spans="1:6" x14ac:dyDescent="0.45">
      <c r="A62" s="56" t="s">
        <v>147</v>
      </c>
      <c r="B62" s="114">
        <f>I29</f>
        <v>0</v>
      </c>
      <c r="C62" s="114">
        <f t="shared" ref="C62:F62" si="27">J29</f>
        <v>200000</v>
      </c>
      <c r="D62" s="114">
        <f t="shared" si="27"/>
        <v>0</v>
      </c>
      <c r="E62" s="114">
        <f t="shared" si="27"/>
        <v>0</v>
      </c>
      <c r="F62" s="115">
        <f t="shared" si="27"/>
        <v>10000000</v>
      </c>
    </row>
    <row r="63" spans="1:6" x14ac:dyDescent="0.45">
      <c r="A63" s="56" t="s">
        <v>148</v>
      </c>
      <c r="B63" s="114">
        <f>B27</f>
        <v>326345.94</v>
      </c>
      <c r="C63" s="114">
        <f t="shared" ref="C63:F63" si="28">C27</f>
        <v>326345.94</v>
      </c>
      <c r="D63" s="114">
        <f t="shared" si="28"/>
        <v>324345.94</v>
      </c>
      <c r="E63" s="114">
        <f t="shared" si="28"/>
        <v>324345.94</v>
      </c>
      <c r="F63" s="115">
        <f t="shared" si="28"/>
        <v>364345.94</v>
      </c>
    </row>
    <row r="64" spans="1:6" x14ac:dyDescent="0.45">
      <c r="A64" s="56" t="s">
        <v>149</v>
      </c>
      <c r="B64" s="118">
        <v>8412005</v>
      </c>
      <c r="C64" s="114"/>
      <c r="D64" s="114"/>
      <c r="E64" s="114"/>
      <c r="F64" s="115">
        <f>E31</f>
        <v>6244761.9934444306</v>
      </c>
    </row>
    <row r="65" spans="1:6" x14ac:dyDescent="0.45">
      <c r="A65" s="128" t="s">
        <v>151</v>
      </c>
      <c r="B65" s="129">
        <f>B47+B48+B49+B50+B51+B52+B53+B54+B55+B56+B57+B58+B59+B60+B61+B62+B63+B64</f>
        <v>48524169.711555555</v>
      </c>
      <c r="C65" s="129">
        <f>C47+C48+C49+C50+C51+C52+C53+C54+C55+C56+C57+C58+C59+C60+C61+C62+C63+C64</f>
        <v>67326593.199715376</v>
      </c>
      <c r="D65" s="129">
        <f>D47+D48+D49+D50+D51+D52+D53+D54+D55+D56+D57+D58+D59+D60+D61+D62+D63+D64</f>
        <v>52323110.704705037</v>
      </c>
      <c r="E65" s="129">
        <f>E47+E48+E49+E50+E51+E52+E53+E54+E55+E56+E57+E58+E59+E60+E61+E62+E63+E64</f>
        <v>66754407.135928519</v>
      </c>
      <c r="F65" s="130">
        <f>F47+F48+F49+F50+F51+F52+F53+F54+F55+F56+F57+F58+F59+F60+F61+F62+F63+F64</f>
        <v>90587816.758384928</v>
      </c>
    </row>
    <row r="66" spans="1:6" x14ac:dyDescent="0.45">
      <c r="A66" s="128" t="s">
        <v>153</v>
      </c>
      <c r="B66" s="89"/>
      <c r="C66" s="89"/>
      <c r="D66" s="89"/>
      <c r="E66" s="89"/>
      <c r="F66" s="96"/>
    </row>
    <row r="67" spans="1:6" x14ac:dyDescent="0.45">
      <c r="A67" s="56" t="s">
        <v>155</v>
      </c>
      <c r="B67" s="114">
        <f>B45-B65</f>
        <v>-433483.04822222888</v>
      </c>
      <c r="C67" s="114">
        <f t="shared" ref="C67:E67" si="29">C45-C65</f>
        <v>-12869784.866382048</v>
      </c>
      <c r="D67" s="114">
        <f t="shared" si="29"/>
        <v>11144547.628628291</v>
      </c>
      <c r="E67" s="114">
        <f t="shared" si="29"/>
        <v>17692309.530738153</v>
      </c>
      <c r="F67" s="115">
        <f>F45-F65</f>
        <v>-13083601.758384928</v>
      </c>
    </row>
    <row r="68" spans="1:6" x14ac:dyDescent="0.45">
      <c r="A68" s="56" t="s">
        <v>156</v>
      </c>
      <c r="B68" s="118">
        <v>41831387</v>
      </c>
      <c r="C68" s="118">
        <f>B69</f>
        <v>41397903.951777771</v>
      </c>
      <c r="D68" s="118">
        <f t="shared" ref="D68:F68" si="30">C69</f>
        <v>28528119.085395724</v>
      </c>
      <c r="E68" s="118">
        <f t="shared" si="30"/>
        <v>39672666.714024015</v>
      </c>
      <c r="F68" s="125">
        <f t="shared" si="30"/>
        <v>57364976.244762167</v>
      </c>
    </row>
    <row r="69" spans="1:6" x14ac:dyDescent="0.45">
      <c r="A69" s="56" t="s">
        <v>157</v>
      </c>
      <c r="B69" s="114">
        <f>B67+B68</f>
        <v>41397903.951777771</v>
      </c>
      <c r="C69" s="114">
        <f t="shared" ref="C69:F69" si="31">C67+C68</f>
        <v>28528119.085395724</v>
      </c>
      <c r="D69" s="114">
        <f t="shared" si="31"/>
        <v>39672666.714024015</v>
      </c>
      <c r="E69" s="114">
        <f t="shared" si="31"/>
        <v>57364976.244762167</v>
      </c>
      <c r="F69" s="115">
        <f t="shared" si="31"/>
        <v>44281374.486377239</v>
      </c>
    </row>
    <row r="70" spans="1:6" x14ac:dyDescent="0.45">
      <c r="A70" s="128" t="s">
        <v>158</v>
      </c>
      <c r="B70" s="89"/>
      <c r="C70" s="89"/>
      <c r="D70" s="89"/>
      <c r="E70" s="89"/>
      <c r="F70" s="96"/>
    </row>
    <row r="71" spans="1:6" x14ac:dyDescent="0.45">
      <c r="A71" s="104" t="s">
        <v>160</v>
      </c>
      <c r="B71" s="89"/>
      <c r="C71" s="89"/>
      <c r="D71" s="89"/>
      <c r="E71" s="89"/>
      <c r="F71" s="96"/>
    </row>
    <row r="72" spans="1:6" x14ac:dyDescent="0.45">
      <c r="A72" s="105" t="s">
        <v>162</v>
      </c>
      <c r="B72" s="114">
        <f>1/3*I20+B43</f>
        <v>14108691.666666666</v>
      </c>
      <c r="C72" s="114">
        <f t="shared" ref="C72:F72" si="32">1/3*J20+C43</f>
        <v>28854358.333333332</v>
      </c>
      <c r="D72" s="114">
        <f t="shared" si="32"/>
        <v>18181650</v>
      </c>
      <c r="E72" s="114">
        <f t="shared" si="32"/>
        <v>44050033.333333328</v>
      </c>
      <c r="F72" s="115">
        <f t="shared" si="32"/>
        <v>31164163.333333332</v>
      </c>
    </row>
    <row r="73" spans="1:6" x14ac:dyDescent="0.45">
      <c r="A73" s="56" t="s">
        <v>164</v>
      </c>
      <c r="B73" s="114">
        <f>B41</f>
        <v>20273353.329999998</v>
      </c>
      <c r="C73" s="114">
        <f t="shared" ref="C73:F73" si="33">C41</f>
        <v>14108691.666666666</v>
      </c>
      <c r="D73" s="114">
        <f t="shared" si="33"/>
        <v>28854358.333333332</v>
      </c>
      <c r="E73" s="114">
        <f t="shared" si="33"/>
        <v>18181650</v>
      </c>
      <c r="F73" s="115">
        <f t="shared" si="33"/>
        <v>44050033.333333328</v>
      </c>
    </row>
    <row r="74" spans="1:6" x14ac:dyDescent="0.45">
      <c r="A74" s="104" t="s">
        <v>166</v>
      </c>
      <c r="B74" s="89"/>
      <c r="C74" s="89"/>
      <c r="D74" s="89"/>
      <c r="E74" s="89"/>
      <c r="F74" s="96"/>
    </row>
    <row r="75" spans="1:6" x14ac:dyDescent="0.45">
      <c r="A75" s="56" t="s">
        <v>162</v>
      </c>
      <c r="B75" s="114">
        <f>1/3*B3+B13+B17+B15+B10+B6+Distribution!L17+Marketing!C4+Marketing!C5</f>
        <v>27882541.994444445</v>
      </c>
      <c r="C75" s="114">
        <f>1/3*C3+C13+C17+C15+C10+C6+Distribution!M17+Marketing!D4+Marketing!D5</f>
        <v>19231319.362933375</v>
      </c>
      <c r="D75" s="114">
        <f>1/3*D3+D13+D17+D15+D10+D6+Distribution!N17+Marketing!E4+Marketing!E5</f>
        <v>20059308.406450383</v>
      </c>
      <c r="E75" s="114">
        <f>1/3*E3+E13+E17+E15+E10+E6+Distribution!O17+Marketing!F4+Marketing!F5</f>
        <v>32623876.395206496</v>
      </c>
      <c r="F75" s="115">
        <f>1/3*F3+F13+F17+F15+F10+F6+Distribution!P17+Marketing!G4+Marketing!G5</f>
        <v>31202882.880961716</v>
      </c>
    </row>
    <row r="76" spans="1:6" x14ac:dyDescent="0.45">
      <c r="A76" s="56" t="s">
        <v>164</v>
      </c>
      <c r="B76" s="114">
        <f>B61</f>
        <v>14542772</v>
      </c>
      <c r="C76" s="114">
        <f t="shared" ref="C76:F76" si="34">C61</f>
        <v>27882541.994444445</v>
      </c>
      <c r="D76" s="114">
        <f t="shared" si="34"/>
        <v>19231319.362933375</v>
      </c>
      <c r="E76" s="114">
        <f t="shared" si="34"/>
        <v>20059308.406450383</v>
      </c>
      <c r="F76" s="115">
        <f t="shared" si="34"/>
        <v>32623876.395206496</v>
      </c>
    </row>
    <row r="77" spans="1:6" x14ac:dyDescent="0.45">
      <c r="A77" s="104"/>
      <c r="B77" s="89"/>
      <c r="C77" s="89"/>
      <c r="D77" s="89"/>
      <c r="E77" s="89"/>
      <c r="F77" s="96"/>
    </row>
    <row r="78" spans="1:6" x14ac:dyDescent="0.45">
      <c r="A78" s="59" t="s">
        <v>171</v>
      </c>
      <c r="B78" s="89"/>
      <c r="C78" s="89"/>
      <c r="D78" s="89"/>
      <c r="E78" s="89"/>
      <c r="F78" s="96"/>
    </row>
    <row r="79" spans="1:6" x14ac:dyDescent="0.45">
      <c r="A79" s="105" t="s">
        <v>173</v>
      </c>
      <c r="B79" s="118">
        <v>27017382.460000001</v>
      </c>
      <c r="C79" s="118">
        <v>30279493</v>
      </c>
      <c r="D79" s="118"/>
      <c r="E79" s="118"/>
      <c r="F79" s="125"/>
    </row>
    <row r="80" spans="1:6" x14ac:dyDescent="0.45">
      <c r="A80" s="105" t="s">
        <v>175</v>
      </c>
      <c r="B80" s="114">
        <f>B47+B48+B49+B50+B51+B52+B56</f>
        <v>15521046.771555556</v>
      </c>
      <c r="C80" s="114">
        <f t="shared" ref="C80:F80" si="35">C47+C48+C49+C50+C51+C52+C56</f>
        <v>26053205.265270934</v>
      </c>
      <c r="D80" s="114">
        <f t="shared" si="35"/>
        <v>15402945.401771665</v>
      </c>
      <c r="E80" s="114">
        <f t="shared" si="35"/>
        <v>30133252.789478138</v>
      </c>
      <c r="F80" s="115">
        <f t="shared" si="35"/>
        <v>25302332.429733999</v>
      </c>
    </row>
    <row r="81" spans="1:6" ht="14.65" thickBot="1" x14ac:dyDescent="0.5">
      <c r="A81" s="71" t="s">
        <v>177</v>
      </c>
      <c r="B81" s="126">
        <f>B79/B80</f>
        <v>1.7406933216329876</v>
      </c>
      <c r="C81" s="126">
        <f t="shared" ref="C81:F81" si="36">C79/C80</f>
        <v>1.1622175732965467</v>
      </c>
      <c r="D81" s="126">
        <f t="shared" si="36"/>
        <v>0</v>
      </c>
      <c r="E81" s="126">
        <f t="shared" si="36"/>
        <v>0</v>
      </c>
      <c r="F81" s="127">
        <f t="shared" si="36"/>
        <v>0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7ADF3-0F77-4B64-9209-354B54533C2B}">
  <dimension ref="A1:S75"/>
  <sheetViews>
    <sheetView topLeftCell="A28" zoomScale="80" zoomScaleNormal="80" workbookViewId="0">
      <selection activeCell="K38" sqref="K38"/>
    </sheetView>
  </sheetViews>
  <sheetFormatPr defaultRowHeight="14.25" x14ac:dyDescent="0.45"/>
  <cols>
    <col min="1" max="1" width="10.796875" customWidth="1"/>
    <col min="2" max="2" width="24.265625" customWidth="1"/>
    <col min="3" max="3" width="13.06640625" customWidth="1"/>
    <col min="4" max="4" width="13.59765625" customWidth="1"/>
    <col min="5" max="5" width="14" customWidth="1"/>
    <col min="6" max="6" width="14.796875" customWidth="1"/>
    <col min="7" max="7" width="17" customWidth="1"/>
    <col min="8" max="8" width="24.1328125" customWidth="1"/>
    <col min="9" max="9" width="13.06640625" customWidth="1"/>
    <col min="10" max="10" width="13.796875" customWidth="1"/>
    <col min="11" max="11" width="14.53125" customWidth="1"/>
    <col min="12" max="12" width="9.46484375" customWidth="1"/>
    <col min="13" max="13" width="9.6640625" customWidth="1"/>
  </cols>
  <sheetData>
    <row r="1" spans="1:19" x14ac:dyDescent="0.45">
      <c r="H1" s="19"/>
      <c r="I1" s="19"/>
      <c r="J1" s="19"/>
      <c r="K1" s="19"/>
      <c r="L1" s="19"/>
      <c r="M1" s="19"/>
    </row>
    <row r="2" spans="1:19" ht="14.65" thickBot="1" x14ac:dyDescent="0.5">
      <c r="A2" t="s">
        <v>275</v>
      </c>
      <c r="H2" s="19"/>
      <c r="I2" s="19"/>
      <c r="J2" s="19"/>
      <c r="K2" s="19"/>
      <c r="L2" s="19"/>
      <c r="M2" s="19"/>
    </row>
    <row r="3" spans="1:19" ht="14.65" thickBot="1" x14ac:dyDescent="0.5">
      <c r="H3" s="23" t="s">
        <v>206</v>
      </c>
      <c r="I3" s="13"/>
      <c r="J3" s="13"/>
      <c r="K3" s="13"/>
      <c r="L3" s="13"/>
      <c r="M3" s="13"/>
      <c r="N3" s="13"/>
      <c r="O3" s="29"/>
      <c r="P3" s="29"/>
      <c r="Q3" s="29"/>
      <c r="R3" s="29"/>
      <c r="S3" s="103"/>
    </row>
    <row r="4" spans="1:19" x14ac:dyDescent="0.45">
      <c r="A4" s="10" t="s">
        <v>5</v>
      </c>
      <c r="B4" s="13" t="s">
        <v>17</v>
      </c>
      <c r="C4" s="13" t="s">
        <v>276</v>
      </c>
      <c r="D4" s="13" t="s">
        <v>277</v>
      </c>
      <c r="E4" s="12" t="s">
        <v>278</v>
      </c>
      <c r="H4" s="20"/>
      <c r="I4" s="19" t="s">
        <v>211</v>
      </c>
      <c r="J4" s="19" t="s">
        <v>212</v>
      </c>
      <c r="K4" s="19" t="s">
        <v>213</v>
      </c>
      <c r="L4" s="19" t="s">
        <v>214</v>
      </c>
      <c r="M4" s="19" t="s">
        <v>215</v>
      </c>
      <c r="N4" s="19" t="s">
        <v>216</v>
      </c>
      <c r="O4" s="19" t="s">
        <v>217</v>
      </c>
      <c r="P4" s="19" t="s">
        <v>218</v>
      </c>
      <c r="Q4" s="19"/>
      <c r="R4" s="19"/>
      <c r="S4" s="30"/>
    </row>
    <row r="5" spans="1:19" x14ac:dyDescent="0.45">
      <c r="A5" s="5"/>
      <c r="B5" s="1"/>
      <c r="C5" s="1"/>
      <c r="D5" s="1"/>
      <c r="E5" s="6"/>
      <c r="H5" s="20"/>
      <c r="I5" s="149"/>
      <c r="J5" s="149"/>
      <c r="K5" s="149"/>
      <c r="L5" s="149"/>
      <c r="M5" s="149"/>
      <c r="N5" s="19"/>
      <c r="O5" s="19"/>
      <c r="P5" s="19"/>
      <c r="Q5" s="19"/>
      <c r="R5" s="19"/>
      <c r="S5" s="30"/>
    </row>
    <row r="6" spans="1:19" x14ac:dyDescent="0.45">
      <c r="A6" s="5" t="s">
        <v>10</v>
      </c>
      <c r="B6" s="89">
        <v>355</v>
      </c>
      <c r="C6" s="89">
        <v>3</v>
      </c>
      <c r="D6" s="89">
        <f>B6-C6</f>
        <v>352</v>
      </c>
      <c r="E6" s="230">
        <f>B6/D6-1</f>
        <v>8.5227272727272929E-3</v>
      </c>
      <c r="F6" s="202"/>
      <c r="H6" s="20" t="s">
        <v>17</v>
      </c>
      <c r="I6" s="114">
        <v>267</v>
      </c>
      <c r="J6" s="114">
        <v>267</v>
      </c>
      <c r="K6" s="114">
        <v>288</v>
      </c>
      <c r="L6" s="114">
        <v>269</v>
      </c>
      <c r="M6" s="114">
        <v>279</v>
      </c>
      <c r="N6" s="114">
        <v>269</v>
      </c>
      <c r="O6" s="206">
        <v>289</v>
      </c>
      <c r="P6" s="114">
        <v>290</v>
      </c>
      <c r="Q6" s="66"/>
      <c r="R6" s="66"/>
      <c r="S6" s="208"/>
    </row>
    <row r="7" spans="1:19" x14ac:dyDescent="0.45">
      <c r="A7" s="5" t="s">
        <v>14</v>
      </c>
      <c r="B7" s="89">
        <v>100</v>
      </c>
      <c r="C7" s="89">
        <v>34</v>
      </c>
      <c r="D7" s="89">
        <f t="shared" ref="D7:D8" si="0">B7-C7</f>
        <v>66</v>
      </c>
      <c r="E7" s="230">
        <f t="shared" ref="E7:E8" si="1">B7/D7-1</f>
        <v>0.51515151515151514</v>
      </c>
      <c r="F7" s="202"/>
      <c r="H7" s="20" t="s">
        <v>276</v>
      </c>
      <c r="I7" s="114">
        <v>32</v>
      </c>
      <c r="J7" s="114">
        <v>37</v>
      </c>
      <c r="K7" s="114">
        <v>41</v>
      </c>
      <c r="L7" s="114">
        <v>43</v>
      </c>
      <c r="M7" s="114">
        <v>30</v>
      </c>
      <c r="N7" s="114">
        <v>51</v>
      </c>
      <c r="O7" s="206">
        <v>50</v>
      </c>
      <c r="P7" s="114">
        <v>83</v>
      </c>
      <c r="Q7" s="66"/>
      <c r="R7" s="66"/>
      <c r="S7" s="208"/>
    </row>
    <row r="8" spans="1:19" ht="14.65" thickBot="1" x14ac:dyDescent="0.5">
      <c r="A8" s="7" t="s">
        <v>274</v>
      </c>
      <c r="B8" s="97">
        <v>940</v>
      </c>
      <c r="C8" s="97">
        <v>207</v>
      </c>
      <c r="D8" s="97">
        <f t="shared" si="0"/>
        <v>733</v>
      </c>
      <c r="E8" s="231">
        <f t="shared" si="1"/>
        <v>0.28240109140518421</v>
      </c>
      <c r="F8" s="202"/>
      <c r="H8" s="20" t="s">
        <v>277</v>
      </c>
      <c r="I8" s="114">
        <f>I6-I7</f>
        <v>235</v>
      </c>
      <c r="J8" s="114">
        <f t="shared" ref="J8:P8" si="2">J6-J7</f>
        <v>230</v>
      </c>
      <c r="K8" s="114">
        <f t="shared" si="2"/>
        <v>247</v>
      </c>
      <c r="L8" s="114">
        <f t="shared" si="2"/>
        <v>226</v>
      </c>
      <c r="M8" s="114">
        <f t="shared" si="2"/>
        <v>249</v>
      </c>
      <c r="N8" s="114">
        <f t="shared" si="2"/>
        <v>218</v>
      </c>
      <c r="O8" s="206">
        <f t="shared" si="2"/>
        <v>239</v>
      </c>
      <c r="P8" s="114">
        <f t="shared" si="2"/>
        <v>207</v>
      </c>
      <c r="Q8" s="1"/>
      <c r="R8" s="114" t="s">
        <v>280</v>
      </c>
      <c r="S8" s="209" t="s">
        <v>279</v>
      </c>
    </row>
    <row r="9" spans="1:19" ht="14.65" thickBot="1" x14ac:dyDescent="0.5">
      <c r="H9" s="28" t="s">
        <v>278</v>
      </c>
      <c r="I9" s="204">
        <f>(I6/I8)-1</f>
        <v>0.13617021276595742</v>
      </c>
      <c r="J9" s="204">
        <f t="shared" ref="J9:P9" si="3">(J6/J8)-1</f>
        <v>0.16086956521739126</v>
      </c>
      <c r="K9" s="204">
        <f t="shared" si="3"/>
        <v>0.165991902834008</v>
      </c>
      <c r="L9" s="204">
        <f t="shared" si="3"/>
        <v>0.19026548672566368</v>
      </c>
      <c r="M9" s="204">
        <f t="shared" si="3"/>
        <v>0.12048192771084332</v>
      </c>
      <c r="N9" s="204">
        <f t="shared" si="3"/>
        <v>0.23394495412844041</v>
      </c>
      <c r="O9" s="207">
        <f t="shared" si="3"/>
        <v>0.20920502092050208</v>
      </c>
      <c r="P9" s="204">
        <f t="shared" si="3"/>
        <v>0.40096618357487923</v>
      </c>
      <c r="Q9" s="8"/>
      <c r="R9" s="204">
        <f>MAX(I9:P9)</f>
        <v>0.40096618357487923</v>
      </c>
      <c r="S9" s="210">
        <f>SUM(I9:P9)/8</f>
        <v>0.20223690673471068</v>
      </c>
    </row>
    <row r="10" spans="1:19" x14ac:dyDescent="0.45">
      <c r="A10" s="10" t="s">
        <v>6</v>
      </c>
      <c r="B10" s="13" t="s">
        <v>17</v>
      </c>
      <c r="C10" s="13" t="s">
        <v>276</v>
      </c>
      <c r="D10" s="13" t="s">
        <v>277</v>
      </c>
      <c r="E10" s="12" t="s">
        <v>278</v>
      </c>
      <c r="H10" s="19"/>
      <c r="I10" s="203"/>
      <c r="J10" s="203"/>
      <c r="K10" s="203"/>
      <c r="L10" s="203"/>
      <c r="M10" s="203"/>
      <c r="N10" s="19"/>
      <c r="O10" s="19"/>
      <c r="P10" s="19"/>
      <c r="Q10" s="19"/>
      <c r="R10" s="19"/>
      <c r="S10" s="19"/>
    </row>
    <row r="11" spans="1:19" ht="14.65" thickBot="1" x14ac:dyDescent="0.5">
      <c r="A11" s="5"/>
      <c r="B11" s="1"/>
      <c r="C11" s="1"/>
      <c r="D11" s="1"/>
      <c r="E11" s="6"/>
      <c r="H11" s="19"/>
      <c r="I11" s="203"/>
      <c r="J11" s="203"/>
      <c r="K11" s="203"/>
      <c r="L11" s="203"/>
      <c r="M11" s="203"/>
      <c r="N11" s="19"/>
      <c r="O11" s="19"/>
      <c r="P11" s="19"/>
      <c r="Q11" s="19"/>
      <c r="R11" s="19"/>
      <c r="S11" s="19"/>
    </row>
    <row r="12" spans="1:19" x14ac:dyDescent="0.45">
      <c r="A12" s="5" t="s">
        <v>10</v>
      </c>
      <c r="B12" s="89">
        <v>355</v>
      </c>
      <c r="C12" s="89">
        <v>52</v>
      </c>
      <c r="D12" s="89">
        <f>B12-C12</f>
        <v>303</v>
      </c>
      <c r="E12" s="230">
        <f>B12/D12-1</f>
        <v>0.1716171617161717</v>
      </c>
      <c r="H12" s="23" t="s">
        <v>207</v>
      </c>
      <c r="I12" s="205"/>
      <c r="J12" s="205"/>
      <c r="K12" s="205"/>
      <c r="L12" s="205"/>
      <c r="M12" s="205"/>
      <c r="N12" s="29"/>
      <c r="O12" s="29"/>
      <c r="P12" s="29"/>
      <c r="Q12" s="29"/>
      <c r="R12" s="29"/>
      <c r="S12" s="103"/>
    </row>
    <row r="13" spans="1:19" x14ac:dyDescent="0.45">
      <c r="A13" s="5" t="s">
        <v>14</v>
      </c>
      <c r="B13" s="89">
        <v>115</v>
      </c>
      <c r="C13" s="89">
        <v>32</v>
      </c>
      <c r="D13" s="89">
        <f t="shared" ref="D13:D14" si="4">B13-C13</f>
        <v>83</v>
      </c>
      <c r="E13" s="230">
        <f t="shared" ref="E13:E14" si="5">B13/D13-1</f>
        <v>0.3855421686746987</v>
      </c>
      <c r="H13" s="20"/>
      <c r="I13" s="19" t="s">
        <v>211</v>
      </c>
      <c r="J13" s="19" t="s">
        <v>212</v>
      </c>
      <c r="K13" s="19" t="s">
        <v>213</v>
      </c>
      <c r="L13" s="19" t="s">
        <v>214</v>
      </c>
      <c r="M13" s="19" t="s">
        <v>215</v>
      </c>
      <c r="N13" s="19" t="s">
        <v>216</v>
      </c>
      <c r="O13" s="19" t="s">
        <v>217</v>
      </c>
      <c r="P13" s="19" t="s">
        <v>218</v>
      </c>
      <c r="Q13" s="31"/>
      <c r="R13" s="31"/>
      <c r="S13" s="33"/>
    </row>
    <row r="14" spans="1:19" ht="14.65" thickBot="1" x14ac:dyDescent="0.5">
      <c r="A14" s="7" t="s">
        <v>274</v>
      </c>
      <c r="B14" s="97">
        <v>940</v>
      </c>
      <c r="C14" s="97">
        <v>47</v>
      </c>
      <c r="D14" s="97">
        <f t="shared" si="4"/>
        <v>893</v>
      </c>
      <c r="E14" s="231">
        <f t="shared" si="5"/>
        <v>5.2631578947368363E-2</v>
      </c>
      <c r="H14" s="20"/>
      <c r="I14" s="19"/>
      <c r="J14" s="19"/>
      <c r="K14" s="19"/>
      <c r="L14" s="19"/>
      <c r="M14" s="19"/>
      <c r="N14" s="19"/>
      <c r="O14" s="19"/>
      <c r="P14" s="31"/>
      <c r="Q14" s="31"/>
      <c r="R14" s="31"/>
      <c r="S14" s="33"/>
    </row>
    <row r="15" spans="1:19" x14ac:dyDescent="0.45">
      <c r="H15" s="20" t="s">
        <v>17</v>
      </c>
      <c r="I15" s="114">
        <v>81</v>
      </c>
      <c r="J15" s="114">
        <v>90</v>
      </c>
      <c r="K15" s="114">
        <v>69</v>
      </c>
      <c r="L15" s="114">
        <v>91</v>
      </c>
      <c r="M15" s="114">
        <v>89</v>
      </c>
      <c r="N15" s="114">
        <v>88</v>
      </c>
      <c r="O15" s="206">
        <v>77</v>
      </c>
      <c r="P15" s="114">
        <v>99</v>
      </c>
      <c r="Q15" s="31"/>
      <c r="R15" s="31"/>
      <c r="S15" s="33"/>
    </row>
    <row r="16" spans="1:19" x14ac:dyDescent="0.45">
      <c r="C16" s="1"/>
      <c r="D16" s="1"/>
      <c r="E16" s="1"/>
      <c r="F16" s="1"/>
      <c r="H16" s="20" t="s">
        <v>276</v>
      </c>
      <c r="I16" s="114">
        <v>20</v>
      </c>
      <c r="J16" s="114">
        <v>26</v>
      </c>
      <c r="K16" s="114">
        <v>10</v>
      </c>
      <c r="L16" s="114">
        <v>22</v>
      </c>
      <c r="M16" s="114">
        <v>21</v>
      </c>
      <c r="N16" s="114">
        <v>30</v>
      </c>
      <c r="O16" s="206">
        <v>14</v>
      </c>
      <c r="P16" s="114">
        <v>30</v>
      </c>
      <c r="Q16" s="19"/>
      <c r="R16" s="19"/>
      <c r="S16" s="30"/>
    </row>
    <row r="17" spans="1:19" x14ac:dyDescent="0.45">
      <c r="C17" s="1"/>
      <c r="D17" s="1"/>
      <c r="E17" s="1"/>
      <c r="F17" s="1"/>
      <c r="H17" s="20" t="s">
        <v>277</v>
      </c>
      <c r="I17" s="114">
        <f>I15-I16</f>
        <v>61</v>
      </c>
      <c r="J17" s="114">
        <f t="shared" ref="J17" si="6">J15-J16</f>
        <v>64</v>
      </c>
      <c r="K17" s="114">
        <f t="shared" ref="K17" si="7">K15-K16</f>
        <v>59</v>
      </c>
      <c r="L17" s="114">
        <f t="shared" ref="L17" si="8">L15-L16</f>
        <v>69</v>
      </c>
      <c r="M17" s="114">
        <f t="shared" ref="M17" si="9">M15-M16</f>
        <v>68</v>
      </c>
      <c r="N17" s="114">
        <f t="shared" ref="N17" si="10">N15-N16</f>
        <v>58</v>
      </c>
      <c r="O17" s="206">
        <f t="shared" ref="O17" si="11">O15-O16</f>
        <v>63</v>
      </c>
      <c r="P17" s="114">
        <f t="shared" ref="P17" si="12">P15-P16</f>
        <v>69</v>
      </c>
      <c r="Q17" s="1"/>
      <c r="R17" s="114" t="s">
        <v>280</v>
      </c>
      <c r="S17" s="209" t="s">
        <v>279</v>
      </c>
    </row>
    <row r="18" spans="1:19" ht="14.65" thickBot="1" x14ac:dyDescent="0.5">
      <c r="A18" s="1"/>
      <c r="B18" s="1"/>
      <c r="C18" s="1"/>
      <c r="D18" s="1"/>
      <c r="E18" s="1"/>
      <c r="F18" s="1"/>
      <c r="H18" s="28" t="s">
        <v>278</v>
      </c>
      <c r="I18" s="204">
        <f>(I15/I17)-1</f>
        <v>0.32786885245901631</v>
      </c>
      <c r="J18" s="204">
        <f t="shared" ref="J18" si="13">(J15/J17)-1</f>
        <v>0.40625</v>
      </c>
      <c r="K18" s="204">
        <f t="shared" ref="K18" si="14">(K15/K17)-1</f>
        <v>0.16949152542372881</v>
      </c>
      <c r="L18" s="204">
        <f t="shared" ref="L18" si="15">(L15/L17)-1</f>
        <v>0.31884057971014501</v>
      </c>
      <c r="M18" s="204">
        <f t="shared" ref="M18" si="16">(M15/M17)-1</f>
        <v>0.30882352941176472</v>
      </c>
      <c r="N18" s="204">
        <f t="shared" ref="N18" si="17">(N15/N17)-1</f>
        <v>0.51724137931034475</v>
      </c>
      <c r="O18" s="207">
        <f t="shared" ref="O18" si="18">(O15/O17)-1</f>
        <v>0.22222222222222232</v>
      </c>
      <c r="P18" s="204">
        <f t="shared" ref="P18" si="19">(P15/P17)-1</f>
        <v>0.43478260869565211</v>
      </c>
      <c r="Q18" s="8"/>
      <c r="R18" s="204">
        <f>MAX(I18:P18)</f>
        <v>0.51724137931034475</v>
      </c>
      <c r="S18" s="210">
        <f>SUM(I18:P18)/8</f>
        <v>0.33819008715410925</v>
      </c>
    </row>
    <row r="19" spans="1:19" x14ac:dyDescent="0.45">
      <c r="A19" s="1"/>
      <c r="B19" s="1"/>
      <c r="C19" s="1"/>
      <c r="D19" s="1"/>
      <c r="E19" s="1"/>
      <c r="F19" s="1"/>
    </row>
    <row r="20" spans="1:19" ht="14.65" thickBot="1" x14ac:dyDescent="0.5">
      <c r="A20" s="1"/>
      <c r="B20" s="1"/>
      <c r="C20" s="1"/>
      <c r="D20" s="1"/>
      <c r="E20" s="1"/>
      <c r="F20" s="1"/>
    </row>
    <row r="21" spans="1:19" x14ac:dyDescent="0.45">
      <c r="A21" s="1"/>
      <c r="B21" s="1"/>
      <c r="C21" s="1"/>
      <c r="D21" s="1"/>
      <c r="E21" s="1"/>
      <c r="F21" s="1"/>
      <c r="H21" s="23" t="s">
        <v>208</v>
      </c>
      <c r="I21" s="205"/>
      <c r="J21" s="205"/>
      <c r="K21" s="205"/>
      <c r="L21" s="205"/>
      <c r="M21" s="205"/>
      <c r="N21" s="29"/>
      <c r="O21" s="29"/>
      <c r="P21" s="29"/>
      <c r="Q21" s="13"/>
      <c r="R21" s="13"/>
      <c r="S21" s="12"/>
    </row>
    <row r="22" spans="1:19" x14ac:dyDescent="0.45">
      <c r="A22" s="1"/>
      <c r="B22" s="1"/>
      <c r="C22" s="1"/>
      <c r="D22" s="1"/>
      <c r="E22" s="1"/>
      <c r="F22" s="1"/>
      <c r="H22" s="20"/>
      <c r="I22" s="19" t="s">
        <v>211</v>
      </c>
      <c r="J22" s="19" t="s">
        <v>212</v>
      </c>
      <c r="K22" s="19" t="s">
        <v>213</v>
      </c>
      <c r="L22" s="19" t="s">
        <v>214</v>
      </c>
      <c r="M22" s="19" t="s">
        <v>215</v>
      </c>
      <c r="N22" s="19" t="s">
        <v>216</v>
      </c>
      <c r="O22" s="19" t="s">
        <v>217</v>
      </c>
      <c r="P22" s="19" t="s">
        <v>218</v>
      </c>
      <c r="Q22" s="1"/>
      <c r="R22" s="1"/>
      <c r="S22" s="6"/>
    </row>
    <row r="23" spans="1:19" x14ac:dyDescent="0.45">
      <c r="A23" s="1"/>
      <c r="B23" s="1"/>
      <c r="C23" s="1"/>
      <c r="D23" s="1"/>
      <c r="E23" s="1"/>
      <c r="F23" s="1"/>
      <c r="H23" s="20"/>
      <c r="I23" s="19"/>
      <c r="J23" s="19"/>
      <c r="K23" s="19"/>
      <c r="L23" s="19"/>
      <c r="M23" s="19"/>
      <c r="N23" s="19"/>
      <c r="O23" s="19"/>
      <c r="P23" s="31"/>
      <c r="Q23" s="1"/>
      <c r="R23" s="1"/>
      <c r="S23" s="6"/>
    </row>
    <row r="24" spans="1:19" x14ac:dyDescent="0.45">
      <c r="A24" s="1"/>
      <c r="B24" s="1"/>
      <c r="C24" s="247"/>
      <c r="D24" s="247"/>
      <c r="E24" s="247"/>
      <c r="F24" s="1"/>
      <c r="H24" s="20" t="s">
        <v>17</v>
      </c>
      <c r="I24" s="114">
        <v>769</v>
      </c>
      <c r="J24" s="114">
        <v>769</v>
      </c>
      <c r="K24" s="114">
        <v>767</v>
      </c>
      <c r="L24" s="114">
        <v>838</v>
      </c>
      <c r="M24" s="114">
        <v>799</v>
      </c>
      <c r="N24" s="114">
        <v>777</v>
      </c>
      <c r="O24" s="206">
        <v>789</v>
      </c>
      <c r="P24" s="114">
        <v>848</v>
      </c>
      <c r="Q24" s="149"/>
      <c r="R24" s="1"/>
      <c r="S24" s="6"/>
    </row>
    <row r="25" spans="1:19" x14ac:dyDescent="0.45">
      <c r="A25" s="1"/>
      <c r="B25" s="1"/>
      <c r="C25" s="1"/>
      <c r="D25" s="1"/>
      <c r="E25" s="1"/>
      <c r="F25" s="1"/>
      <c r="H25" s="20" t="s">
        <v>276</v>
      </c>
      <c r="I25" s="114">
        <v>63</v>
      </c>
      <c r="J25" s="114">
        <v>48</v>
      </c>
      <c r="K25" s="114">
        <v>62</v>
      </c>
      <c r="L25" s="114">
        <v>137</v>
      </c>
      <c r="M25" s="114">
        <v>111</v>
      </c>
      <c r="N25" s="114">
        <v>117</v>
      </c>
      <c r="O25" s="206">
        <v>47</v>
      </c>
      <c r="P25" s="114">
        <v>79</v>
      </c>
      <c r="Q25" s="149"/>
      <c r="R25" s="1"/>
      <c r="S25" s="6"/>
    </row>
    <row r="26" spans="1:19" x14ac:dyDescent="0.45">
      <c r="H26" s="20" t="s">
        <v>277</v>
      </c>
      <c r="I26" s="114">
        <f>I24-I25</f>
        <v>706</v>
      </c>
      <c r="J26" s="114">
        <f t="shared" ref="J26" si="20">J24-J25</f>
        <v>721</v>
      </c>
      <c r="K26" s="114">
        <f t="shared" ref="K26" si="21">K24-K25</f>
        <v>705</v>
      </c>
      <c r="L26" s="114">
        <f t="shared" ref="L26" si="22">L24-L25</f>
        <v>701</v>
      </c>
      <c r="M26" s="114">
        <f t="shared" ref="M26" si="23">M24-M25</f>
        <v>688</v>
      </c>
      <c r="N26" s="114">
        <f t="shared" ref="N26" si="24">N24-N25</f>
        <v>660</v>
      </c>
      <c r="O26" s="206">
        <f t="shared" ref="O26" si="25">O24-O25</f>
        <v>742</v>
      </c>
      <c r="P26" s="114">
        <f t="shared" ref="P26" si="26">P24-P25</f>
        <v>769</v>
      </c>
      <c r="Q26" s="1"/>
      <c r="R26" s="114" t="s">
        <v>280</v>
      </c>
      <c r="S26" s="209" t="s">
        <v>279</v>
      </c>
    </row>
    <row r="27" spans="1:19" ht="14.65" thickBot="1" x14ac:dyDescent="0.5">
      <c r="H27" s="28" t="s">
        <v>278</v>
      </c>
      <c r="I27" s="204">
        <f>(I24/I26)-1</f>
        <v>8.9235127478753506E-2</v>
      </c>
      <c r="J27" s="204">
        <f t="shared" ref="J27" si="27">(J24/J26)-1</f>
        <v>6.6574202496532564E-2</v>
      </c>
      <c r="K27" s="204">
        <f t="shared" ref="K27" si="28">(K24/K26)-1</f>
        <v>8.7943262411347423E-2</v>
      </c>
      <c r="L27" s="204">
        <f t="shared" ref="L27" si="29">(L24/L26)-1</f>
        <v>0.19543509272467907</v>
      </c>
      <c r="M27" s="204">
        <f t="shared" ref="M27" si="30">(M24/M26)-1</f>
        <v>0.16133720930232553</v>
      </c>
      <c r="N27" s="204">
        <f t="shared" ref="N27" si="31">(N24/N26)-1</f>
        <v>0.17727272727272725</v>
      </c>
      <c r="O27" s="207">
        <f t="shared" ref="O27" si="32">(O24/O26)-1</f>
        <v>6.334231805929913E-2</v>
      </c>
      <c r="P27" s="204">
        <f t="shared" ref="P27" si="33">(P24/P26)-1</f>
        <v>0.10273081924577365</v>
      </c>
      <c r="Q27" s="8"/>
      <c r="R27" s="204">
        <f>MAX(I27:P27)</f>
        <v>0.19543509272467907</v>
      </c>
      <c r="S27" s="210">
        <f>SUM(I27:P27)/8</f>
        <v>0.11798384487392977</v>
      </c>
    </row>
    <row r="28" spans="1:19" ht="14.65" thickBot="1" x14ac:dyDescent="0.5"/>
    <row r="29" spans="1:19" x14ac:dyDescent="0.45">
      <c r="A29" s="10" t="s">
        <v>295</v>
      </c>
      <c r="B29" s="13"/>
      <c r="C29" s="13"/>
      <c r="D29" s="13"/>
      <c r="E29" s="13"/>
      <c r="F29" s="13"/>
      <c r="G29" s="251" t="s">
        <v>296</v>
      </c>
      <c r="H29" s="13"/>
      <c r="I29" s="13"/>
      <c r="J29" s="13"/>
      <c r="K29" s="13"/>
      <c r="L29" s="12"/>
    </row>
    <row r="30" spans="1:19" ht="14.65" thickBot="1" x14ac:dyDescent="0.5">
      <c r="A30" s="5"/>
      <c r="B30" s="1"/>
      <c r="C30" s="1"/>
      <c r="D30" s="1"/>
      <c r="E30" s="1"/>
      <c r="F30" s="1"/>
      <c r="G30" s="1"/>
      <c r="H30" s="1"/>
      <c r="I30" s="1"/>
      <c r="J30" s="1"/>
      <c r="K30" s="1"/>
      <c r="L30" s="6"/>
    </row>
    <row r="31" spans="1:19" x14ac:dyDescent="0.45">
      <c r="A31" s="232" t="s">
        <v>206</v>
      </c>
      <c r="B31" s="233"/>
      <c r="C31" s="234" t="s">
        <v>7</v>
      </c>
      <c r="D31" s="234" t="s">
        <v>8</v>
      </c>
      <c r="E31" s="235" t="s">
        <v>9</v>
      </c>
      <c r="F31" s="1"/>
      <c r="G31" s="232" t="s">
        <v>206</v>
      </c>
      <c r="H31" s="233"/>
      <c r="I31" s="234" t="s">
        <v>7</v>
      </c>
      <c r="J31" s="234" t="s">
        <v>8</v>
      </c>
      <c r="K31" s="235" t="s">
        <v>9</v>
      </c>
      <c r="L31" s="6"/>
    </row>
    <row r="32" spans="1:19" x14ac:dyDescent="0.45">
      <c r="A32" s="5"/>
      <c r="B32" s="49" t="s">
        <v>292</v>
      </c>
      <c r="C32" s="166">
        <f>IF(Operation!U49&gt;0,Operation!U52,0)</f>
        <v>71.8</v>
      </c>
      <c r="D32" s="166">
        <f>IF(Operation!V49&gt;0,Operation!V52,0)</f>
        <v>72.599999999999994</v>
      </c>
      <c r="E32" s="237">
        <f>IF(Operation!W49&gt;0,Operation!W52,0)</f>
        <v>73.3</v>
      </c>
      <c r="F32" s="1"/>
      <c r="G32" s="5"/>
      <c r="H32" s="49" t="s">
        <v>292</v>
      </c>
      <c r="I32" s="166">
        <f>Operation!U52</f>
        <v>71.8</v>
      </c>
      <c r="J32" s="166">
        <f>Operation!V52</f>
        <v>72.599999999999994</v>
      </c>
      <c r="K32" s="237">
        <f>Operation!W52</f>
        <v>73.3</v>
      </c>
      <c r="L32" s="6"/>
    </row>
    <row r="33" spans="1:12" x14ac:dyDescent="0.45">
      <c r="A33" s="5"/>
      <c r="B33" s="49" t="s">
        <v>293</v>
      </c>
      <c r="C33" s="166">
        <f>(Operation!E18*Operation!E6+Operation!E14*Operation!E12)/(Operation!E6+Operation!E12)</f>
        <v>92.461720093305587</v>
      </c>
      <c r="D33" s="166">
        <f>(Operation!F18*Operation!F6+Operation!F14*Operation!F12)/(Operation!F6+Operation!F12)</f>
        <v>95.962887966799727</v>
      </c>
      <c r="E33" s="237">
        <f>(Operation!G18*Operation!G6+Operation!G14*Operation!G12)/(Operation!G6+Operation!G12)</f>
        <v>96.558398225323401</v>
      </c>
      <c r="F33" s="1"/>
      <c r="G33" s="5"/>
      <c r="H33" s="49" t="s">
        <v>293</v>
      </c>
      <c r="I33" s="166">
        <f>(Operation!E18*Operation!E6+Operation!E14*Operation!E12)/(Operation!E6+Operation!E12)</f>
        <v>92.461720093305587</v>
      </c>
      <c r="J33" s="166">
        <f>(Operation!F18*Operation!F6+Operation!F14*Operation!F12)/(Operation!F6+Operation!F12)</f>
        <v>95.962887966799727</v>
      </c>
      <c r="K33" s="237">
        <f>(Operation!G18*Operation!G6+Operation!G14*Operation!G12)/(Operation!G6+Operation!G12)</f>
        <v>96.558398225323401</v>
      </c>
      <c r="L33" s="6"/>
    </row>
    <row r="34" spans="1:12" x14ac:dyDescent="0.45">
      <c r="A34" s="5"/>
      <c r="B34" s="49" t="s">
        <v>294</v>
      </c>
      <c r="C34" s="49">
        <f>IF(Operation!U24&gt;0,Operation!U42/Operation!U36,0)</f>
        <v>0</v>
      </c>
      <c r="D34" s="49">
        <f>IF(Operation!V24&gt;0,Operation!V42/Operation!V36,0)</f>
        <v>0</v>
      </c>
      <c r="E34" s="57">
        <f>IF(Operation!W24&gt;0,Operation!W42/Operation!W36,0)</f>
        <v>200</v>
      </c>
      <c r="F34" s="1"/>
      <c r="G34" s="5"/>
      <c r="H34" s="49" t="s">
        <v>288</v>
      </c>
      <c r="I34" s="166">
        <f>(Operation!M89+Operation!N88)*Operation!U5/Operation!U16</f>
        <v>83.011855642762384</v>
      </c>
      <c r="J34" s="166">
        <f>(Operation!R89+Operation!S88)*Operation!V5/Operation!V16</f>
        <v>25.843272533735352</v>
      </c>
      <c r="K34" s="237">
        <f>(Operation!V89+Operation!W88)*Operation!W5/Operation!W16</f>
        <v>24.420773715359502</v>
      </c>
      <c r="L34" s="6"/>
    </row>
    <row r="35" spans="1:12" x14ac:dyDescent="0.45">
      <c r="A35" s="5"/>
      <c r="B35" s="49" t="s">
        <v>287</v>
      </c>
      <c r="C35" s="166">
        <f>C32+C33+C34</f>
        <v>164.2617200933056</v>
      </c>
      <c r="D35" s="166">
        <f t="shared" ref="D35:E35" si="34">D32+D33+D34</f>
        <v>168.56288796679974</v>
      </c>
      <c r="E35" s="237">
        <f t="shared" si="34"/>
        <v>369.85839822532341</v>
      </c>
      <c r="F35" s="1"/>
      <c r="G35" s="5"/>
      <c r="H35" s="198" t="s">
        <v>231</v>
      </c>
      <c r="I35" s="236">
        <f>I32+I33+I34</f>
        <v>247.27357573606798</v>
      </c>
      <c r="J35" s="236">
        <f t="shared" ref="J35:K35" si="35">J32+J33+J34</f>
        <v>194.40616050053509</v>
      </c>
      <c r="K35" s="239">
        <f t="shared" si="35"/>
        <v>194.27917194068291</v>
      </c>
      <c r="L35" s="6"/>
    </row>
    <row r="36" spans="1:12" x14ac:dyDescent="0.45">
      <c r="A36" s="5"/>
      <c r="B36" s="167" t="s">
        <v>288</v>
      </c>
      <c r="C36" s="166">
        <f>(Operation!M89+Operation!N88)*Operation!U5/Operation!U16</f>
        <v>83.011855642762384</v>
      </c>
      <c r="D36" s="166">
        <f>(Operation!R89+Operation!S88)*Operation!V5/Operation!V16</f>
        <v>25.843272533735352</v>
      </c>
      <c r="E36" s="237">
        <f>(Operation!V89+Operation!W88)*Operation!W5/Operation!W16</f>
        <v>24.420773715359502</v>
      </c>
      <c r="F36" s="1"/>
      <c r="G36" s="5"/>
      <c r="H36" s="50" t="s">
        <v>278</v>
      </c>
      <c r="I36" s="248">
        <f>I37/I35-1</f>
        <v>3.1246461498898537E-2</v>
      </c>
      <c r="J36" s="248">
        <f t="shared" ref="J36:K36" si="36">J37/J35-1</f>
        <v>0.23452877924277216</v>
      </c>
      <c r="K36" s="250">
        <f t="shared" si="36"/>
        <v>0.20959955538491748</v>
      </c>
      <c r="L36" s="6"/>
    </row>
    <row r="37" spans="1:12" x14ac:dyDescent="0.45">
      <c r="A37" s="5"/>
      <c r="B37" s="167" t="s">
        <v>289</v>
      </c>
      <c r="C37" s="166">
        <f>(Distribution!N10+Distribution!N12+Distribution!N16+Distribution!N17)/Distribution!N14*Distribution!L3</f>
        <v>85.031975002513633</v>
      </c>
      <c r="D37" s="166">
        <f>(Distribution!O10+Distribution!O12+Distribution!O16+Distribution!O17)/Distribution!O14*Distribution!L3</f>
        <v>82.720305471110777</v>
      </c>
      <c r="E37" s="237">
        <f>(Distribution!P10+Distribution!P12+Distribution!P16+Distribution!P17)/Distribution!P14*Distribution!L3</f>
        <v>100.88281140439346</v>
      </c>
      <c r="F37" s="1"/>
      <c r="G37" s="5"/>
      <c r="H37" s="50" t="s">
        <v>17</v>
      </c>
      <c r="I37" s="166">
        <f>Marketing!E34</f>
        <v>255</v>
      </c>
      <c r="J37" s="166">
        <f>Marketing!F34</f>
        <v>240</v>
      </c>
      <c r="K37" s="237">
        <f>Marketing!G34</f>
        <v>235</v>
      </c>
      <c r="L37" s="6"/>
    </row>
    <row r="38" spans="1:12" ht="14.65" thickBot="1" x14ac:dyDescent="0.5">
      <c r="A38" s="5"/>
      <c r="B38" s="49" t="s">
        <v>290</v>
      </c>
      <c r="C38" s="166">
        <f>Distribution!N35/Marketing!E7+Marketing!E4*(Finance!K3/Finance!K18)/Marketing!E7</f>
        <v>30.427865284457184</v>
      </c>
      <c r="D38" s="166">
        <f>Distribution!O35/Marketing!F7+Marketing!F4*(Finance!L3/Finance!L18)/Marketing!F7</f>
        <v>53.208227316732177</v>
      </c>
      <c r="E38" s="237">
        <f>Distribution!P35/Marketing!G7+Marketing!G4*(Finance!M3/Finance!M18)/Marketing!G7</f>
        <v>21.979401841409402</v>
      </c>
      <c r="F38" s="1"/>
      <c r="G38" s="7"/>
      <c r="H38" s="64" t="s">
        <v>297</v>
      </c>
      <c r="I38" s="240">
        <f>I37-I35</f>
        <v>7.7264242639320173</v>
      </c>
      <c r="J38" s="240">
        <f t="shared" ref="J38" si="37">J37-J35</f>
        <v>45.593839499464906</v>
      </c>
      <c r="K38" s="246">
        <f t="shared" ref="K38" si="38">K37-K35</f>
        <v>40.720828059317085</v>
      </c>
      <c r="L38" s="6"/>
    </row>
    <row r="39" spans="1:12" ht="14.65" thickBot="1" x14ac:dyDescent="0.5">
      <c r="A39" s="5"/>
      <c r="B39" s="49" t="s">
        <v>291</v>
      </c>
      <c r="C39" s="166">
        <f>Distribution!E34/(Distribution!E24*Distribution!L3+Distribution!E25*Distribution!L4+Distribution!E26*Distribution!L5)*Distribution!L3</f>
        <v>1.5</v>
      </c>
      <c r="D39" s="166">
        <f>Distribution!F34/(Distribution!F24*Distribution!L3+Distribution!F25*Distribution!L4+Distribution!F26*Distribution!L5)*Distribution!L3</f>
        <v>1.5</v>
      </c>
      <c r="E39" s="237">
        <f>Distribution!G34/(Distribution!G24*Distribution!L3+Distribution!G25*Distribution!L4+Distribution!G26*Distribution!L5)*Distribution!L3</f>
        <v>1.5</v>
      </c>
      <c r="F39" s="1"/>
      <c r="G39" s="1"/>
      <c r="H39" s="1"/>
      <c r="I39" s="1"/>
      <c r="J39" s="1"/>
      <c r="K39" s="1"/>
      <c r="L39" s="6"/>
    </row>
    <row r="40" spans="1:12" x14ac:dyDescent="0.45">
      <c r="A40" s="5"/>
      <c r="B40" s="198" t="s">
        <v>231</v>
      </c>
      <c r="C40" s="236">
        <f>C35+C36+C37+C38+C39</f>
        <v>364.23341602303879</v>
      </c>
      <c r="D40" s="236">
        <f t="shared" ref="D40:E40" si="39">D35+D36+D37+D38+D39</f>
        <v>331.83469328837805</v>
      </c>
      <c r="E40" s="239">
        <f t="shared" si="39"/>
        <v>518.64138518648576</v>
      </c>
      <c r="F40" s="1"/>
      <c r="G40" s="232" t="s">
        <v>207</v>
      </c>
      <c r="H40" s="233"/>
      <c r="I40" s="234" t="s">
        <v>7</v>
      </c>
      <c r="J40" s="234" t="s">
        <v>8</v>
      </c>
      <c r="K40" s="235" t="s">
        <v>9</v>
      </c>
      <c r="L40" s="6"/>
    </row>
    <row r="41" spans="1:12" x14ac:dyDescent="0.45">
      <c r="A41" s="5"/>
      <c r="B41" s="50" t="s">
        <v>278</v>
      </c>
      <c r="C41" s="249">
        <f>C42/C40-1</f>
        <v>5.7014494177128672E-2</v>
      </c>
      <c r="D41" s="242">
        <v>0.3</v>
      </c>
      <c r="E41" s="243"/>
      <c r="F41" s="1"/>
      <c r="G41" s="5"/>
      <c r="H41" s="49" t="s">
        <v>292</v>
      </c>
      <c r="I41" s="166">
        <f>Operation!U53</f>
        <v>16.600000000000001</v>
      </c>
      <c r="J41" s="166">
        <f>Operation!V53</f>
        <v>16.7</v>
      </c>
      <c r="K41" s="237">
        <f>Operation!W53</f>
        <v>16.899999999999999</v>
      </c>
      <c r="L41" s="6"/>
    </row>
    <row r="42" spans="1:12" x14ac:dyDescent="0.45">
      <c r="A42" s="5"/>
      <c r="B42" s="238" t="s">
        <v>17</v>
      </c>
      <c r="C42" s="244">
        <v>385</v>
      </c>
      <c r="D42" s="244">
        <f t="shared" ref="D42:E42" si="40">D40*(1+D41)</f>
        <v>431.3851012748915</v>
      </c>
      <c r="E42" s="245">
        <f t="shared" si="40"/>
        <v>518.64138518648576</v>
      </c>
      <c r="F42" s="1"/>
      <c r="G42" s="5"/>
      <c r="H42" s="49" t="s">
        <v>293</v>
      </c>
      <c r="I42" s="166">
        <f>(Operation!E39*Operation!E27+Operation!E35*Operation!E33)/(Operation!E27+Operation!E33)</f>
        <v>32.778423034895511</v>
      </c>
      <c r="J42" s="166">
        <f>(Operation!F39*Operation!F27+Operation!F35*Operation!F33)/(Operation!F27+Operation!F33)</f>
        <v>31.757378324805661</v>
      </c>
      <c r="K42" s="237">
        <f>(Operation!G39*Operation!G27+Operation!G35*Operation!G33)/(Operation!G27+Operation!G33)</f>
        <v>32.766929389769224</v>
      </c>
      <c r="L42" s="6"/>
    </row>
    <row r="43" spans="1:12" ht="14.65" thickBot="1" x14ac:dyDescent="0.5">
      <c r="A43" s="28"/>
      <c r="B43" s="64" t="s">
        <v>297</v>
      </c>
      <c r="C43" s="240">
        <f>C42-C40</f>
        <v>20.766583976961215</v>
      </c>
      <c r="D43" s="240">
        <f t="shared" ref="D43:E43" si="41">D42-D40</f>
        <v>99.550407986513449</v>
      </c>
      <c r="E43" s="246">
        <f t="shared" si="41"/>
        <v>0</v>
      </c>
      <c r="F43" s="1"/>
      <c r="G43" s="5"/>
      <c r="H43" s="49" t="s">
        <v>288</v>
      </c>
      <c r="I43" s="166">
        <f>(Operation!M89+Operation!N88)*Operation!U6/Operation!U16</f>
        <v>19.34256830510968</v>
      </c>
      <c r="J43" s="166">
        <f>(Operation!R89+Operation!S88)*Operation!V6/Operation!V16</f>
        <v>3.5471158379636765</v>
      </c>
      <c r="K43" s="237">
        <f>(Operation!V89+Operation!W88)*Operation!W6/Operation!W16</f>
        <v>3.3417900873649846</v>
      </c>
      <c r="L43" s="6"/>
    </row>
    <row r="44" spans="1:12" x14ac:dyDescent="0.45">
      <c r="F44" s="1"/>
      <c r="G44" s="5"/>
      <c r="H44" s="198" t="s">
        <v>231</v>
      </c>
      <c r="I44" s="236">
        <f>I41+I42+I43</f>
        <v>68.720991340005185</v>
      </c>
      <c r="J44" s="236">
        <f t="shared" ref="J44" si="42">J41+J42+J43</f>
        <v>52.004494162769333</v>
      </c>
      <c r="K44" s="239">
        <f t="shared" ref="K44" si="43">K41+K42+K43</f>
        <v>53.008719477134207</v>
      </c>
      <c r="L44" s="6"/>
    </row>
    <row r="45" spans="1:12" ht="14.65" thickBot="1" x14ac:dyDescent="0.5">
      <c r="A45" s="20"/>
      <c r="B45" s="19"/>
      <c r="C45" s="19"/>
      <c r="D45" s="19"/>
      <c r="E45" s="19"/>
      <c r="F45" s="1"/>
      <c r="G45" s="5"/>
      <c r="H45" s="50" t="s">
        <v>278</v>
      </c>
      <c r="I45" s="248">
        <f>I46/I44-1</f>
        <v>9.1369587917157435E-2</v>
      </c>
      <c r="J45" s="248">
        <f t="shared" ref="J45:K45" si="44">J46/J44-1</f>
        <v>0.3460375132369593</v>
      </c>
      <c r="K45" s="250">
        <f t="shared" si="44"/>
        <v>0.3016726433047261</v>
      </c>
      <c r="L45" s="6"/>
    </row>
    <row r="46" spans="1:12" x14ac:dyDescent="0.45">
      <c r="A46" s="232" t="s">
        <v>207</v>
      </c>
      <c r="B46" s="233"/>
      <c r="C46" s="234" t="s">
        <v>7</v>
      </c>
      <c r="D46" s="234" t="s">
        <v>8</v>
      </c>
      <c r="E46" s="235" t="s">
        <v>9</v>
      </c>
      <c r="F46" s="1"/>
      <c r="G46" s="5"/>
      <c r="H46" s="50" t="s">
        <v>17</v>
      </c>
      <c r="I46" s="166">
        <f>Marketing!E45</f>
        <v>75</v>
      </c>
      <c r="J46" s="166">
        <f>Marketing!F45</f>
        <v>70</v>
      </c>
      <c r="K46" s="237">
        <f>Marketing!G45</f>
        <v>69</v>
      </c>
      <c r="L46" s="6"/>
    </row>
    <row r="47" spans="1:12" ht="14.65" thickBot="1" x14ac:dyDescent="0.5">
      <c r="A47" s="5"/>
      <c r="B47" s="49" t="s">
        <v>292</v>
      </c>
      <c r="C47" s="166">
        <f>IF(Operation!U50&gt;0,Operation!U53,0)</f>
        <v>16.600000000000001</v>
      </c>
      <c r="D47" s="166">
        <f>IF(Operation!V50&gt;0,Operation!V53,0)</f>
        <v>16.7</v>
      </c>
      <c r="E47" s="237">
        <f>IF(Operation!W50&gt;0,Operation!W53,0)</f>
        <v>16.899999999999999</v>
      </c>
      <c r="F47" s="1"/>
      <c r="G47" s="7"/>
      <c r="H47" s="64" t="s">
        <v>297</v>
      </c>
      <c r="I47" s="240">
        <f>I46-I44</f>
        <v>6.2790086599948154</v>
      </c>
      <c r="J47" s="240">
        <f t="shared" ref="J47" si="45">J46-J44</f>
        <v>17.995505837230667</v>
      </c>
      <c r="K47" s="246">
        <f t="shared" ref="K47" si="46">K46-K44</f>
        <v>15.991280522865793</v>
      </c>
      <c r="L47" s="6"/>
    </row>
    <row r="48" spans="1:12" ht="14.65" thickBot="1" x14ac:dyDescent="0.5">
      <c r="A48" s="5"/>
      <c r="B48" s="49" t="s">
        <v>293</v>
      </c>
      <c r="C48" s="166">
        <f>(Operation!E39*Operation!E27+Operation!E35*Operation!E33)/(Operation!E27+Operation!E33)</f>
        <v>32.778423034895511</v>
      </c>
      <c r="D48" s="166">
        <f>(Operation!F39*Operation!F27+Operation!F35*Operation!F33)/(Operation!F27+Operation!F33)</f>
        <v>31.757378324805661</v>
      </c>
      <c r="E48" s="237">
        <f>(Operation!G39*Operation!G27+Operation!G35*Operation!G33)/(Operation!G27+Operation!G33)</f>
        <v>32.766929389769224</v>
      </c>
      <c r="F48" s="1"/>
      <c r="G48" s="1"/>
      <c r="H48" s="1"/>
      <c r="I48" s="1"/>
      <c r="J48" s="1"/>
      <c r="K48" s="1"/>
      <c r="L48" s="6"/>
    </row>
    <row r="49" spans="1:12" x14ac:dyDescent="0.45">
      <c r="A49" s="5"/>
      <c r="B49" s="49" t="s">
        <v>294</v>
      </c>
      <c r="C49" s="49">
        <f>IF(Operation!U25&gt;0,Operation!U43/Operation!U37,0)</f>
        <v>0</v>
      </c>
      <c r="D49" s="49">
        <f>IF(Operation!V25&gt;0,Operation!V43/Operation!V37,0)</f>
        <v>40.700000000000003</v>
      </c>
      <c r="E49" s="57">
        <f>IF(Operation!W25&gt;0,Operation!W43/Operation!W37,0)</f>
        <v>0</v>
      </c>
      <c r="F49" s="1"/>
      <c r="G49" s="232" t="s">
        <v>208</v>
      </c>
      <c r="H49" s="233"/>
      <c r="I49" s="234" t="s">
        <v>7</v>
      </c>
      <c r="J49" s="234" t="s">
        <v>8</v>
      </c>
      <c r="K49" s="235" t="s">
        <v>9</v>
      </c>
      <c r="L49" s="6"/>
    </row>
    <row r="50" spans="1:12" x14ac:dyDescent="0.45">
      <c r="A50" s="5"/>
      <c r="B50" s="49" t="s">
        <v>287</v>
      </c>
      <c r="C50" s="166">
        <f>C47+C48+C49</f>
        <v>49.378423034895512</v>
      </c>
      <c r="D50" s="166">
        <f t="shared" ref="D50:E50" si="47">D47+D48+D49</f>
        <v>89.157378324805663</v>
      </c>
      <c r="E50" s="237">
        <f t="shared" si="47"/>
        <v>49.666929389769223</v>
      </c>
      <c r="F50" s="1"/>
      <c r="G50" s="5"/>
      <c r="H50" s="49" t="s">
        <v>292</v>
      </c>
      <c r="I50" s="166">
        <f>Operation!U54</f>
        <v>198.8</v>
      </c>
      <c r="J50" s="166">
        <f>Operation!V54</f>
        <v>200.8</v>
      </c>
      <c r="K50" s="237">
        <f>IF(Operation!O28=0,0,Operation!W54)</f>
        <v>0</v>
      </c>
      <c r="L50" s="6"/>
    </row>
    <row r="51" spans="1:12" x14ac:dyDescent="0.45">
      <c r="A51" s="5"/>
      <c r="B51" s="167" t="s">
        <v>288</v>
      </c>
      <c r="C51" s="166">
        <f>(Operation!M89+Operation!N88)/Operation!U15*Operation!U6</f>
        <v>14.933333333333332</v>
      </c>
      <c r="D51" s="166">
        <f>(Operation!N89+Operation!O88)/Operation!V15*Operation!U6</f>
        <v>5.9689119170984455</v>
      </c>
      <c r="E51" s="237">
        <f>(Operation!O89+Operation!P88)/Operation!W15*Operation!U6</f>
        <v>0</v>
      </c>
      <c r="F51" s="1"/>
      <c r="G51" s="5"/>
      <c r="H51" s="49" t="s">
        <v>293</v>
      </c>
      <c r="I51" s="166">
        <f>(Operation!E60*Operation!E48+Operation!E56*Operation!E54)/(Operation!E48+Operation!E54)</f>
        <v>366</v>
      </c>
      <c r="J51" s="166">
        <f>(Operation!F60*Operation!F48+Operation!F56*Operation!F54)/(Operation!F48+Operation!F54)</f>
        <v>365.99999999999994</v>
      </c>
      <c r="K51" s="237">
        <f>IF(Operation!O28=0,0,(Operation!G60*Operation!G48+Operation!G56*Operation!G54)/(Operation!G48+Operation!G54))</f>
        <v>0</v>
      </c>
      <c r="L51" s="6"/>
    </row>
    <row r="52" spans="1:12" x14ac:dyDescent="0.45">
      <c r="A52" s="5"/>
      <c r="B52" s="167" t="s">
        <v>289</v>
      </c>
      <c r="C52" s="166">
        <f>(Distribution!N10+Distribution!N12+Distribution!N16+Distribution!N17)/Distribution!N14*Distribution!L4</f>
        <v>17.006395000502728</v>
      </c>
      <c r="D52" s="166">
        <f>(Distribution!O10+Distribution!O12+Distribution!O16+Distribution!O17)/Distribution!O14*Distribution!L4</f>
        <v>16.544061094222155</v>
      </c>
      <c r="E52" s="237">
        <f>(Distribution!P10+Distribution!P12+Distribution!P16+Distribution!P17)/Distribution!P14*Distribution!L4</f>
        <v>20.176562280878692</v>
      </c>
      <c r="F52" s="1"/>
      <c r="G52" s="5"/>
      <c r="H52" s="49" t="s">
        <v>288</v>
      </c>
      <c r="I52" s="166">
        <f>(Operation!M89+Operation!N88)*Operation!U7/Operation!U16</f>
        <v>223.64844602783069</v>
      </c>
      <c r="J52" s="166">
        <f>(Operation!R89+Operation!S88)*Operation!V7/Operation!V16</f>
        <v>68.662028006296865</v>
      </c>
      <c r="K52" s="237">
        <f>IF(Operation!O28=0,0,(Operation!V89+Operation!W88)*Operation!W7/Operation!W16)</f>
        <v>0</v>
      </c>
      <c r="L52" s="6"/>
    </row>
    <row r="53" spans="1:12" x14ac:dyDescent="0.45">
      <c r="A53" s="5"/>
      <c r="B53" s="49" t="s">
        <v>290</v>
      </c>
      <c r="C53" s="166">
        <f>Distribution!N36/Marketing!E14+Marketing!E4*Finance!K5/Finance!K18/Marketing!E14</f>
        <v>10.403621401680821</v>
      </c>
      <c r="D53" s="166">
        <f>Distribution!O36/Marketing!F14+Marketing!F4*Finance!L5/Finance!L18/Marketing!F14</f>
        <v>4.9944555397338872</v>
      </c>
      <c r="E53" s="237">
        <f>Distribution!P36/Marketing!G14+Marketing!G4*Finance!M5/Finance!M18/Marketing!G14</f>
        <v>4.8641082882840214</v>
      </c>
      <c r="F53" s="1"/>
      <c r="G53" s="5"/>
      <c r="H53" s="198" t="s">
        <v>231</v>
      </c>
      <c r="I53" s="236">
        <f>I50+I51+I52</f>
        <v>788.44844602783064</v>
      </c>
      <c r="J53" s="236">
        <f t="shared" ref="J53" si="48">J50+J51+J52</f>
        <v>635.4620280062968</v>
      </c>
      <c r="K53" s="239">
        <f t="shared" ref="K53" si="49">K50+K51+K52</f>
        <v>0</v>
      </c>
      <c r="L53" s="6"/>
    </row>
    <row r="54" spans="1:12" x14ac:dyDescent="0.45">
      <c r="A54" s="5"/>
      <c r="B54" s="49" t="s">
        <v>291</v>
      </c>
      <c r="C54" s="166">
        <f>Distribution!E34/(Distribution!E24*Distribution!L3+Distribution!E25*Distribution!L4+Distribution!E26*Distribution!L5)*Distribution!L4</f>
        <v>0.3</v>
      </c>
      <c r="D54" s="166">
        <f>Distribution!F34/(Distribution!F24*Distribution!L3+Distribution!F25*Distribution!L4+Distribution!F26*Distribution!L5)*Distribution!L4</f>
        <v>0.3</v>
      </c>
      <c r="E54" s="237">
        <f>Distribution!F34/(Distribution!F24*Distribution!L3+Distribution!F25*Distribution!L4+Distribution!F26*Distribution!L5)*Distribution!L4</f>
        <v>0.3</v>
      </c>
      <c r="F54" s="1"/>
      <c r="G54" s="5"/>
      <c r="H54" s="50" t="s">
        <v>278</v>
      </c>
      <c r="I54" s="248">
        <f>I55/I53-1</f>
        <v>-0.14388822325591355</v>
      </c>
      <c r="J54" s="248">
        <f t="shared" ref="J54:K54" si="50">J55/J53-1</f>
        <v>-7.2707413808248411E-4</v>
      </c>
      <c r="K54" s="250" t="e">
        <f t="shared" si="50"/>
        <v>#DIV/0!</v>
      </c>
      <c r="L54" s="6"/>
    </row>
    <row r="55" spans="1:12" x14ac:dyDescent="0.45">
      <c r="A55" s="5"/>
      <c r="B55" s="198" t="s">
        <v>231</v>
      </c>
      <c r="C55" s="236">
        <f>C50+C51+C52+C53+C54</f>
        <v>92.021772770412397</v>
      </c>
      <c r="D55" s="236">
        <f t="shared" ref="D55" si="51">D50+D51+D52+D53+D54</f>
        <v>116.96480687586016</v>
      </c>
      <c r="E55" s="239">
        <f t="shared" ref="E55" si="52">E50+E51+E52+E53+E54</f>
        <v>75.007599958931934</v>
      </c>
      <c r="F55" s="1"/>
      <c r="G55" s="5"/>
      <c r="H55" s="50" t="s">
        <v>17</v>
      </c>
      <c r="I55" s="166">
        <f>Marketing!E56</f>
        <v>675</v>
      </c>
      <c r="J55" s="166">
        <f>Marketing!F56</f>
        <v>635</v>
      </c>
      <c r="K55" s="237">
        <f>IF(Operation!O28=0,0,Marketing!G56)</f>
        <v>0</v>
      </c>
      <c r="L55" s="6"/>
    </row>
    <row r="56" spans="1:12" ht="14.65" thickBot="1" x14ac:dyDescent="0.5">
      <c r="A56" s="5"/>
      <c r="B56" s="50" t="s">
        <v>278</v>
      </c>
      <c r="C56" s="249">
        <f>C57/C55-1</f>
        <v>0.35837417859647047</v>
      </c>
      <c r="D56" s="242">
        <v>1.3</v>
      </c>
      <c r="E56" s="243"/>
      <c r="F56" s="1"/>
      <c r="G56" s="7"/>
      <c r="H56" s="64" t="s">
        <v>297</v>
      </c>
      <c r="I56" s="240">
        <f>I55-I53</f>
        <v>-113.44844602783064</v>
      </c>
      <c r="J56" s="240">
        <f t="shared" ref="J56" si="53">J55-J53</f>
        <v>-0.46202800629680496</v>
      </c>
      <c r="K56" s="246">
        <f t="shared" ref="K56" si="54">K55-K53</f>
        <v>0</v>
      </c>
      <c r="L56" s="6"/>
    </row>
    <row r="57" spans="1:12" ht="14.65" thickBot="1" x14ac:dyDescent="0.5">
      <c r="A57" s="5"/>
      <c r="B57" s="238" t="s">
        <v>17</v>
      </c>
      <c r="C57" s="244">
        <v>125</v>
      </c>
      <c r="D57" s="244">
        <f t="shared" ref="D57" si="55">D55*(1+D56)</f>
        <v>269.01905581447835</v>
      </c>
      <c r="E57" s="245">
        <f t="shared" ref="E57" si="56">E55*(1+E56)</f>
        <v>75.007599958931934</v>
      </c>
      <c r="F57" s="1"/>
      <c r="G57" s="1"/>
      <c r="H57" s="1"/>
      <c r="I57" s="1"/>
      <c r="J57" s="1"/>
      <c r="K57" s="1"/>
      <c r="L57" s="6"/>
    </row>
    <row r="58" spans="1:12" ht="14.65" thickBot="1" x14ac:dyDescent="0.5">
      <c r="A58" s="28"/>
      <c r="B58" s="64" t="s">
        <v>297</v>
      </c>
      <c r="C58" s="240">
        <f>C57-C55</f>
        <v>32.978227229587603</v>
      </c>
      <c r="D58" s="240">
        <f t="shared" ref="D58" si="57">D57-D55</f>
        <v>152.05424893861817</v>
      </c>
      <c r="E58" s="246">
        <f t="shared" ref="E58" si="58">E57-E55</f>
        <v>0</v>
      </c>
      <c r="F58" s="1"/>
      <c r="G58" s="10" t="s">
        <v>300</v>
      </c>
      <c r="H58" s="252" t="s">
        <v>299</v>
      </c>
      <c r="I58" s="253">
        <f>I38*Marketing!E37+I47*Marketing!E48+I56*Marketing!E59</f>
        <v>214976.14301128214</v>
      </c>
      <c r="J58" s="253">
        <f>J38*Marketing!F37+J47*Marketing!F48+J56*Marketing!F59</f>
        <v>3169764.6787025458</v>
      </c>
      <c r="K58" s="254">
        <f>K38*Marketing!G37+K47*Marketing!G48+K56*Marketing!G59</f>
        <v>5125191.0269553093</v>
      </c>
      <c r="L58" s="6"/>
    </row>
    <row r="59" spans="1:12" ht="14.65" thickBot="1" x14ac:dyDescent="0.5">
      <c r="F59" s="1"/>
      <c r="G59" s="255" t="s">
        <v>152</v>
      </c>
      <c r="H59" s="256" t="s">
        <v>299</v>
      </c>
      <c r="I59" s="257">
        <f>C43*Marketing!E10+C58*Marketing!E17+C73*Marketing!E24</f>
        <v>3354820.8050686782</v>
      </c>
      <c r="J59" s="257">
        <f>D43*Marketing!F10+D58*Marketing!F17+D73*Marketing!F24</f>
        <v>30628074.388602946</v>
      </c>
      <c r="K59" s="258">
        <f>E43*Marketing!G10+E58*Marketing!G17+E73*Marketing!G24</f>
        <v>0</v>
      </c>
      <c r="L59" s="6"/>
    </row>
    <row r="60" spans="1:12" ht="14.65" thickBot="1" x14ac:dyDescent="0.5">
      <c r="A60" s="5"/>
      <c r="B60" s="1"/>
      <c r="C60" s="1"/>
      <c r="D60" s="1"/>
      <c r="E60" s="1"/>
      <c r="F60" s="1"/>
      <c r="G60" s="1"/>
      <c r="H60" s="1"/>
      <c r="I60" s="1"/>
      <c r="J60" s="1"/>
      <c r="K60" s="1"/>
      <c r="L60" s="6"/>
    </row>
    <row r="61" spans="1:12" x14ac:dyDescent="0.45">
      <c r="A61" s="232" t="s">
        <v>208</v>
      </c>
      <c r="B61" s="233"/>
      <c r="C61" s="234" t="s">
        <v>7</v>
      </c>
      <c r="D61" s="234" t="s">
        <v>8</v>
      </c>
      <c r="E61" s="235" t="s">
        <v>9</v>
      </c>
      <c r="F61" s="1"/>
      <c r="G61" s="1"/>
      <c r="H61" s="1"/>
      <c r="I61" s="1"/>
      <c r="J61" s="1"/>
      <c r="K61" s="1"/>
      <c r="L61" s="6"/>
    </row>
    <row r="62" spans="1:12" x14ac:dyDescent="0.45">
      <c r="A62" s="5"/>
      <c r="B62" s="49" t="s">
        <v>292</v>
      </c>
      <c r="C62" s="166">
        <f>IF(Operation!U51&gt;0,Operation!U54,0)</f>
        <v>198.8</v>
      </c>
      <c r="D62" s="166">
        <f>IF(Operation!V51&gt;0,Operation!V54,0)</f>
        <v>200.8</v>
      </c>
      <c r="E62" s="237">
        <f>IF(Operation!W51&gt;0,Operation!W54,0)</f>
        <v>202.8</v>
      </c>
      <c r="F62" s="1"/>
      <c r="G62" s="1"/>
      <c r="H62" s="1"/>
      <c r="I62" s="1"/>
      <c r="J62" s="1"/>
      <c r="K62" s="1"/>
      <c r="L62" s="6"/>
    </row>
    <row r="63" spans="1:12" x14ac:dyDescent="0.45">
      <c r="A63" s="5"/>
      <c r="B63" s="49" t="s">
        <v>293</v>
      </c>
      <c r="C63" s="166">
        <f>(Operation!E60*Operation!E48+Operation!E56*Operation!E54)/(Operation!E48+Operation!E54)</f>
        <v>366</v>
      </c>
      <c r="D63" s="166">
        <f>(Operation!F60*Operation!F48+Operation!F56*Operation!F54)/(Operation!F48+Operation!F54)</f>
        <v>365.99999999999994</v>
      </c>
      <c r="E63" s="237">
        <f>(Operation!G60*Operation!G48+Operation!G56*Operation!G54)/(Operation!G48+Operation!G54)</f>
        <v>365.99999999999994</v>
      </c>
      <c r="F63" s="1"/>
      <c r="G63" s="1"/>
      <c r="H63" s="1"/>
      <c r="I63" s="1"/>
      <c r="J63" s="1"/>
      <c r="K63" s="1"/>
      <c r="L63" s="6"/>
    </row>
    <row r="64" spans="1:12" x14ac:dyDescent="0.45">
      <c r="A64" s="5"/>
      <c r="B64" s="49" t="s">
        <v>294</v>
      </c>
      <c r="C64" s="49">
        <f>IF(Operation!U26&gt;0,Operation!U44/Operation!U38,0)</f>
        <v>0</v>
      </c>
      <c r="D64" s="49">
        <f>IF(Operation!V26&gt;0,Operation!V44/Operation!V38,0)</f>
        <v>556.36874999999998</v>
      </c>
      <c r="E64" s="57">
        <f>IF(Operation!W26&gt;0,Operation!W44/Operation!W38,0)</f>
        <v>650</v>
      </c>
      <c r="F64" s="1"/>
      <c r="G64" s="1"/>
      <c r="H64" s="1"/>
      <c r="I64" s="1"/>
      <c r="J64" s="1"/>
      <c r="K64" s="1"/>
      <c r="L64" s="6"/>
    </row>
    <row r="65" spans="1:12" x14ac:dyDescent="0.45">
      <c r="A65" s="5"/>
      <c r="B65" s="49" t="s">
        <v>287</v>
      </c>
      <c r="C65" s="166">
        <f>C62+C63+C64</f>
        <v>564.79999999999995</v>
      </c>
      <c r="D65" s="166">
        <f t="shared" ref="D65:E65" si="59">D62+D63+D64</f>
        <v>1123.1687499999998</v>
      </c>
      <c r="E65" s="237">
        <f t="shared" si="59"/>
        <v>1218.8</v>
      </c>
      <c r="F65" s="1"/>
      <c r="G65" s="1"/>
      <c r="H65" s="1"/>
      <c r="I65" s="1"/>
      <c r="J65" s="1"/>
      <c r="K65" s="1"/>
      <c r="L65" s="6"/>
    </row>
    <row r="66" spans="1:12" x14ac:dyDescent="0.45">
      <c r="A66" s="5"/>
      <c r="B66" s="167" t="s">
        <v>288</v>
      </c>
      <c r="C66" s="166">
        <f>(Operation!M89+Operation!N88)/Operation!U15*Operation!U7</f>
        <v>172.66666666666666</v>
      </c>
      <c r="D66" s="166">
        <f>(Operation!N89+Operation!O88)/Operation!V15*Operation!U7</f>
        <v>69.015544041450781</v>
      </c>
      <c r="E66" s="237">
        <f>(Operation!O89+Operation!P88)/Operation!W15*Operation!U7</f>
        <v>0</v>
      </c>
      <c r="F66" s="1"/>
      <c r="G66" s="1"/>
      <c r="H66" s="1"/>
      <c r="I66" s="1"/>
      <c r="J66" s="1"/>
      <c r="K66" s="1"/>
      <c r="L66" s="6"/>
    </row>
    <row r="67" spans="1:12" x14ac:dyDescent="0.45">
      <c r="A67" s="5"/>
      <c r="B67" s="167" t="s">
        <v>289</v>
      </c>
      <c r="C67" s="166">
        <f>(Distribution!N10+Distribution!N12+Distribution!N16+Distribution!N17)/Distribution!N14*Distribution!L5</f>
        <v>170.06395000502727</v>
      </c>
      <c r="D67" s="166">
        <f>(Distribution!O10+Distribution!O12+Distribution!O16+Distribution!O17)/Distribution!O14*Distribution!L5</f>
        <v>165.44061094222155</v>
      </c>
      <c r="E67" s="237">
        <f>(Distribution!P10+Distribution!P12+Distribution!P16+Distribution!P17)/Distribution!P14*Distribution!L5</f>
        <v>201.76562280878693</v>
      </c>
      <c r="F67" s="1"/>
      <c r="G67" s="1"/>
      <c r="H67" s="1"/>
      <c r="I67" s="1"/>
      <c r="J67" s="1"/>
      <c r="K67" s="1"/>
      <c r="L67" s="6"/>
    </row>
    <row r="68" spans="1:12" x14ac:dyDescent="0.45">
      <c r="A68" s="5"/>
      <c r="B68" s="49" t="s">
        <v>290</v>
      </c>
      <c r="C68" s="166">
        <f>Distribution!N37/Marketing!E21+Marketing!E4*Finance!K7/Finance!K18/Marketing!E21</f>
        <v>89.927636796921348</v>
      </c>
      <c r="D68" s="166">
        <f>Distribution!O37/Marketing!F21+Marketing!F4*Finance!L7/Finance!L18/Marketing!F21</f>
        <v>86.136444495640276</v>
      </c>
      <c r="E68" s="237">
        <f>Distribution!P37/Marketing!G21+Marketing!G4*Finance!M7/Finance!M18/Marketing!G21</f>
        <v>188.87092810209126</v>
      </c>
      <c r="F68" s="1"/>
      <c r="G68" s="1"/>
      <c r="H68" s="1"/>
      <c r="I68" s="1"/>
      <c r="J68" s="1"/>
      <c r="K68" s="1"/>
      <c r="L68" s="6"/>
    </row>
    <row r="69" spans="1:12" x14ac:dyDescent="0.45">
      <c r="A69" s="5"/>
      <c r="B69" s="49" t="s">
        <v>291</v>
      </c>
      <c r="C69" s="166">
        <f>Distribution!E34/(Distribution!E24*Distribution!L3+Distribution!E25*Distribution!L4+Distribution!E26*Distribution!L5)*Distribution!L5</f>
        <v>3</v>
      </c>
      <c r="D69" s="166">
        <f>Distribution!F34/(Distribution!F24*Distribution!L3+Distribution!F25*Distribution!L4+Distribution!F26*Distribution!L5)*Distribution!L5</f>
        <v>3</v>
      </c>
      <c r="E69" s="237">
        <f>Distribution!F34/(Distribution!F24*Distribution!L3+Distribution!F25*Distribution!L4+Distribution!F26*Distribution!L5)*Distribution!L5</f>
        <v>3</v>
      </c>
      <c r="F69" s="1"/>
      <c r="G69" s="1"/>
      <c r="H69" s="1"/>
      <c r="I69" s="1"/>
      <c r="J69" s="1"/>
      <c r="K69" s="1"/>
      <c r="L69" s="6"/>
    </row>
    <row r="70" spans="1:12" x14ac:dyDescent="0.45">
      <c r="A70" s="5"/>
      <c r="B70" s="198" t="s">
        <v>231</v>
      </c>
      <c r="C70" s="236">
        <f>C65+C66+C67+C68+C69</f>
        <v>1000.4582534686152</v>
      </c>
      <c r="D70" s="236">
        <f t="shared" ref="D70" si="60">D65+D66+D67+D68+D69</f>
        <v>1446.7613494793125</v>
      </c>
      <c r="E70" s="239">
        <f t="shared" ref="E70" si="61">E65+E66+E67+E68+E69</f>
        <v>1612.4365509108782</v>
      </c>
      <c r="F70" s="1"/>
      <c r="G70" s="1"/>
      <c r="H70" s="1"/>
      <c r="I70" s="1"/>
      <c r="J70" s="1"/>
      <c r="K70" s="1"/>
      <c r="L70" s="6"/>
    </row>
    <row r="71" spans="1:12" x14ac:dyDescent="0.45">
      <c r="A71" s="5"/>
      <c r="B71" s="50" t="s">
        <v>278</v>
      </c>
      <c r="C71" s="249">
        <f>C72/C70-1</f>
        <v>-2.0448882697189918E-2</v>
      </c>
      <c r="D71" s="242">
        <v>0.3</v>
      </c>
      <c r="E71" s="243"/>
      <c r="F71" s="1"/>
      <c r="G71" s="1"/>
      <c r="H71" s="1"/>
      <c r="I71" s="1"/>
      <c r="J71" s="1"/>
      <c r="K71" s="1"/>
      <c r="L71" s="6"/>
    </row>
    <row r="72" spans="1:12" x14ac:dyDescent="0.45">
      <c r="A72" s="5"/>
      <c r="B72" s="238" t="s">
        <v>17</v>
      </c>
      <c r="C72" s="244">
        <v>980</v>
      </c>
      <c r="D72" s="244">
        <f t="shared" ref="D72" si="62">D70*(1+D71)</f>
        <v>1880.7897543231063</v>
      </c>
      <c r="E72" s="245">
        <f t="shared" ref="E72" si="63">E70*(1+E71)</f>
        <v>1612.4365509108782</v>
      </c>
      <c r="F72" s="1"/>
      <c r="G72" s="1"/>
      <c r="H72" s="1"/>
      <c r="I72" s="1"/>
      <c r="J72" s="1"/>
      <c r="K72" s="1"/>
      <c r="L72" s="6"/>
    </row>
    <row r="73" spans="1:12" ht="14.65" thickBot="1" x14ac:dyDescent="0.5">
      <c r="A73" s="28"/>
      <c r="B73" s="64" t="s">
        <v>297</v>
      </c>
      <c r="C73" s="240">
        <f>C72-C70</f>
        <v>-20.458253468615226</v>
      </c>
      <c r="D73" s="240">
        <f t="shared" ref="D73" si="64">D72-D70</f>
        <v>434.02840484379385</v>
      </c>
      <c r="E73" s="246">
        <f t="shared" ref="E73" si="65">E72-E70</f>
        <v>0</v>
      </c>
      <c r="F73" s="1"/>
      <c r="G73" s="1"/>
      <c r="H73" s="1"/>
      <c r="I73" s="1"/>
      <c r="J73" s="1"/>
      <c r="K73" s="1"/>
      <c r="L73" s="6"/>
    </row>
    <row r="74" spans="1:12" x14ac:dyDescent="0.45">
      <c r="F74" s="1"/>
      <c r="G74" s="1"/>
      <c r="H74" s="1"/>
      <c r="I74" s="1"/>
      <c r="J74" s="1"/>
      <c r="K74" s="1"/>
      <c r="L74" s="6"/>
    </row>
    <row r="75" spans="1:12" ht="14.65" thickBot="1" x14ac:dyDescent="0.5">
      <c r="A75" s="7"/>
      <c r="B75" s="8"/>
      <c r="C75" s="8"/>
      <c r="D75" s="8"/>
      <c r="E75" s="8"/>
      <c r="F75" s="8"/>
      <c r="G75" s="8"/>
      <c r="H75" s="8"/>
      <c r="I75" s="8"/>
      <c r="J75" s="8"/>
      <c r="K75" s="8"/>
      <c r="L75" s="9"/>
    </row>
  </sheetData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B5F78-E11B-4F96-A290-9957249915B7}">
  <dimension ref="A6:V75"/>
  <sheetViews>
    <sheetView topLeftCell="A49" workbookViewId="0">
      <selection activeCell="F75" sqref="F75"/>
    </sheetView>
  </sheetViews>
  <sheetFormatPr defaultRowHeight="14.25" x14ac:dyDescent="0.45"/>
  <sheetData>
    <row r="6" spans="2:7" x14ac:dyDescent="0.45">
      <c r="D6" s="168"/>
      <c r="E6" s="168"/>
      <c r="F6" s="168"/>
    </row>
    <row r="7" spans="2:7" x14ac:dyDescent="0.45">
      <c r="B7" s="169" t="s">
        <v>245</v>
      </c>
      <c r="C7" s="170"/>
      <c r="D7" s="171"/>
      <c r="E7" s="172"/>
      <c r="F7" s="172"/>
      <c r="G7" s="173"/>
    </row>
    <row r="8" spans="2:7" x14ac:dyDescent="0.45">
      <c r="B8" s="164" t="s">
        <v>246</v>
      </c>
      <c r="E8" s="174" t="s">
        <v>10</v>
      </c>
      <c r="F8" s="165" t="s">
        <v>14</v>
      </c>
      <c r="G8" s="270" t="s">
        <v>77</v>
      </c>
    </row>
    <row r="9" spans="2:7" x14ac:dyDescent="0.45">
      <c r="B9" s="164" t="s">
        <v>211</v>
      </c>
      <c r="E9" s="175">
        <v>370731</v>
      </c>
      <c r="F9" s="176">
        <v>720554</v>
      </c>
      <c r="G9" s="271">
        <v>91402</v>
      </c>
    </row>
    <row r="10" spans="2:7" x14ac:dyDescent="0.45">
      <c r="B10" s="164" t="s">
        <v>212</v>
      </c>
      <c r="E10" s="175">
        <v>356706</v>
      </c>
      <c r="F10" s="176">
        <v>1260207</v>
      </c>
      <c r="G10" s="271">
        <v>73876</v>
      </c>
    </row>
    <row r="11" spans="2:7" x14ac:dyDescent="0.45">
      <c r="B11" s="164" t="s">
        <v>213</v>
      </c>
      <c r="E11" s="175">
        <v>704155</v>
      </c>
      <c r="F11" s="176">
        <v>370983</v>
      </c>
      <c r="G11" s="271">
        <v>123163</v>
      </c>
    </row>
    <row r="12" spans="2:7" x14ac:dyDescent="0.45">
      <c r="B12" s="164" t="s">
        <v>214</v>
      </c>
      <c r="E12" s="175">
        <v>311874</v>
      </c>
      <c r="F12" s="176">
        <v>1026082</v>
      </c>
      <c r="G12" s="271">
        <v>177223</v>
      </c>
    </row>
    <row r="13" spans="2:7" x14ac:dyDescent="0.45">
      <c r="B13" s="164" t="s">
        <v>215</v>
      </c>
      <c r="E13" s="175">
        <v>382201</v>
      </c>
      <c r="F13" s="176">
        <v>742863</v>
      </c>
      <c r="G13" s="271">
        <v>92999</v>
      </c>
    </row>
    <row r="14" spans="2:7" x14ac:dyDescent="0.45">
      <c r="B14" s="164" t="s">
        <v>216</v>
      </c>
      <c r="E14" s="175">
        <v>354179</v>
      </c>
      <c r="F14" s="176">
        <v>1397883</v>
      </c>
      <c r="G14" s="271">
        <v>67706</v>
      </c>
    </row>
    <row r="15" spans="2:7" x14ac:dyDescent="0.45">
      <c r="B15" s="164" t="s">
        <v>217</v>
      </c>
      <c r="E15" s="175">
        <v>856584</v>
      </c>
      <c r="F15" s="176">
        <v>374833</v>
      </c>
      <c r="G15" s="271">
        <v>120902</v>
      </c>
    </row>
    <row r="16" spans="2:7" x14ac:dyDescent="0.45">
      <c r="B16" s="164" t="s">
        <v>218</v>
      </c>
      <c r="E16" s="175">
        <v>309963</v>
      </c>
      <c r="F16" s="176">
        <v>929683</v>
      </c>
      <c r="G16" s="271">
        <v>166940</v>
      </c>
    </row>
    <row r="17" spans="1:7" x14ac:dyDescent="0.45">
      <c r="B17" s="164" t="s">
        <v>5</v>
      </c>
      <c r="E17" s="175">
        <v>400547</v>
      </c>
      <c r="F17" s="176">
        <v>739605</v>
      </c>
      <c r="G17" s="271">
        <v>96282</v>
      </c>
    </row>
    <row r="18" spans="1:7" x14ac:dyDescent="0.45">
      <c r="B18" s="164" t="s">
        <v>6</v>
      </c>
      <c r="E18" s="175">
        <v>366211</v>
      </c>
      <c r="F18" s="176">
        <v>1438832</v>
      </c>
      <c r="G18" s="271">
        <v>74011</v>
      </c>
    </row>
    <row r="19" spans="1:7" x14ac:dyDescent="0.45">
      <c r="B19" s="164" t="s">
        <v>7</v>
      </c>
      <c r="E19" s="175">
        <v>821626</v>
      </c>
      <c r="F19" s="176">
        <v>398500</v>
      </c>
      <c r="G19" s="271">
        <v>128240</v>
      </c>
    </row>
    <row r="20" spans="1:7" x14ac:dyDescent="0.45">
      <c r="B20" s="164" t="s">
        <v>8</v>
      </c>
      <c r="E20" s="174">
        <v>324804</v>
      </c>
      <c r="F20" s="165">
        <v>1122367</v>
      </c>
      <c r="G20" s="270">
        <v>142883</v>
      </c>
    </row>
    <row r="21" spans="1:7" x14ac:dyDescent="0.45">
      <c r="B21" s="177" t="s">
        <v>9</v>
      </c>
      <c r="C21" s="178"/>
      <c r="D21" s="178"/>
      <c r="E21" s="179"/>
      <c r="F21" s="180"/>
      <c r="G21" s="272"/>
    </row>
    <row r="31" spans="1:7" x14ac:dyDescent="0.45">
      <c r="A31" t="s">
        <v>247</v>
      </c>
    </row>
    <row r="33" spans="1:22" x14ac:dyDescent="0.45">
      <c r="A33" t="s">
        <v>248</v>
      </c>
    </row>
    <row r="37" spans="1:22" x14ac:dyDescent="0.45">
      <c r="A37" s="174" t="s">
        <v>206</v>
      </c>
      <c r="B37" s="174"/>
      <c r="C37" s="174"/>
      <c r="D37" s="174"/>
      <c r="E37" s="174"/>
      <c r="F37" s="174"/>
      <c r="I37" s="165" t="s">
        <v>207</v>
      </c>
      <c r="J37" s="165"/>
      <c r="K37" s="165"/>
      <c r="L37" s="165"/>
      <c r="M37" s="165"/>
      <c r="N37" s="165"/>
      <c r="Q37" s="267" t="s">
        <v>208</v>
      </c>
      <c r="R37" s="267"/>
      <c r="S37" s="267"/>
      <c r="T37" s="267"/>
      <c r="U37" s="267"/>
      <c r="V37" s="267"/>
    </row>
    <row r="38" spans="1:22" x14ac:dyDescent="0.45">
      <c r="A38" s="174"/>
      <c r="B38" s="174"/>
      <c r="C38" s="174"/>
      <c r="D38" s="174"/>
      <c r="E38" s="174"/>
      <c r="F38" s="174"/>
      <c r="I38" s="165"/>
      <c r="J38" s="165"/>
      <c r="K38" s="165"/>
      <c r="L38" s="165"/>
      <c r="M38" s="165"/>
      <c r="N38" s="165"/>
      <c r="Q38" s="267"/>
      <c r="R38" s="267"/>
      <c r="S38" s="267"/>
      <c r="T38" s="267"/>
      <c r="U38" s="267"/>
      <c r="V38" s="267"/>
    </row>
    <row r="39" spans="1:22" x14ac:dyDescent="0.45">
      <c r="A39" s="174"/>
      <c r="B39" s="174"/>
      <c r="C39" s="174"/>
      <c r="D39" s="174"/>
      <c r="E39" s="174"/>
      <c r="F39" s="174"/>
      <c r="I39" s="165"/>
      <c r="J39" s="165"/>
      <c r="K39" s="165"/>
      <c r="L39" s="165"/>
      <c r="M39" s="165"/>
      <c r="N39" s="165"/>
      <c r="Q39" s="267"/>
      <c r="R39" s="267"/>
      <c r="S39" s="267"/>
      <c r="T39" s="267"/>
      <c r="U39" s="267"/>
      <c r="V39" s="267"/>
    </row>
    <row r="40" spans="1:22" x14ac:dyDescent="0.45">
      <c r="A40" s="174"/>
      <c r="B40" s="174"/>
      <c r="C40" s="174" t="s">
        <v>249</v>
      </c>
      <c r="D40" s="175">
        <f>AVERAGE(E9:E12)</f>
        <v>435866.5</v>
      </c>
      <c r="E40" s="174"/>
      <c r="F40" s="174"/>
      <c r="I40" s="165"/>
      <c r="J40" s="165"/>
      <c r="K40" s="165" t="s">
        <v>249</v>
      </c>
      <c r="L40" s="176">
        <f>AVERAGE(F9:F12)</f>
        <v>844456.5</v>
      </c>
      <c r="M40" s="165"/>
      <c r="N40" s="165"/>
      <c r="Q40" s="267"/>
      <c r="R40" s="267"/>
      <c r="S40" s="267" t="s">
        <v>249</v>
      </c>
      <c r="T40" s="268">
        <f>AVERAGE(G9:G12)</f>
        <v>116416</v>
      </c>
      <c r="U40" s="267"/>
      <c r="V40" s="267"/>
    </row>
    <row r="41" spans="1:22" x14ac:dyDescent="0.45">
      <c r="A41" s="174"/>
      <c r="B41" s="174"/>
      <c r="C41" s="174" t="s">
        <v>250</v>
      </c>
      <c r="D41" s="175">
        <f>AVERAGE(E13:E16)</f>
        <v>475731.75</v>
      </c>
      <c r="E41" s="174"/>
      <c r="F41" s="174"/>
      <c r="I41" s="165"/>
      <c r="J41" s="165"/>
      <c r="K41" s="165" t="s">
        <v>250</v>
      </c>
      <c r="L41" s="176">
        <f>AVERAGE(F13:F16)</f>
        <v>861315.5</v>
      </c>
      <c r="M41" s="165"/>
      <c r="N41" s="165"/>
      <c r="Q41" s="267"/>
      <c r="R41" s="267"/>
      <c r="S41" s="267" t="s">
        <v>250</v>
      </c>
      <c r="T41" s="268">
        <f>AVERAGE(G13:G16)</f>
        <v>112136.75</v>
      </c>
      <c r="U41" s="267"/>
      <c r="V41" s="267"/>
    </row>
    <row r="42" spans="1:22" x14ac:dyDescent="0.45">
      <c r="A42" s="174"/>
      <c r="B42" s="174"/>
      <c r="C42" s="174"/>
      <c r="D42" s="174"/>
      <c r="E42" s="174"/>
      <c r="F42" s="174"/>
      <c r="I42" s="165"/>
      <c r="J42" s="165"/>
      <c r="K42" s="165"/>
      <c r="L42" s="165"/>
      <c r="M42" s="165"/>
      <c r="N42" s="165"/>
      <c r="Q42" s="267"/>
      <c r="R42" s="267"/>
      <c r="S42" s="267"/>
      <c r="T42" s="267"/>
      <c r="U42" s="267"/>
      <c r="V42" s="267"/>
    </row>
    <row r="43" spans="1:22" x14ac:dyDescent="0.45">
      <c r="A43" s="174"/>
      <c r="B43" s="174"/>
      <c r="C43" s="174"/>
      <c r="D43" s="174"/>
      <c r="E43" s="174"/>
      <c r="F43" s="174"/>
      <c r="I43" s="165"/>
      <c r="J43" s="165"/>
      <c r="K43" s="165"/>
      <c r="L43" s="165"/>
      <c r="M43" s="165"/>
      <c r="N43" s="165"/>
      <c r="Q43" s="267"/>
      <c r="R43" s="267"/>
      <c r="S43" s="267"/>
      <c r="T43" s="267"/>
      <c r="U43" s="267"/>
      <c r="V43" s="267"/>
    </row>
    <row r="44" spans="1:22" x14ac:dyDescent="0.45">
      <c r="A44" s="174"/>
      <c r="B44" s="174"/>
      <c r="C44" s="181" t="s">
        <v>251</v>
      </c>
      <c r="D44" s="181"/>
      <c r="E44" s="181"/>
      <c r="F44" s="181"/>
      <c r="I44" s="165"/>
      <c r="J44" s="165"/>
      <c r="K44" s="167" t="s">
        <v>251</v>
      </c>
      <c r="L44" s="167"/>
      <c r="M44" s="167"/>
      <c r="N44" s="167"/>
      <c r="Q44" s="267"/>
      <c r="R44" s="267"/>
      <c r="S44" s="269" t="s">
        <v>251</v>
      </c>
      <c r="T44" s="269"/>
      <c r="U44" s="269"/>
      <c r="V44" s="269"/>
    </row>
    <row r="45" spans="1:22" x14ac:dyDescent="0.45">
      <c r="A45" s="174"/>
      <c r="B45" s="174"/>
      <c r="C45" s="181"/>
      <c r="D45" s="181"/>
      <c r="E45" s="181"/>
      <c r="F45" s="181"/>
      <c r="I45" s="165"/>
      <c r="J45" s="165"/>
      <c r="K45" s="167"/>
      <c r="L45" s="167"/>
      <c r="M45" s="167"/>
      <c r="N45" s="167"/>
      <c r="Q45" s="267"/>
      <c r="R45" s="267"/>
      <c r="S45" s="269"/>
      <c r="T45" s="269"/>
      <c r="U45" s="269"/>
      <c r="V45" s="269"/>
    </row>
    <row r="46" spans="1:22" x14ac:dyDescent="0.45">
      <c r="A46" s="174"/>
      <c r="B46" s="174"/>
      <c r="C46" s="181" t="s">
        <v>252</v>
      </c>
      <c r="D46" s="181" t="s">
        <v>253</v>
      </c>
      <c r="E46" s="181" t="s">
        <v>254</v>
      </c>
      <c r="F46" s="181" t="s">
        <v>255</v>
      </c>
      <c r="I46" s="165"/>
      <c r="J46" s="165"/>
      <c r="K46" s="167" t="s">
        <v>252</v>
      </c>
      <c r="L46" s="167" t="s">
        <v>253</v>
      </c>
      <c r="M46" s="167" t="s">
        <v>254</v>
      </c>
      <c r="N46" s="167" t="s">
        <v>255</v>
      </c>
      <c r="Q46" s="267"/>
      <c r="R46" s="267"/>
      <c r="S46" s="269" t="s">
        <v>252</v>
      </c>
      <c r="T46" s="269" t="s">
        <v>253</v>
      </c>
      <c r="U46" s="269" t="s">
        <v>254</v>
      </c>
      <c r="V46" s="269" t="s">
        <v>255</v>
      </c>
    </row>
    <row r="47" spans="1:22" x14ac:dyDescent="0.45">
      <c r="A47" s="174"/>
      <c r="B47" s="174"/>
      <c r="C47" s="181">
        <f>(D41-D40)/4</f>
        <v>9966.3125</v>
      </c>
      <c r="D47" s="181">
        <f>D41+(4/2)*C47</f>
        <v>495664.375</v>
      </c>
      <c r="E47" s="181">
        <v>1</v>
      </c>
      <c r="F47" s="181">
        <f>0.5*((E9/D40)+(E13/D41))</f>
        <v>0.82697846285039245</v>
      </c>
      <c r="I47" s="165"/>
      <c r="J47" s="165"/>
      <c r="K47" s="167">
        <f>(L41-L40)/4</f>
        <v>4214.75</v>
      </c>
      <c r="L47" s="167">
        <f>L41+(4/2)*K47</f>
        <v>869745</v>
      </c>
      <c r="M47" s="167">
        <v>1</v>
      </c>
      <c r="N47" s="167">
        <f>0.5*((F9/L40)+(F13/L41))</f>
        <v>0.85787517513076983</v>
      </c>
      <c r="Q47" s="267"/>
      <c r="R47" s="267"/>
      <c r="S47" s="269">
        <f>(T41-T40)/4</f>
        <v>-1069.8125</v>
      </c>
      <c r="T47" s="269">
        <f>T41+(4/2)*S47</f>
        <v>109997.125</v>
      </c>
      <c r="U47" s="269">
        <v>1</v>
      </c>
      <c r="V47" s="269">
        <f>0.5*((G9/T40)+(G13/T41))</f>
        <v>0.80723411906628306</v>
      </c>
    </row>
    <row r="48" spans="1:22" x14ac:dyDescent="0.45">
      <c r="A48" s="174"/>
      <c r="B48" s="174"/>
      <c r="C48" s="181"/>
      <c r="D48" s="181"/>
      <c r="E48" s="181">
        <v>2</v>
      </c>
      <c r="F48" s="181">
        <f>0.5*((E10/D40)+(E14/D41))</f>
        <v>0.78143834969139125</v>
      </c>
      <c r="I48" s="165"/>
      <c r="J48" s="165"/>
      <c r="K48" s="167"/>
      <c r="L48" s="167"/>
      <c r="M48" s="167">
        <v>2</v>
      </c>
      <c r="N48" s="167">
        <f>0.5*((F10/L40)+(F14/L41))</f>
        <v>1.557645935853079</v>
      </c>
      <c r="Q48" s="267"/>
      <c r="R48" s="267"/>
      <c r="S48" s="269"/>
      <c r="T48" s="269"/>
      <c r="U48" s="269">
        <v>2</v>
      </c>
      <c r="V48" s="269">
        <f>0.5*((G10/T40)+(G14/T41))</f>
        <v>0.61918348145442348</v>
      </c>
    </row>
    <row r="49" spans="1:22" x14ac:dyDescent="0.45">
      <c r="A49" s="174"/>
      <c r="B49" s="174"/>
      <c r="C49" s="181"/>
      <c r="D49" s="181"/>
      <c r="E49" s="181">
        <v>3</v>
      </c>
      <c r="F49" s="181">
        <f>0.5*((E11/D40)+(E15/D41))</f>
        <v>1.7080449960831525</v>
      </c>
      <c r="I49" s="165"/>
      <c r="J49" s="165"/>
      <c r="K49" s="167"/>
      <c r="L49" s="167"/>
      <c r="M49" s="167">
        <v>3</v>
      </c>
      <c r="N49" s="167">
        <f>0.5*((F11/L40)+(F15/L41))</f>
        <v>0.43725117185160522</v>
      </c>
      <c r="Q49" s="267"/>
      <c r="R49" s="267"/>
      <c r="S49" s="269"/>
      <c r="T49" s="269"/>
      <c r="U49" s="269">
        <v>3</v>
      </c>
      <c r="V49" s="269">
        <f>0.5*((G11/T40)+(G15/T41))</f>
        <v>1.0680608364179229</v>
      </c>
    </row>
    <row r="50" spans="1:22" x14ac:dyDescent="0.45">
      <c r="A50" s="174"/>
      <c r="B50" s="174"/>
      <c r="C50" s="181"/>
      <c r="D50" s="181"/>
      <c r="E50" s="181">
        <v>4</v>
      </c>
      <c r="F50" s="181">
        <f>0.5*((E12/D40)+(E16/D41))</f>
        <v>0.683538191375064</v>
      </c>
      <c r="I50" s="165"/>
      <c r="J50" s="165"/>
      <c r="K50" s="167"/>
      <c r="L50" s="167"/>
      <c r="M50" s="167">
        <v>4</v>
      </c>
      <c r="N50" s="167">
        <f>0.5*((F12/L40)+(F16/L41))</f>
        <v>1.1472277171645462</v>
      </c>
      <c r="Q50" s="267"/>
      <c r="R50" s="267"/>
      <c r="S50" s="269"/>
      <c r="T50" s="269"/>
      <c r="U50" s="269">
        <v>4</v>
      </c>
      <c r="V50" s="269">
        <f>0.5*((G12/T40)+(G16/T41))</f>
        <v>1.5055215630613703</v>
      </c>
    </row>
    <row r="51" spans="1:22" x14ac:dyDescent="0.45">
      <c r="A51" s="174"/>
      <c r="B51" s="174"/>
      <c r="C51" s="174"/>
      <c r="D51" s="174"/>
      <c r="E51" s="174"/>
      <c r="F51" s="174"/>
      <c r="I51" s="165"/>
      <c r="J51" s="165"/>
      <c r="K51" s="165"/>
      <c r="L51" s="165"/>
      <c r="M51" s="165"/>
      <c r="N51" s="165"/>
      <c r="Q51" s="267"/>
      <c r="R51" s="267"/>
      <c r="S51" s="267"/>
      <c r="T51" s="267"/>
      <c r="U51" s="267"/>
      <c r="V51" s="267"/>
    </row>
    <row r="52" spans="1:22" x14ac:dyDescent="0.45">
      <c r="A52" s="174"/>
      <c r="B52" s="174"/>
      <c r="C52" s="181" t="s">
        <v>256</v>
      </c>
      <c r="D52" s="181"/>
      <c r="E52" s="181"/>
      <c r="F52" s="174"/>
      <c r="I52" s="165"/>
      <c r="J52" s="165"/>
      <c r="K52" s="167" t="s">
        <v>256</v>
      </c>
      <c r="L52" s="167"/>
      <c r="M52" s="167"/>
      <c r="N52" s="165"/>
      <c r="Q52" s="267"/>
      <c r="R52" s="267"/>
      <c r="S52" s="269" t="s">
        <v>256</v>
      </c>
      <c r="T52" s="269"/>
      <c r="U52" s="269"/>
      <c r="V52" s="267"/>
    </row>
    <row r="53" spans="1:22" x14ac:dyDescent="0.45">
      <c r="A53" s="174"/>
      <c r="B53" s="174"/>
      <c r="C53" s="181"/>
      <c r="D53" s="181"/>
      <c r="E53" s="181"/>
      <c r="F53" s="174"/>
      <c r="I53" s="165"/>
      <c r="J53" s="165"/>
      <c r="K53" s="167"/>
      <c r="L53" s="167"/>
      <c r="M53" s="167"/>
      <c r="N53" s="165"/>
      <c r="Q53" s="267"/>
      <c r="R53" s="267"/>
      <c r="S53" s="269"/>
      <c r="T53" s="269"/>
      <c r="U53" s="269"/>
      <c r="V53" s="267"/>
    </row>
    <row r="54" spans="1:22" x14ac:dyDescent="0.45">
      <c r="A54" s="174"/>
      <c r="B54" s="174"/>
      <c r="C54" s="181"/>
      <c r="D54" s="181" t="s">
        <v>257</v>
      </c>
      <c r="E54" s="181" t="s">
        <v>258</v>
      </c>
      <c r="F54" s="174"/>
      <c r="I54" s="165"/>
      <c r="J54" s="165"/>
      <c r="K54" s="167"/>
      <c r="L54" s="167" t="s">
        <v>257</v>
      </c>
      <c r="M54" s="167" t="s">
        <v>258</v>
      </c>
      <c r="N54" s="165"/>
      <c r="Q54" s="267"/>
      <c r="R54" s="267"/>
      <c r="S54" s="269"/>
      <c r="T54" s="269" t="s">
        <v>257</v>
      </c>
      <c r="U54" s="269" t="s">
        <v>258</v>
      </c>
      <c r="V54" s="267"/>
    </row>
    <row r="55" spans="1:22" x14ac:dyDescent="0.45">
      <c r="A55" s="174"/>
      <c r="B55" s="174"/>
      <c r="C55" s="181" t="s">
        <v>5</v>
      </c>
      <c r="D55" s="181">
        <v>1</v>
      </c>
      <c r="E55" s="181">
        <f>(D47+C47)*F47</f>
        <v>418145.68871873716</v>
      </c>
      <c r="F55" s="174"/>
      <c r="I55" s="165"/>
      <c r="J55" s="165"/>
      <c r="K55" s="167" t="s">
        <v>5</v>
      </c>
      <c r="L55" s="167">
        <v>1</v>
      </c>
      <c r="M55" s="167">
        <f>(L47+K47)*N47</f>
        <v>749748.37358849379</v>
      </c>
      <c r="N55" s="165"/>
      <c r="Q55" s="267"/>
      <c r="R55" s="267"/>
      <c r="S55" s="269" t="s">
        <v>5</v>
      </c>
      <c r="T55" s="269">
        <v>1</v>
      </c>
      <c r="U55" s="269">
        <f>(T47+S47)*V47</f>
        <v>87929.843148195228</v>
      </c>
      <c r="V55" s="267"/>
    </row>
    <row r="56" spans="1:22" x14ac:dyDescent="0.45">
      <c r="A56" s="174"/>
      <c r="B56" s="174"/>
      <c r="C56" s="181" t="s">
        <v>6</v>
      </c>
      <c r="D56" s="181">
        <v>2</v>
      </c>
      <c r="E56" s="181">
        <f>(D47+2*C47)*F48</f>
        <v>402907.26878583228</v>
      </c>
      <c r="F56" s="174"/>
      <c r="I56" s="165"/>
      <c r="J56" s="165"/>
      <c r="K56" s="167" t="s">
        <v>6</v>
      </c>
      <c r="L56" s="167">
        <v>2</v>
      </c>
      <c r="M56" s="167">
        <f>(L47+2*K47)*N48</f>
        <v>1367884.9408948098</v>
      </c>
      <c r="N56" s="165"/>
      <c r="Q56" s="267"/>
      <c r="R56" s="267"/>
      <c r="S56" s="269" t="s">
        <v>6</v>
      </c>
      <c r="T56" s="269">
        <v>2</v>
      </c>
      <c r="U56" s="269">
        <f>(T47+2*S47)*V48</f>
        <v>66783.582350970479</v>
      </c>
      <c r="V56" s="267"/>
    </row>
    <row r="57" spans="1:22" x14ac:dyDescent="0.45">
      <c r="A57" s="174"/>
      <c r="B57" s="174"/>
      <c r="C57" s="181" t="s">
        <v>7</v>
      </c>
      <c r="D57" s="181">
        <v>3</v>
      </c>
      <c r="E57" s="181">
        <f>(D47+3*C47)*F49</f>
        <v>897685.78604051122</v>
      </c>
      <c r="F57" s="174"/>
      <c r="I57" s="165"/>
      <c r="J57" s="165"/>
      <c r="K57" s="167" t="s">
        <v>7</v>
      </c>
      <c r="L57" s="167">
        <v>3</v>
      </c>
      <c r="M57" s="167">
        <f>(L47+3*K47)*N49</f>
        <v>385825.73359175905</v>
      </c>
      <c r="N57" s="165"/>
      <c r="Q57" s="267"/>
      <c r="R57" s="267"/>
      <c r="S57" s="269" t="s">
        <v>7</v>
      </c>
      <c r="T57" s="269">
        <v>3</v>
      </c>
      <c r="U57" s="269">
        <f>(T47+3*S47)*V49</f>
        <v>114055.74683038577</v>
      </c>
      <c r="V57" s="267"/>
    </row>
    <row r="58" spans="1:22" x14ac:dyDescent="0.45">
      <c r="A58" s="174"/>
      <c r="B58" s="174"/>
      <c r="C58" s="181" t="s">
        <v>8</v>
      </c>
      <c r="D58" s="181">
        <v>4</v>
      </c>
      <c r="E58" s="181">
        <f>(D47+4*C47)*F50</f>
        <v>366054.95130026626</v>
      </c>
      <c r="F58" s="174"/>
      <c r="I58" s="165"/>
      <c r="J58" s="165"/>
      <c r="K58" s="167" t="s">
        <v>8</v>
      </c>
      <c r="L58" s="167">
        <v>4</v>
      </c>
      <c r="M58" s="167">
        <f>(L47+4*K47)*N50</f>
        <v>1017136.6829489553</v>
      </c>
      <c r="N58" s="165"/>
      <c r="Q58" s="267"/>
      <c r="R58" s="267"/>
      <c r="S58" s="269" t="s">
        <v>8</v>
      </c>
      <c r="T58" s="269">
        <v>4</v>
      </c>
      <c r="U58" s="269">
        <f>(T47+4*S47)*V50</f>
        <v>159160.54041352656</v>
      </c>
      <c r="V58" s="267"/>
    </row>
    <row r="59" spans="1:22" x14ac:dyDescent="0.45">
      <c r="A59" s="179"/>
      <c r="B59" s="179"/>
      <c r="C59" s="181" t="s">
        <v>9</v>
      </c>
      <c r="D59" s="181">
        <v>5</v>
      </c>
      <c r="E59" s="181">
        <f>(D47+5*C47)*F47</f>
        <v>451113.39188488375</v>
      </c>
      <c r="F59" s="179"/>
      <c r="I59" s="165"/>
      <c r="J59" s="165"/>
      <c r="K59" s="167" t="s">
        <v>9</v>
      </c>
      <c r="L59" s="167">
        <v>5</v>
      </c>
      <c r="M59" s="167">
        <f>(L47+5*K47)*N47</f>
        <v>764211.29116602347</v>
      </c>
      <c r="N59" s="165"/>
      <c r="Q59" s="267"/>
      <c r="R59" s="267"/>
      <c r="S59" s="269" t="s">
        <v>9</v>
      </c>
      <c r="T59" s="269">
        <v>5</v>
      </c>
      <c r="U59" s="269">
        <f>(T47+5*S47)*V47</f>
        <v>84475.486544180836</v>
      </c>
      <c r="V59" s="267"/>
    </row>
    <row r="60" spans="1:22" x14ac:dyDescent="0.45">
      <c r="A60" s="174"/>
      <c r="B60" s="174"/>
      <c r="C60" s="174"/>
      <c r="D60" s="174"/>
      <c r="E60" s="174"/>
      <c r="F60" s="174"/>
      <c r="I60" s="165"/>
      <c r="J60" s="165"/>
      <c r="K60" s="165"/>
      <c r="L60" s="165"/>
      <c r="M60" s="165"/>
      <c r="N60" s="165"/>
      <c r="Q60" s="267"/>
      <c r="R60" s="267"/>
      <c r="S60" s="267"/>
      <c r="T60" s="267"/>
      <c r="U60" s="267"/>
      <c r="V60" s="267"/>
    </row>
    <row r="61" spans="1:22" x14ac:dyDescent="0.45">
      <c r="A61" s="181"/>
      <c r="B61" s="181" t="s">
        <v>259</v>
      </c>
      <c r="C61" s="181"/>
      <c r="D61" s="181"/>
      <c r="E61" s="174"/>
      <c r="F61" s="174"/>
      <c r="I61" s="167"/>
      <c r="J61" s="167" t="s">
        <v>259</v>
      </c>
      <c r="K61" s="167"/>
      <c r="L61" s="167"/>
      <c r="M61" s="165"/>
      <c r="N61" s="165"/>
      <c r="Q61" s="269"/>
      <c r="R61" s="269" t="s">
        <v>259</v>
      </c>
      <c r="S61" s="269"/>
      <c r="T61" s="269"/>
      <c r="U61" s="267"/>
      <c r="V61" s="267"/>
    </row>
    <row r="62" spans="1:22" x14ac:dyDescent="0.45">
      <c r="A62" s="181" t="s">
        <v>257</v>
      </c>
      <c r="B62" s="181" t="s">
        <v>260</v>
      </c>
      <c r="C62" s="181" t="s">
        <v>261</v>
      </c>
      <c r="D62" s="181" t="s">
        <v>262</v>
      </c>
      <c r="E62" s="174"/>
      <c r="F62" s="174"/>
      <c r="I62" s="167" t="s">
        <v>257</v>
      </c>
      <c r="J62" s="167" t="s">
        <v>260</v>
      </c>
      <c r="K62" s="167" t="s">
        <v>261</v>
      </c>
      <c r="L62" s="167" t="s">
        <v>262</v>
      </c>
      <c r="M62" s="165"/>
      <c r="N62" s="165"/>
      <c r="Q62" s="269" t="s">
        <v>257</v>
      </c>
      <c r="R62" s="269" t="s">
        <v>260</v>
      </c>
      <c r="S62" s="269" t="s">
        <v>261</v>
      </c>
      <c r="T62" s="269" t="s">
        <v>262</v>
      </c>
      <c r="U62" s="267"/>
      <c r="V62" s="267"/>
    </row>
    <row r="63" spans="1:22" x14ac:dyDescent="0.45">
      <c r="A63" s="181">
        <v>1</v>
      </c>
      <c r="B63" s="181">
        <f>0.5*(C63-D47)+0.5*C47</f>
        <v>4646.1350379174983</v>
      </c>
      <c r="C63" s="181">
        <f>0.5*((E17/F47))+0.5*($D$47+$C$47)</f>
        <v>494990.332575835</v>
      </c>
      <c r="D63" s="181">
        <f>0.5*(E17/C63)+0.5*F47</f>
        <v>0.81809006263297968</v>
      </c>
      <c r="E63" s="174"/>
      <c r="F63" s="174"/>
      <c r="I63" s="167">
        <v>1</v>
      </c>
      <c r="J63" s="167">
        <f>0.5*(K63-L47)+0.5*K47</f>
        <v>1258.7915218485286</v>
      </c>
      <c r="K63" s="167">
        <f>0.5*((F17/N47))+0.5*($K$47+$L$47)</f>
        <v>868047.83304369706</v>
      </c>
      <c r="L63" s="167">
        <f>0.5*(F17/K63)+0.5*N47</f>
        <v>0.85495385754826769</v>
      </c>
      <c r="M63" s="165"/>
      <c r="N63" s="165"/>
      <c r="Q63" s="269">
        <v>1</v>
      </c>
      <c r="R63" s="269">
        <f>0.5*(S63-T47)+0.5*S47</f>
        <v>1516.8462692878966</v>
      </c>
      <c r="S63" s="269">
        <f>0.5*((G17/V47))+0.5*(T47+S47)</f>
        <v>114100.63003857579</v>
      </c>
      <c r="T63" s="269">
        <f>0.5*(G17/S63)+0.5*V47</f>
        <v>0.82553409876179629</v>
      </c>
      <c r="U63" s="267"/>
      <c r="V63" s="267"/>
    </row>
    <row r="64" spans="1:22" x14ac:dyDescent="0.45">
      <c r="A64" s="181">
        <v>2</v>
      </c>
      <c r="B64" s="181">
        <f>0.5*(C64-C63)+0.5*B63</f>
        <v>-3103.7075143752591</v>
      </c>
      <c r="C64" s="181">
        <f>0.5*((E18/F48))+0.5*(B63+C63)</f>
        <v>484136.78250916698</v>
      </c>
      <c r="D64" s="181">
        <f t="shared" ref="D64:D66" si="0">0.5*(E18/C64)+0.5*F48</f>
        <v>0.7689294381745988</v>
      </c>
      <c r="E64" s="174"/>
      <c r="F64" s="174"/>
      <c r="I64" s="167">
        <v>2</v>
      </c>
      <c r="J64" s="167">
        <f>0.5*(K64-K63)+0.5*J63</f>
        <v>14862.664405338408</v>
      </c>
      <c r="K64" s="167">
        <f>0.5*((F18/N48))+0.5*(K63+J63)</f>
        <v>896514.37033252534</v>
      </c>
      <c r="L64" s="167">
        <f t="shared" ref="L64:L66" si="1">0.5*(F18/K64)+0.5*N48</f>
        <v>1.5812819399262432</v>
      </c>
      <c r="M64" s="165"/>
      <c r="N64" s="165"/>
      <c r="Q64" s="269">
        <v>2</v>
      </c>
      <c r="R64" s="269">
        <f>0.5*(S64-S63)+0.5*R63</f>
        <v>2494.9765712430526</v>
      </c>
      <c r="S64" s="269">
        <f>0.5*((G18/V48))+0.5*(S63+R63)</f>
        <v>117573.736911774</v>
      </c>
      <c r="T64" s="269">
        <f t="shared" ref="T64:T66" si="2">0.5*(G18/S64)+0.5*V48</f>
        <v>0.62433464991762477</v>
      </c>
      <c r="U64" s="267"/>
      <c r="V64" s="267"/>
    </row>
    <row r="65" spans="1:22" x14ac:dyDescent="0.45">
      <c r="A65" s="181">
        <v>3</v>
      </c>
      <c r="B65" s="181">
        <f>0.5*(C65-C64)+0.5*B64</f>
        <v>-3103.7275219491494</v>
      </c>
      <c r="C65" s="181">
        <f>0.5*((E19/F49))+0.5*(B64+C64)</f>
        <v>481033.03497964394</v>
      </c>
      <c r="D65" s="181">
        <f>0.5*(E19/C65)+0.5*F49</f>
        <v>1.7080449250405547</v>
      </c>
      <c r="E65" s="174"/>
      <c r="F65" s="174"/>
      <c r="I65" s="167">
        <v>3</v>
      </c>
      <c r="J65" s="167">
        <f>0.5*(K65-K64)+0.5*J64</f>
        <v>14862.277649501309</v>
      </c>
      <c r="K65" s="167">
        <f>0.5*((F19/N49))+0.5*(K64+J64)</f>
        <v>911376.26122618956</v>
      </c>
      <c r="L65" s="167">
        <f>0.5*(F19/K65)+0.5*N49</f>
        <v>0.43725098629767956</v>
      </c>
      <c r="M65" s="165"/>
      <c r="N65" s="165"/>
      <c r="Q65" s="269">
        <v>3</v>
      </c>
      <c r="R65" s="269">
        <f>0.5*(S65-S64)+0.5*R64</f>
        <v>2494.8149347819999</v>
      </c>
      <c r="S65" s="269">
        <f>0.5*((G19/V49))+0.5*(S64+R64)</f>
        <v>120068.39021009495</v>
      </c>
      <c r="T65" s="269">
        <f>0.5*(G19/S65)+0.5*V49</f>
        <v>1.0680593985909188</v>
      </c>
      <c r="U65" s="267"/>
      <c r="V65" s="267"/>
    </row>
    <row r="66" spans="1:22" x14ac:dyDescent="0.45">
      <c r="A66" s="181">
        <v>4</v>
      </c>
      <c r="B66" s="181">
        <f>0.5*(C66-C65)+0.5*B65</f>
        <v>-3790.9365354608126</v>
      </c>
      <c r="C66" s="181">
        <f>0.5*((E20/F50))+0.5*(B65+C65)</f>
        <v>476554.88943067146</v>
      </c>
      <c r="D66" s="181">
        <f t="shared" si="0"/>
        <v>0.68255250511601928</v>
      </c>
      <c r="E66" s="174"/>
      <c r="F66" s="174"/>
      <c r="I66" s="167">
        <v>4</v>
      </c>
      <c r="J66" s="167">
        <f t="shared" ref="J66" si="3">0.5*(K66-K65)+0.5*J65</f>
        <v>27885.079182643894</v>
      </c>
      <c r="K66" s="167">
        <f>0.5*((F20/N50))+0.5*(K65+J65)</f>
        <v>952284.14194197604</v>
      </c>
      <c r="L66" s="167">
        <f t="shared" si="1"/>
        <v>1.1629164367556202</v>
      </c>
      <c r="M66" s="165"/>
      <c r="N66" s="165"/>
      <c r="Q66" s="269">
        <v>4</v>
      </c>
      <c r="R66" s="269">
        <f t="shared" ref="R66" si="4">0.5*(S66-S65)+0.5*R65</f>
        <v>-4419.4912440776243</v>
      </c>
      <c r="S66" s="269">
        <f t="shared" ref="S66" si="5">0.5*((G20/V50))+0.5*(S65+R65)</f>
        <v>108734.5927871577</v>
      </c>
      <c r="T66" s="269">
        <f t="shared" si="2"/>
        <v>1.4097871994236828</v>
      </c>
      <c r="U66" s="267"/>
      <c r="V66" s="267"/>
    </row>
    <row r="67" spans="1:22" x14ac:dyDescent="0.45">
      <c r="A67" s="174"/>
      <c r="B67" s="174"/>
      <c r="C67" s="174"/>
      <c r="D67" s="174"/>
      <c r="E67" s="174"/>
      <c r="F67" s="174"/>
      <c r="I67" s="165"/>
      <c r="J67" s="165"/>
      <c r="K67" s="165"/>
      <c r="L67" s="165"/>
      <c r="M67" s="165"/>
      <c r="N67" s="165"/>
      <c r="Q67" s="267"/>
      <c r="R67" s="267"/>
      <c r="S67" s="267"/>
      <c r="T67" s="267"/>
      <c r="U67" s="267"/>
      <c r="V67" s="267"/>
    </row>
    <row r="68" spans="1:22" x14ac:dyDescent="0.45">
      <c r="A68" s="181" t="s">
        <v>263</v>
      </c>
      <c r="B68" s="181"/>
      <c r="C68" s="181"/>
      <c r="D68" s="181"/>
      <c r="E68" s="181"/>
      <c r="F68" s="181"/>
      <c r="I68" s="167" t="s">
        <v>263</v>
      </c>
      <c r="J68" s="167"/>
      <c r="K68" s="167"/>
      <c r="L68" s="167"/>
      <c r="M68" s="167"/>
      <c r="N68" s="167"/>
      <c r="Q68" s="269" t="s">
        <v>263</v>
      </c>
      <c r="R68" s="269"/>
      <c r="S68" s="269"/>
      <c r="T68" s="269"/>
      <c r="U68" s="269"/>
      <c r="V68" s="269"/>
    </row>
    <row r="69" spans="1:22" x14ac:dyDescent="0.45">
      <c r="A69" s="181"/>
      <c r="B69" s="181" t="s">
        <v>257</v>
      </c>
      <c r="C69" s="181">
        <v>1</v>
      </c>
      <c r="D69" s="181">
        <v>2</v>
      </c>
      <c r="E69" s="181">
        <v>3</v>
      </c>
      <c r="F69" s="181">
        <v>4</v>
      </c>
      <c r="I69" s="167"/>
      <c r="J69" s="167" t="s">
        <v>257</v>
      </c>
      <c r="K69" s="167">
        <v>1</v>
      </c>
      <c r="L69" s="167">
        <v>2</v>
      </c>
      <c r="M69" s="167">
        <v>3</v>
      </c>
      <c r="N69" s="167">
        <v>4</v>
      </c>
      <c r="Q69" s="269"/>
      <c r="R69" s="269" t="s">
        <v>257</v>
      </c>
      <c r="S69" s="269">
        <v>1</v>
      </c>
      <c r="T69" s="269">
        <v>2</v>
      </c>
      <c r="U69" s="269">
        <v>3</v>
      </c>
      <c r="V69" s="269">
        <v>4</v>
      </c>
    </row>
    <row r="70" spans="1:22" x14ac:dyDescent="0.45">
      <c r="A70" s="181"/>
      <c r="B70" s="181" t="s">
        <v>258</v>
      </c>
      <c r="C70" s="181"/>
      <c r="D70" s="181"/>
      <c r="E70" s="181"/>
      <c r="F70" s="181"/>
      <c r="I70" s="167"/>
      <c r="J70" s="167" t="s">
        <v>258</v>
      </c>
      <c r="K70" s="167"/>
      <c r="L70" s="167"/>
      <c r="M70" s="167"/>
      <c r="N70" s="167"/>
      <c r="Q70" s="269"/>
      <c r="R70" s="269" t="s">
        <v>258</v>
      </c>
      <c r="S70" s="269"/>
      <c r="T70" s="269"/>
      <c r="U70" s="269"/>
      <c r="V70" s="269"/>
    </row>
    <row r="71" spans="1:22" x14ac:dyDescent="0.45">
      <c r="A71" s="181" t="s">
        <v>5</v>
      </c>
      <c r="B71" s="181"/>
      <c r="C71" s="181" t="s">
        <v>264</v>
      </c>
      <c r="D71" s="181" t="s">
        <v>264</v>
      </c>
      <c r="E71" s="181" t="s">
        <v>264</v>
      </c>
      <c r="F71" s="181" t="s">
        <v>264</v>
      </c>
      <c r="I71" s="167" t="s">
        <v>5</v>
      </c>
      <c r="J71" s="167"/>
      <c r="K71" s="167" t="s">
        <v>264</v>
      </c>
      <c r="L71" s="167" t="s">
        <v>264</v>
      </c>
      <c r="M71" s="167" t="s">
        <v>264</v>
      </c>
      <c r="N71" s="167" t="s">
        <v>264</v>
      </c>
      <c r="Q71" s="269" t="s">
        <v>5</v>
      </c>
      <c r="R71" s="269"/>
      <c r="S71" s="269" t="s">
        <v>264</v>
      </c>
      <c r="T71" s="269" t="s">
        <v>264</v>
      </c>
      <c r="U71" s="269" t="s">
        <v>264</v>
      </c>
      <c r="V71" s="269" t="s">
        <v>264</v>
      </c>
    </row>
    <row r="72" spans="1:22" x14ac:dyDescent="0.45">
      <c r="A72" s="181" t="s">
        <v>6</v>
      </c>
      <c r="B72" s="181"/>
      <c r="C72" s="181">
        <f>($C$63+$B$63)*F48</f>
        <v>390435.09669772699</v>
      </c>
      <c r="D72" s="181" t="s">
        <v>264</v>
      </c>
      <c r="E72" s="181" t="s">
        <v>264</v>
      </c>
      <c r="F72" s="181" t="s">
        <v>264</v>
      </c>
      <c r="I72" s="167" t="s">
        <v>6</v>
      </c>
      <c r="J72" s="167"/>
      <c r="K72" s="167">
        <f>($K$63+$J$63)*N48</f>
        <v>1354071.9307646805</v>
      </c>
      <c r="L72" s="167" t="s">
        <v>264</v>
      </c>
      <c r="M72" s="167" t="s">
        <v>264</v>
      </c>
      <c r="N72" s="167" t="s">
        <v>264</v>
      </c>
      <c r="Q72" s="269" t="s">
        <v>6</v>
      </c>
      <c r="R72" s="269"/>
      <c r="S72" s="269">
        <f>($S$63+$R$63)*V48</f>
        <v>71588.431497277357</v>
      </c>
      <c r="T72" s="269" t="s">
        <v>264</v>
      </c>
      <c r="U72" s="269" t="s">
        <v>264</v>
      </c>
      <c r="V72" s="269" t="s">
        <v>264</v>
      </c>
    </row>
    <row r="73" spans="1:22" x14ac:dyDescent="0.45">
      <c r="A73" s="181" t="s">
        <v>7</v>
      </c>
      <c r="B73" s="181"/>
      <c r="C73" s="181">
        <f>($C$63+2*$B$63)*F49</f>
        <v>861337.37607097358</v>
      </c>
      <c r="D73" s="181">
        <f>($C$64+$B$64)*F49</f>
        <v>821626.13669534586</v>
      </c>
      <c r="E73" s="181" t="s">
        <v>264</v>
      </c>
      <c r="F73" s="181" t="s">
        <v>264</v>
      </c>
      <c r="I73" s="167" t="s">
        <v>7</v>
      </c>
      <c r="J73" s="167"/>
      <c r="K73" s="167">
        <f>($K$63+2*$J$63)*N49</f>
        <v>380655.74835769337</v>
      </c>
      <c r="L73" s="167">
        <f>($K$64+$J$64)*N49</f>
        <v>398500.67643777205</v>
      </c>
      <c r="M73" s="167" t="s">
        <v>264</v>
      </c>
      <c r="N73" s="167" t="s">
        <v>264</v>
      </c>
      <c r="Q73" s="269" t="s">
        <v>7</v>
      </c>
      <c r="R73" s="269"/>
      <c r="S73" s="269">
        <f>($S$63+2*$R$63)*V49</f>
        <v>125106.58254499931</v>
      </c>
      <c r="T73" s="269">
        <f>($S$64+$R$64)*V49</f>
        <v>128240.69055029514</v>
      </c>
      <c r="U73" s="269" t="s">
        <v>264</v>
      </c>
      <c r="V73" s="269" t="s">
        <v>264</v>
      </c>
    </row>
    <row r="74" spans="1:22" x14ac:dyDescent="0.45">
      <c r="A74" s="181" t="s">
        <v>8</v>
      </c>
      <c r="B74" s="181"/>
      <c r="C74" s="181">
        <f>($C$63+3*$B$63)*F50</f>
        <v>347872.22889913502</v>
      </c>
      <c r="D74" s="181">
        <f>($C$64+2*$B$64)*F50</f>
        <v>326682.97545259219</v>
      </c>
      <c r="E74" s="181">
        <f>(C65+B65)*F50</f>
        <v>326682.9344247696</v>
      </c>
      <c r="F74" s="181" t="s">
        <v>264</v>
      </c>
      <c r="I74" s="167" t="s">
        <v>8</v>
      </c>
      <c r="J74" s="167"/>
      <c r="K74" s="167">
        <f>($K$63+3*$J$63)*N50</f>
        <v>1000180.8954643408</v>
      </c>
      <c r="L74" s="167">
        <f>($K$64+2*$J$64)*N50</f>
        <v>1062607.855595232</v>
      </c>
      <c r="M74" s="167">
        <f>(K65+J65)*N50</f>
        <v>1062606.5245041836</v>
      </c>
      <c r="N74" s="167" t="s">
        <v>264</v>
      </c>
      <c r="Q74" s="269" t="s">
        <v>8</v>
      </c>
      <c r="R74" s="269"/>
      <c r="S74" s="269">
        <f>($S$63+3*$R$63)*V50</f>
        <v>178631.89318075014</v>
      </c>
      <c r="T74" s="269">
        <f>($S$64+2*$R$64)*V50</f>
        <v>184522.27822505901</v>
      </c>
      <c r="U74" s="269">
        <f>(S65+R65)*V50</f>
        <v>184521.54818352652</v>
      </c>
      <c r="V74" s="269" t="s">
        <v>264</v>
      </c>
    </row>
    <row r="75" spans="1:22" x14ac:dyDescent="0.45">
      <c r="A75" s="181" t="s">
        <v>9</v>
      </c>
      <c r="B75" s="181"/>
      <c r="C75" s="181">
        <f>($C$63+4*$B$63)*D63</f>
        <v>420150.49979636911</v>
      </c>
      <c r="D75" s="181">
        <f>($C$64+3*$B$64)*D63</f>
        <v>388450.1539013646</v>
      </c>
      <c r="E75" s="181">
        <f>(C65+2*B65)*D63</f>
        <v>388450.08842937503</v>
      </c>
      <c r="F75" s="181">
        <f>(C66+B66)*D63</f>
        <v>386763.49183465791</v>
      </c>
      <c r="I75" s="167" t="s">
        <v>9</v>
      </c>
      <c r="J75" s="167"/>
      <c r="K75" s="167">
        <f>($K$63+4*$J$63)*L63</f>
        <v>746445.67806693725</v>
      </c>
      <c r="L75" s="167">
        <f>($K$64+3*$J$64)*L63</f>
        <v>804599.09606361692</v>
      </c>
      <c r="M75" s="167">
        <f>(K65+2*J65)*L63</f>
        <v>804597.77343003766</v>
      </c>
      <c r="N75" s="167">
        <f>(K66+J66)*L63</f>
        <v>837999.45665057481</v>
      </c>
      <c r="Q75" s="269" t="s">
        <v>9</v>
      </c>
      <c r="R75" s="269"/>
      <c r="S75" s="269">
        <f>($S$63+4*$R$63)*T63</f>
        <v>99202.794058555912</v>
      </c>
      <c r="T75" s="269">
        <f>($S$64+3*$R$64)*T63</f>
        <v>103240.19364503668</v>
      </c>
      <c r="U75" s="269">
        <f>(S65+2*R65)*T63</f>
        <v>103239.65989939588</v>
      </c>
      <c r="V75" s="269">
        <f>(S66+R66)*T63</f>
        <v>86115.67333961188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Operation</vt:lpstr>
      <vt:lpstr>Marketing</vt:lpstr>
      <vt:lpstr>Distribution</vt:lpstr>
      <vt:lpstr>Finance</vt:lpstr>
      <vt:lpstr>Margins</vt:lpstr>
      <vt:lpstr>Demand forecast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Flaminia Galeani</dc:creator>
  <cp:lastModifiedBy>Flaminia Galeani</cp:lastModifiedBy>
  <dcterms:created xsi:type="dcterms:W3CDTF">2020-02-26T09:37:41Z</dcterms:created>
  <dcterms:modified xsi:type="dcterms:W3CDTF">2020-05-14T13:48:18Z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cabf2467-9795-4e87-83af-1c64a9a5006f</vt:lpwstr>
  </property>
</Properties>
</file>