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trlProps/ctrlProp2.xml" ContentType="application/vnd.ms-excel.controlproperti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defaultThemeVersion="166925"/>
  <mc:AlternateContent xmlns:mc="http://schemas.openxmlformats.org/markup-compatibility/2006">
    <mc:Choice Requires="x15">
      <x15ac:absPath xmlns:x15ac="http://schemas.microsoft.com/office/spreadsheetml/2010/11/ac" url="C:\Users\anilk\Desktop\MBA2\project_Mindtree\PROJECTS_Anil Sharma\Valuation and Risk Scoring Model\"/>
    </mc:Choice>
  </mc:AlternateContent>
  <xr:revisionPtr revIDLastSave="0" documentId="13_ncr:1_{43B912F8-C51A-4DC8-8D7A-0C78D5FCF86D}" xr6:coauthVersionLast="47" xr6:coauthVersionMax="47" xr10:uidLastSave="{00000000-0000-0000-0000-000000000000}"/>
  <bookViews>
    <workbookView xWindow="-120" yWindow="180" windowWidth="29040" windowHeight="16140" activeTab="6" xr2:uid="{B06F2334-092D-4FDF-B8E1-DC08002B3EE8}"/>
  </bookViews>
  <sheets>
    <sheet name="INPUT" sheetId="6" r:id="rId1"/>
    <sheet name="CASH_FLOW" sheetId="1" r:id="rId2"/>
    <sheet name="REPORTED STATEMENTS" sheetId="3" r:id="rId3"/>
    <sheet name="BALANCE_SHEET" sheetId="4" r:id="rId4"/>
    <sheet name="WEIGHTAGES" sheetId="10" r:id="rId5"/>
    <sheet name="OUTPUT" sheetId="9" r:id="rId6"/>
    <sheet name="RATIO ANALYSIS" sheetId="5" r:id="rId7"/>
    <sheet name="KPI VARIABLES" sheetId="13" r:id="rId8"/>
    <sheet name="REQUIREMENTS KPIS" sheetId="14" r:id="rId9"/>
    <sheet name="VALUATION" sheetId="7" r:id="rId10"/>
    <sheet name="VECTORS" sheetId="11" r:id="rId11"/>
  </sheets>
  <definedNames>
    <definedName name="solver_adj" localSheetId="4" hidden="1">WEIGHTAGES!$F$25:$F$29</definedName>
    <definedName name="solver_cvg" localSheetId="4" hidden="1">0.0001</definedName>
    <definedName name="solver_drv" localSheetId="4" hidden="1">1</definedName>
    <definedName name="solver_eng" localSheetId="4" hidden="1">1</definedName>
    <definedName name="solver_est" localSheetId="4" hidden="1">1</definedName>
    <definedName name="solver_itr" localSheetId="4" hidden="1">2147483647</definedName>
    <definedName name="solver_lhs1" localSheetId="4" hidden="1">WEIGHTAGES!$F$30</definedName>
    <definedName name="solver_lhs2" localSheetId="4" hidden="1">WEIGHTAGES!$F$30</definedName>
    <definedName name="solver_lhs3" localSheetId="4" hidden="1">WEIGHTAGES!$F$30</definedName>
    <definedName name="solver_mip" localSheetId="4" hidden="1">2147483647</definedName>
    <definedName name="solver_mni" localSheetId="4" hidden="1">30</definedName>
    <definedName name="solver_mrt" localSheetId="4" hidden="1">0.075</definedName>
    <definedName name="solver_msl" localSheetId="4" hidden="1">2</definedName>
    <definedName name="solver_neg" localSheetId="4" hidden="1">1</definedName>
    <definedName name="solver_nod" localSheetId="4" hidden="1">2147483647</definedName>
    <definedName name="solver_num" localSheetId="4" hidden="1">1</definedName>
    <definedName name="solver_nwt" localSheetId="4" hidden="1">1</definedName>
    <definedName name="solver_opt" localSheetId="4" hidden="1">WEIGHTAGES!$H$30</definedName>
    <definedName name="solver_pre" localSheetId="4" hidden="1">0.000001</definedName>
    <definedName name="solver_rbv" localSheetId="4" hidden="1">1</definedName>
    <definedName name="solver_rel1" localSheetId="4" hidden="1">2</definedName>
    <definedName name="solver_rel2" localSheetId="4" hidden="1">2</definedName>
    <definedName name="solver_rel3" localSheetId="4" hidden="1">2</definedName>
    <definedName name="solver_rhs1" localSheetId="4" hidden="1">100%</definedName>
    <definedName name="solver_rhs2" localSheetId="4" hidden="1">1</definedName>
    <definedName name="solver_rhs3" localSheetId="4" hidden="1">1</definedName>
    <definedName name="solver_rlx" localSheetId="4" hidden="1">2</definedName>
    <definedName name="solver_rsd" localSheetId="4" hidden="1">0</definedName>
    <definedName name="solver_scl" localSheetId="4" hidden="1">1</definedName>
    <definedName name="solver_sho" localSheetId="4" hidden="1">2</definedName>
    <definedName name="solver_ssz" localSheetId="4" hidden="1">100</definedName>
    <definedName name="solver_tim" localSheetId="4" hidden="1">2147483647</definedName>
    <definedName name="solver_tol" localSheetId="4" hidden="1">0.01</definedName>
    <definedName name="solver_typ" localSheetId="4" hidden="1">3</definedName>
    <definedName name="solver_val" localSheetId="4" hidden="1">40</definedName>
    <definedName name="solver_ver" localSheetId="4"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5" l="1"/>
  <c r="L7" i="9"/>
  <c r="L19" i="9"/>
  <c r="L18" i="9"/>
  <c r="M13" i="6"/>
  <c r="N13" i="6" s="1"/>
  <c r="L26" i="9"/>
  <c r="I17" i="5"/>
  <c r="I16" i="5"/>
  <c r="I15" i="5"/>
  <c r="I18" i="5" s="1"/>
  <c r="I14" i="5"/>
  <c r="I13" i="5"/>
  <c r="H9" i="9"/>
  <c r="D44" i="10"/>
  <c r="H44" i="10" s="1"/>
  <c r="C44" i="10"/>
  <c r="E44" i="10" s="1"/>
  <c r="F48" i="10"/>
  <c r="W42" i="10"/>
  <c r="Y40" i="10"/>
  <c r="Y39" i="10"/>
  <c r="Y38" i="10"/>
  <c r="Y37" i="10"/>
  <c r="Y36" i="10"/>
  <c r="Y35" i="10"/>
  <c r="W32" i="10"/>
  <c r="Y29" i="10"/>
  <c r="Y28" i="10"/>
  <c r="W25" i="10"/>
  <c r="Y23" i="10"/>
  <c r="Y22" i="10"/>
  <c r="Y21" i="10"/>
  <c r="Y25" i="10" s="1"/>
  <c r="D45" i="10" s="1"/>
  <c r="H45" i="10" s="1"/>
  <c r="Y16" i="10"/>
  <c r="Y15" i="10"/>
  <c r="Y14" i="10"/>
  <c r="W11" i="10"/>
  <c r="Y9" i="10"/>
  <c r="Y8" i="10"/>
  <c r="Y7" i="10"/>
  <c r="P42" i="10"/>
  <c r="R40" i="10"/>
  <c r="R39" i="10"/>
  <c r="R38" i="10"/>
  <c r="R37" i="10"/>
  <c r="R36" i="10"/>
  <c r="R35" i="10"/>
  <c r="P32" i="10"/>
  <c r="R29" i="10"/>
  <c r="N29" i="10"/>
  <c r="R28" i="10"/>
  <c r="N28" i="10"/>
  <c r="N27" i="10"/>
  <c r="P25" i="10"/>
  <c r="R23" i="10"/>
  <c r="R22" i="10"/>
  <c r="R21" i="10"/>
  <c r="P18" i="10"/>
  <c r="R16" i="10"/>
  <c r="R15" i="10"/>
  <c r="R14" i="10"/>
  <c r="R18" i="10" s="1"/>
  <c r="D26" i="10" s="1"/>
  <c r="P11" i="10"/>
  <c r="N9" i="10"/>
  <c r="N8" i="10"/>
  <c r="N7" i="10"/>
  <c r="R32" i="10" l="1"/>
  <c r="D28" i="10" s="1"/>
  <c r="R42" i="10"/>
  <c r="D29" i="10" s="1"/>
  <c r="Y32" i="10"/>
  <c r="D46" i="10" s="1"/>
  <c r="H46" i="10" s="1"/>
  <c r="R25" i="10"/>
  <c r="D27" i="10" s="1"/>
  <c r="Y42" i="10"/>
  <c r="D47" i="10" s="1"/>
  <c r="H47" i="10" s="1"/>
  <c r="Y11" i="10"/>
  <c r="D43" i="10" s="1"/>
  <c r="H43" i="10" s="1"/>
  <c r="G44" i="10"/>
  <c r="D48" i="10" l="1"/>
  <c r="H48" i="10"/>
  <c r="G9" i="14" l="1"/>
  <c r="C19" i="14"/>
  <c r="C9" i="14"/>
  <c r="K55" i="14"/>
  <c r="O46" i="14"/>
  <c r="K46" i="14"/>
  <c r="O40" i="14"/>
  <c r="K36" i="14"/>
  <c r="G36" i="14"/>
  <c r="O26" i="14"/>
  <c r="K26" i="14"/>
  <c r="G26" i="14"/>
  <c r="C26" i="14"/>
  <c r="W19" i="14"/>
  <c r="O19" i="14"/>
  <c r="G19" i="14"/>
  <c r="S15" i="14"/>
  <c r="K15" i="14"/>
  <c r="B15" i="14"/>
  <c r="W5" i="14"/>
  <c r="S5" i="14"/>
  <c r="O5" i="14"/>
  <c r="K5" i="14"/>
  <c r="F5" i="14"/>
  <c r="B5" i="14"/>
  <c r="C31" i="6"/>
  <c r="C32" i="6"/>
  <c r="C30" i="6"/>
  <c r="C27" i="6"/>
  <c r="C28" i="6"/>
  <c r="C26" i="6"/>
  <c r="L6" i="6"/>
  <c r="L7" i="6"/>
  <c r="L8" i="6"/>
  <c r="L9" i="6"/>
  <c r="L10" i="6"/>
  <c r="L11" i="6"/>
  <c r="M5" i="6"/>
  <c r="L5" i="6"/>
  <c r="D24" i="9"/>
  <c r="D25" i="9"/>
  <c r="D23" i="9"/>
  <c r="E25" i="9"/>
  <c r="E24" i="9"/>
  <c r="F13" i="5"/>
  <c r="F12" i="5"/>
  <c r="E7" i="9"/>
  <c r="O40" i="13" l="1"/>
  <c r="H29" i="10" s="1"/>
  <c r="K55" i="13"/>
  <c r="O46" i="13"/>
  <c r="K46" i="13"/>
  <c r="K36" i="13"/>
  <c r="O26" i="13"/>
  <c r="K26" i="13"/>
  <c r="G36" i="13"/>
  <c r="H28" i="10" s="1"/>
  <c r="G26" i="13"/>
  <c r="C26" i="13"/>
  <c r="F30" i="10"/>
  <c r="G19" i="13"/>
  <c r="O19" i="13"/>
  <c r="H26" i="10" s="1"/>
  <c r="W19" i="13"/>
  <c r="H27" i="10" s="1"/>
  <c r="S15" i="13"/>
  <c r="W5" i="13"/>
  <c r="S5" i="13"/>
  <c r="K15" i="13"/>
  <c r="O5" i="13"/>
  <c r="K5" i="13"/>
  <c r="C15" i="13"/>
  <c r="C5" i="13"/>
  <c r="G5" i="13"/>
  <c r="F5" i="13"/>
  <c r="B15" i="13"/>
  <c r="B5" i="13"/>
  <c r="G5" i="10" l="1"/>
  <c r="G14" i="10"/>
  <c r="C13" i="10"/>
  <c r="C5" i="10"/>
  <c r="G8" i="10"/>
  <c r="B13" i="10"/>
  <c r="F5" i="10"/>
  <c r="I5" i="10"/>
  <c r="C8" i="10"/>
  <c r="F8" i="10"/>
  <c r="I8" i="10"/>
  <c r="C9" i="10"/>
  <c r="F9" i="10"/>
  <c r="G9" i="10"/>
  <c r="I9" i="10"/>
  <c r="C10" i="10"/>
  <c r="F10" i="10"/>
  <c r="G10" i="10"/>
  <c r="I10" i="10"/>
  <c r="I11" i="10"/>
  <c r="F14" i="10"/>
  <c r="I12" i="10"/>
  <c r="I13" i="10"/>
  <c r="C16" i="10"/>
  <c r="F16" i="10"/>
  <c r="G16" i="10"/>
  <c r="C17" i="10"/>
  <c r="F17" i="10"/>
  <c r="G17" i="10"/>
  <c r="C18" i="10"/>
  <c r="B8" i="10"/>
  <c r="B9" i="10"/>
  <c r="B10" i="10"/>
  <c r="B16" i="10"/>
  <c r="B17" i="10"/>
  <c r="B18" i="10"/>
  <c r="B5" i="10"/>
  <c r="L5" i="9"/>
  <c r="L6" i="9"/>
  <c r="L8" i="9"/>
  <c r="O51" i="14"/>
  <c r="O52" i="14" s="1"/>
  <c r="X39" i="10" s="1"/>
  <c r="Z39" i="10" s="1"/>
  <c r="L17" i="9"/>
  <c r="L16" i="9"/>
  <c r="B6" i="11"/>
  <c r="B7" i="11"/>
  <c r="B8" i="11"/>
  <c r="B9" i="11"/>
  <c r="B10" i="11"/>
  <c r="B11" i="11"/>
  <c r="B12" i="11"/>
  <c r="B13" i="11"/>
  <c r="B14" i="11"/>
  <c r="B15" i="11"/>
  <c r="B16" i="11"/>
  <c r="B17" i="11"/>
  <c r="B18" i="11"/>
  <c r="B19" i="11"/>
  <c r="B20" i="11"/>
  <c r="B21" i="11"/>
  <c r="B22" i="11"/>
  <c r="B5" i="11"/>
  <c r="C5" i="11"/>
  <c r="C6" i="11"/>
  <c r="C22" i="11"/>
  <c r="C8" i="11"/>
  <c r="C9" i="11"/>
  <c r="C10" i="11"/>
  <c r="C11" i="11"/>
  <c r="C12" i="11"/>
  <c r="C13" i="11"/>
  <c r="C14" i="11"/>
  <c r="C15" i="11"/>
  <c r="C16" i="11"/>
  <c r="C17" i="11"/>
  <c r="C18" i="11"/>
  <c r="C19" i="11"/>
  <c r="C20" i="11"/>
  <c r="C21" i="11"/>
  <c r="C7" i="11"/>
  <c r="R12" i="11"/>
  <c r="S12" i="11"/>
  <c r="R13" i="11"/>
  <c r="S13" i="11"/>
  <c r="R14" i="11"/>
  <c r="S14" i="11"/>
  <c r="R15" i="11"/>
  <c r="S15" i="11"/>
  <c r="R16" i="11"/>
  <c r="S16" i="11"/>
  <c r="R17" i="11"/>
  <c r="S17" i="11"/>
  <c r="R18" i="11"/>
  <c r="S18" i="11"/>
  <c r="R19" i="11"/>
  <c r="S19" i="11"/>
  <c r="R20" i="11"/>
  <c r="S20" i="11"/>
  <c r="R21" i="11"/>
  <c r="S21" i="11"/>
  <c r="R22" i="11"/>
  <c r="S22" i="11"/>
  <c r="R5" i="11"/>
  <c r="S5" i="11"/>
  <c r="R6" i="11"/>
  <c r="S6" i="11"/>
  <c r="R7" i="11"/>
  <c r="S7" i="11"/>
  <c r="R8" i="11"/>
  <c r="S8" i="11"/>
  <c r="R9" i="11"/>
  <c r="S9" i="11"/>
  <c r="R10" i="11"/>
  <c r="S10" i="11"/>
  <c r="R11" i="11"/>
  <c r="S11" i="11"/>
  <c r="S4" i="11"/>
  <c r="Q5" i="11"/>
  <c r="Q6" i="11"/>
  <c r="Q7" i="11"/>
  <c r="Q8" i="11"/>
  <c r="Q9" i="11"/>
  <c r="Q10" i="11"/>
  <c r="Q11" i="11"/>
  <c r="Q12" i="11"/>
  <c r="Q13" i="11"/>
  <c r="Q14" i="11"/>
  <c r="Q15" i="11"/>
  <c r="R4" i="11"/>
  <c r="F4" i="11"/>
  <c r="G4" i="11"/>
  <c r="H4" i="11"/>
  <c r="I4" i="11"/>
  <c r="J4" i="11"/>
  <c r="K4" i="11"/>
  <c r="L4" i="11"/>
  <c r="M4" i="11"/>
  <c r="N4" i="11"/>
  <c r="O4" i="11"/>
  <c r="P4" i="11"/>
  <c r="Q4" i="11"/>
  <c r="E4" i="11"/>
  <c r="D6" i="11"/>
  <c r="E6" i="11"/>
  <c r="F6" i="11"/>
  <c r="G6" i="11"/>
  <c r="H6" i="11"/>
  <c r="I6" i="11"/>
  <c r="J6" i="11"/>
  <c r="K6" i="11"/>
  <c r="L6" i="11"/>
  <c r="M6" i="11"/>
  <c r="N6" i="11"/>
  <c r="O6" i="11"/>
  <c r="P6" i="11"/>
  <c r="D7" i="11"/>
  <c r="E7" i="11"/>
  <c r="F7" i="11"/>
  <c r="G7" i="11"/>
  <c r="H7" i="11"/>
  <c r="I7" i="11"/>
  <c r="J7" i="11"/>
  <c r="K7" i="11"/>
  <c r="L7" i="11"/>
  <c r="M7" i="11"/>
  <c r="N7" i="11"/>
  <c r="O7" i="11"/>
  <c r="P7" i="11"/>
  <c r="D8" i="11"/>
  <c r="E8" i="11"/>
  <c r="F8" i="11"/>
  <c r="G8" i="11"/>
  <c r="H8" i="11"/>
  <c r="I8" i="11"/>
  <c r="J8" i="11"/>
  <c r="K8" i="11"/>
  <c r="L8" i="11"/>
  <c r="M8" i="11"/>
  <c r="N8" i="11"/>
  <c r="O8" i="11"/>
  <c r="P8" i="11"/>
  <c r="D9" i="11"/>
  <c r="E9" i="11"/>
  <c r="F9" i="11"/>
  <c r="G9" i="11"/>
  <c r="H9" i="11"/>
  <c r="I9" i="11"/>
  <c r="J9" i="11"/>
  <c r="K9" i="11"/>
  <c r="L9" i="11"/>
  <c r="M9" i="11"/>
  <c r="N9" i="11"/>
  <c r="O9" i="11"/>
  <c r="P9" i="11"/>
  <c r="D10" i="11"/>
  <c r="E10" i="11"/>
  <c r="F10" i="11"/>
  <c r="G10" i="11"/>
  <c r="H10" i="11"/>
  <c r="I10" i="11"/>
  <c r="J10" i="11"/>
  <c r="K10" i="11"/>
  <c r="L10" i="11"/>
  <c r="M10" i="11"/>
  <c r="N10" i="11"/>
  <c r="O10" i="11"/>
  <c r="P10" i="11"/>
  <c r="D11" i="11"/>
  <c r="E11" i="11"/>
  <c r="F11" i="11"/>
  <c r="G11" i="11"/>
  <c r="H11" i="11"/>
  <c r="I11" i="11"/>
  <c r="J11" i="11"/>
  <c r="K11" i="11"/>
  <c r="L11" i="11"/>
  <c r="M11" i="11"/>
  <c r="N11" i="11"/>
  <c r="O11" i="11"/>
  <c r="P11" i="11"/>
  <c r="D12" i="11"/>
  <c r="E12" i="11"/>
  <c r="F12" i="11"/>
  <c r="G12" i="11"/>
  <c r="H12" i="11"/>
  <c r="I12" i="11"/>
  <c r="J12" i="11"/>
  <c r="K12" i="11"/>
  <c r="L12" i="11"/>
  <c r="M12" i="11"/>
  <c r="N12" i="11"/>
  <c r="O12" i="11"/>
  <c r="P12" i="11"/>
  <c r="D13" i="11"/>
  <c r="E13" i="11"/>
  <c r="F13" i="11"/>
  <c r="G13" i="11"/>
  <c r="H13" i="11"/>
  <c r="I13" i="11"/>
  <c r="J13" i="11"/>
  <c r="K13" i="11"/>
  <c r="L13" i="11"/>
  <c r="M13" i="11"/>
  <c r="N13" i="11"/>
  <c r="O13" i="11"/>
  <c r="P13" i="11"/>
  <c r="D14" i="11"/>
  <c r="E14" i="11"/>
  <c r="F14" i="11"/>
  <c r="G14" i="11"/>
  <c r="H14" i="11"/>
  <c r="I14" i="11"/>
  <c r="J14" i="11"/>
  <c r="K14" i="11"/>
  <c r="L14" i="11"/>
  <c r="M14" i="11"/>
  <c r="N14" i="11"/>
  <c r="O14" i="11"/>
  <c r="P14" i="11"/>
  <c r="D15" i="11"/>
  <c r="E15" i="11"/>
  <c r="F15" i="11"/>
  <c r="G15" i="11"/>
  <c r="H15" i="11"/>
  <c r="I15" i="11"/>
  <c r="J15" i="11"/>
  <c r="K15" i="11"/>
  <c r="L15" i="11"/>
  <c r="M15" i="11"/>
  <c r="N15" i="11"/>
  <c r="O15" i="11"/>
  <c r="P15" i="11"/>
  <c r="D16" i="11"/>
  <c r="E16" i="11"/>
  <c r="F16" i="11"/>
  <c r="G16" i="11"/>
  <c r="H16" i="11"/>
  <c r="I16" i="11"/>
  <c r="J16" i="11"/>
  <c r="K16" i="11"/>
  <c r="L16" i="11"/>
  <c r="M16" i="11"/>
  <c r="N16" i="11"/>
  <c r="O16" i="11"/>
  <c r="P16" i="11"/>
  <c r="Q16" i="11"/>
  <c r="D17" i="11"/>
  <c r="E17" i="11"/>
  <c r="F17" i="11"/>
  <c r="G17" i="11"/>
  <c r="H17" i="11"/>
  <c r="I17" i="11"/>
  <c r="J17" i="11"/>
  <c r="K17" i="11"/>
  <c r="L17" i="11"/>
  <c r="M17" i="11"/>
  <c r="N17" i="11"/>
  <c r="O17" i="11"/>
  <c r="P17" i="11"/>
  <c r="Q17" i="11"/>
  <c r="D18" i="11"/>
  <c r="E18" i="11"/>
  <c r="F18" i="11"/>
  <c r="G18" i="11"/>
  <c r="H18" i="11"/>
  <c r="I18" i="11"/>
  <c r="J18" i="11"/>
  <c r="K18" i="11"/>
  <c r="L18" i="11"/>
  <c r="M18" i="11"/>
  <c r="N18" i="11"/>
  <c r="O18" i="11"/>
  <c r="P18" i="11"/>
  <c r="Q18" i="11"/>
  <c r="D19" i="11"/>
  <c r="E19" i="11"/>
  <c r="F19" i="11"/>
  <c r="G19" i="11"/>
  <c r="H19" i="11"/>
  <c r="I19" i="11"/>
  <c r="J19" i="11"/>
  <c r="K19" i="11"/>
  <c r="L19" i="11"/>
  <c r="M19" i="11"/>
  <c r="N19" i="11"/>
  <c r="O19" i="11"/>
  <c r="P19" i="11"/>
  <c r="Q19" i="11"/>
  <c r="D20" i="11"/>
  <c r="E20" i="11"/>
  <c r="F20" i="11"/>
  <c r="G20" i="11"/>
  <c r="H20" i="11"/>
  <c r="I20" i="11"/>
  <c r="J20" i="11"/>
  <c r="K20" i="11"/>
  <c r="L20" i="11"/>
  <c r="M20" i="11"/>
  <c r="N20" i="11"/>
  <c r="O20" i="11"/>
  <c r="P20" i="11"/>
  <c r="Q20" i="11"/>
  <c r="D21" i="11"/>
  <c r="E21" i="11"/>
  <c r="F21" i="11"/>
  <c r="G21" i="11"/>
  <c r="H21" i="11"/>
  <c r="I21" i="11"/>
  <c r="J21" i="11"/>
  <c r="K21" i="11"/>
  <c r="L21" i="11"/>
  <c r="M21" i="11"/>
  <c r="N21" i="11"/>
  <c r="O21" i="11"/>
  <c r="P21" i="11"/>
  <c r="Q21" i="11"/>
  <c r="D22" i="11"/>
  <c r="E22" i="11"/>
  <c r="F22" i="11"/>
  <c r="G22" i="11"/>
  <c r="H22" i="11"/>
  <c r="I22" i="11"/>
  <c r="J22" i="11"/>
  <c r="K22" i="11"/>
  <c r="L22" i="11"/>
  <c r="M22" i="11"/>
  <c r="N22" i="11"/>
  <c r="O22" i="11"/>
  <c r="P22" i="11"/>
  <c r="Q22" i="11"/>
  <c r="E5" i="11"/>
  <c r="F5" i="11"/>
  <c r="G5" i="11"/>
  <c r="H5" i="11"/>
  <c r="I5" i="11"/>
  <c r="J5" i="11"/>
  <c r="K5" i="11"/>
  <c r="L5" i="11"/>
  <c r="M5" i="11"/>
  <c r="N5" i="11"/>
  <c r="O5" i="11"/>
  <c r="P5" i="11"/>
  <c r="D5" i="11"/>
  <c r="H21" i="9"/>
  <c r="C10" i="13" l="1"/>
  <c r="C32" i="13" s="1"/>
  <c r="Q28" i="10" s="1"/>
  <c r="C8" i="14"/>
  <c r="C10" i="14"/>
  <c r="C32" i="14" s="1"/>
  <c r="X28" i="10" s="1"/>
  <c r="K10" i="13"/>
  <c r="S11" i="13" s="1"/>
  <c r="Q21" i="10" s="1"/>
  <c r="K10" i="14"/>
  <c r="G10" i="13"/>
  <c r="G8" i="14"/>
  <c r="G10" i="14"/>
  <c r="G32" i="14" s="1"/>
  <c r="O10" i="13"/>
  <c r="O10" i="14"/>
  <c r="K20" i="13"/>
  <c r="W11" i="13" s="1"/>
  <c r="Q22" i="10" s="1"/>
  <c r="S22" i="10" s="1"/>
  <c r="K20" i="14"/>
  <c r="B4" i="13"/>
  <c r="N6" i="10" s="1"/>
  <c r="B4" i="14"/>
  <c r="S10" i="13"/>
  <c r="S10" i="14"/>
  <c r="C20" i="13"/>
  <c r="C21" i="13" s="1"/>
  <c r="C18" i="14"/>
  <c r="C20" i="14"/>
  <c r="S20" i="13"/>
  <c r="S20" i="14"/>
  <c r="W10" i="13"/>
  <c r="W10" i="14"/>
  <c r="I9" i="5"/>
  <c r="K60" i="14" s="1"/>
  <c r="K61" i="14" s="1"/>
  <c r="X40" i="10" s="1"/>
  <c r="Z40" i="10" s="1"/>
  <c r="O51" i="13"/>
  <c r="O52" i="13" s="1"/>
  <c r="Q39" i="10" s="1"/>
  <c r="S39" i="10" s="1"/>
  <c r="J12" i="10"/>
  <c r="I12" i="6" s="1"/>
  <c r="C11" i="13"/>
  <c r="G11" i="13"/>
  <c r="G32" i="13"/>
  <c r="Q29" i="10" s="1"/>
  <c r="S29" i="10" s="1"/>
  <c r="S21" i="13"/>
  <c r="Q23" i="10" s="1"/>
  <c r="S23" i="10" s="1"/>
  <c r="O11" i="13"/>
  <c r="Q16" i="10" s="1"/>
  <c r="S16" i="10" s="1"/>
  <c r="K21" i="13"/>
  <c r="Q15" i="10" s="1"/>
  <c r="S15" i="10" s="1"/>
  <c r="G18" i="10"/>
  <c r="C19" i="10"/>
  <c r="G11" i="10"/>
  <c r="C11" i="10"/>
  <c r="D21" i="9"/>
  <c r="D17" i="9"/>
  <c r="D19" i="9"/>
  <c r="D20" i="9"/>
  <c r="D18" i="9"/>
  <c r="D15" i="9"/>
  <c r="D16" i="9"/>
  <c r="D14" i="9"/>
  <c r="E6" i="9"/>
  <c r="L14" i="9" s="1"/>
  <c r="E4" i="9"/>
  <c r="E8" i="9" s="1"/>
  <c r="G35" i="14" l="1"/>
  <c r="G37" i="14" s="1"/>
  <c r="X29" i="10"/>
  <c r="Z29" i="10" s="1"/>
  <c r="Z28" i="10"/>
  <c r="S21" i="10"/>
  <c r="Q25" i="10"/>
  <c r="Q32" i="10"/>
  <c r="S28" i="10"/>
  <c r="Q7" i="10"/>
  <c r="R7" i="10"/>
  <c r="W11" i="14"/>
  <c r="X22" i="10" s="1"/>
  <c r="Z22" i="10" s="1"/>
  <c r="K21" i="14"/>
  <c r="X15" i="10" s="1"/>
  <c r="Z15" i="10" s="1"/>
  <c r="O11" i="14"/>
  <c r="X16" i="10" s="1"/>
  <c r="Z16" i="10" s="1"/>
  <c r="S21" i="14"/>
  <c r="X23" i="10" s="1"/>
  <c r="Z23" i="10" s="1"/>
  <c r="G11" i="14"/>
  <c r="X8" i="10" s="1"/>
  <c r="Z8" i="10" s="1"/>
  <c r="G5" i="14"/>
  <c r="S11" i="14"/>
  <c r="X21" i="10" s="1"/>
  <c r="K11" i="14"/>
  <c r="K11" i="13"/>
  <c r="Q14" i="10" s="1"/>
  <c r="Q8" i="10"/>
  <c r="R8" i="10"/>
  <c r="C21" i="14"/>
  <c r="X9" i="10" s="1"/>
  <c r="Z9" i="10" s="1"/>
  <c r="C15" i="14"/>
  <c r="C5" i="14"/>
  <c r="C11" i="14"/>
  <c r="X7" i="10" s="1"/>
  <c r="R9" i="10"/>
  <c r="Q9" i="10"/>
  <c r="S9" i="10" s="1"/>
  <c r="L20" i="9"/>
  <c r="K60" i="13"/>
  <c r="K61" i="13" s="1"/>
  <c r="Q40" i="10" s="1"/>
  <c r="S40" i="10" s="1"/>
  <c r="J13" i="10"/>
  <c r="I10" i="6" s="1"/>
  <c r="W18" i="13"/>
  <c r="W20" i="13" s="1"/>
  <c r="G18" i="13"/>
  <c r="G20" i="13" s="1"/>
  <c r="G35" i="13"/>
  <c r="L7" i="7"/>
  <c r="L11" i="7" s="1"/>
  <c r="M7" i="7"/>
  <c r="N7" i="7"/>
  <c r="O7" i="7"/>
  <c r="K7" i="7"/>
  <c r="O5" i="7"/>
  <c r="N5" i="7"/>
  <c r="M5" i="7"/>
  <c r="L5" i="7"/>
  <c r="K5" i="7"/>
  <c r="M11" i="7"/>
  <c r="N11" i="7"/>
  <c r="O11" i="7"/>
  <c r="K11" i="7"/>
  <c r="K6" i="7"/>
  <c r="D2" i="7"/>
  <c r="L6" i="7"/>
  <c r="M6" i="7"/>
  <c r="N6" i="7"/>
  <c r="O6" i="7"/>
  <c r="C12" i="7"/>
  <c r="D12" i="7"/>
  <c r="E12" i="7"/>
  <c r="F12" i="7"/>
  <c r="G12" i="7"/>
  <c r="D13" i="7"/>
  <c r="E13" i="7"/>
  <c r="F13" i="7"/>
  <c r="G13" i="7"/>
  <c r="C13" i="7"/>
  <c r="E14" i="7"/>
  <c r="F14" i="7"/>
  <c r="G14" i="7"/>
  <c r="D11" i="7"/>
  <c r="E11" i="7"/>
  <c r="F11" i="7"/>
  <c r="G11" i="7"/>
  <c r="C11" i="7"/>
  <c r="C9" i="7"/>
  <c r="D9" i="7"/>
  <c r="E9" i="7"/>
  <c r="F9" i="7"/>
  <c r="G9" i="7"/>
  <c r="D7" i="7"/>
  <c r="E7" i="7"/>
  <c r="F7" i="7"/>
  <c r="G7" i="7"/>
  <c r="C7" i="7"/>
  <c r="D6" i="7"/>
  <c r="D8" i="7" s="1"/>
  <c r="D10" i="7" s="1"/>
  <c r="E6" i="7"/>
  <c r="E8" i="7" s="1"/>
  <c r="E10" i="7" s="1"/>
  <c r="F6" i="7"/>
  <c r="F8" i="7" s="1"/>
  <c r="F10" i="7" s="1"/>
  <c r="G6" i="7"/>
  <c r="G8" i="7" s="1"/>
  <c r="G10" i="7" s="1"/>
  <c r="C6" i="7"/>
  <c r="C8" i="7" s="1"/>
  <c r="C10" i="7" s="1"/>
  <c r="D5" i="7"/>
  <c r="E5" i="7"/>
  <c r="F5" i="7"/>
  <c r="G5" i="7"/>
  <c r="C5" i="7"/>
  <c r="I6" i="5"/>
  <c r="K41" i="14" s="1"/>
  <c r="K42" i="14" s="1"/>
  <c r="I4" i="5"/>
  <c r="K31" i="14" s="1"/>
  <c r="K32" i="14" s="1"/>
  <c r="X35" i="10" s="1"/>
  <c r="F11" i="5"/>
  <c r="E23" i="9" s="1"/>
  <c r="G31" i="14" s="1"/>
  <c r="F10" i="5"/>
  <c r="E21" i="9" s="1"/>
  <c r="C4" i="5"/>
  <c r="E14" i="9" s="1"/>
  <c r="F5" i="5"/>
  <c r="F4" i="5"/>
  <c r="E17" i="9" s="1"/>
  <c r="C12" i="5"/>
  <c r="E20" i="9" s="1"/>
  <c r="C11" i="5"/>
  <c r="E19" i="9" s="1"/>
  <c r="C10" i="5"/>
  <c r="E18" i="9" s="1"/>
  <c r="C6" i="5"/>
  <c r="E16" i="9" s="1"/>
  <c r="C5" i="5"/>
  <c r="E15" i="9" s="1"/>
  <c r="F6" i="5"/>
  <c r="X32" i="10" l="1"/>
  <c r="R11" i="10"/>
  <c r="D25" i="10" s="1"/>
  <c r="Z32" i="10"/>
  <c r="C46" i="10"/>
  <c r="X37" i="10"/>
  <c r="Z37" i="10" s="1"/>
  <c r="Z35" i="10"/>
  <c r="Z7" i="10"/>
  <c r="X11" i="10"/>
  <c r="S25" i="10"/>
  <c r="C27" i="10"/>
  <c r="H25" i="10"/>
  <c r="H30" i="10" s="1"/>
  <c r="D30" i="10"/>
  <c r="S8" i="10"/>
  <c r="S32" i="10"/>
  <c r="C28" i="10"/>
  <c r="O18" i="14"/>
  <c r="O20" i="14" s="1"/>
  <c r="X14" i="10"/>
  <c r="Z14" i="10" s="1"/>
  <c r="X25" i="10"/>
  <c r="Z21" i="10"/>
  <c r="W18" i="14"/>
  <c r="W20" i="14" s="1"/>
  <c r="O18" i="13"/>
  <c r="O20" i="13" s="1"/>
  <c r="S7" i="10"/>
  <c r="Q11" i="10"/>
  <c r="G18" i="14"/>
  <c r="G20" i="14" s="1"/>
  <c r="Q18" i="10"/>
  <c r="S14" i="10"/>
  <c r="E27" i="10"/>
  <c r="K41" i="13"/>
  <c r="K42" i="13" s="1"/>
  <c r="Q37" i="10" s="1"/>
  <c r="S37" i="10" s="1"/>
  <c r="J10" i="10"/>
  <c r="I7" i="6" s="1"/>
  <c r="K31" i="13"/>
  <c r="K32" i="13" s="1"/>
  <c r="Q35" i="10" s="1"/>
  <c r="J8" i="10"/>
  <c r="I8" i="6" s="1"/>
  <c r="G37" i="13"/>
  <c r="I7" i="5"/>
  <c r="K51" i="14" s="1"/>
  <c r="K52" i="14" s="1"/>
  <c r="X38" i="10" s="1"/>
  <c r="Z38" i="10" s="1"/>
  <c r="L22" i="9"/>
  <c r="L25" i="9" s="1"/>
  <c r="I14" i="6" s="1"/>
  <c r="I5" i="5"/>
  <c r="O31" i="14" s="1"/>
  <c r="O32" i="14" s="1"/>
  <c r="X36" i="10" s="1"/>
  <c r="Z36" i="10" s="1"/>
  <c r="L23" i="9"/>
  <c r="D14" i="7"/>
  <c r="C14" i="7"/>
  <c r="G46" i="10" l="1"/>
  <c r="E46" i="10"/>
  <c r="Z25" i="10"/>
  <c r="C45" i="10"/>
  <c r="S35" i="10"/>
  <c r="X42" i="10"/>
  <c r="O39" i="14"/>
  <c r="O41" i="14" s="1"/>
  <c r="Z11" i="10"/>
  <c r="C43" i="10"/>
  <c r="S18" i="10"/>
  <c r="C26" i="10"/>
  <c r="G26" i="10" s="1"/>
  <c r="S11" i="10"/>
  <c r="C25" i="10"/>
  <c r="G27" i="10"/>
  <c r="I16" i="9" s="1"/>
  <c r="N8" i="6" s="1"/>
  <c r="L15" i="9"/>
  <c r="K51" i="13"/>
  <c r="J11" i="10"/>
  <c r="I6" i="6" s="1"/>
  <c r="O31" i="13"/>
  <c r="O32" i="13" s="1"/>
  <c r="J9" i="10"/>
  <c r="E28" i="10"/>
  <c r="G28" i="10"/>
  <c r="I17" i="9" s="1"/>
  <c r="N9" i="6" s="1"/>
  <c r="K52" i="13" l="1"/>
  <c r="Q38" i="10" s="1"/>
  <c r="S38" i="10" s="1"/>
  <c r="E26" i="10"/>
  <c r="G45" i="10"/>
  <c r="E45" i="10"/>
  <c r="J5" i="10"/>
  <c r="I9" i="6"/>
  <c r="O39" i="13"/>
  <c r="O41" i="13" s="1"/>
  <c r="Q36" i="10"/>
  <c r="J14" i="10"/>
  <c r="Z42" i="10"/>
  <c r="C47" i="10"/>
  <c r="B41" i="10" s="1"/>
  <c r="E43" i="10"/>
  <c r="G43" i="10"/>
  <c r="E25" i="10"/>
  <c r="G25" i="10"/>
  <c r="H17" i="9"/>
  <c r="M9" i="6" s="1"/>
  <c r="H16" i="9"/>
  <c r="M8" i="6" s="1"/>
  <c r="H15" i="9"/>
  <c r="M7" i="6" s="1"/>
  <c r="I15" i="9"/>
  <c r="N7" i="6" s="1"/>
  <c r="C48" i="10" l="1"/>
  <c r="E48" i="10" s="1"/>
  <c r="G47" i="10"/>
  <c r="G48" i="10" s="1"/>
  <c r="H49" i="10" s="1"/>
  <c r="E47" i="10"/>
  <c r="S36" i="10"/>
  <c r="Q42" i="10"/>
  <c r="I14" i="9"/>
  <c r="N6" i="6" s="1"/>
  <c r="H14" i="9"/>
  <c r="M6" i="6" s="1"/>
  <c r="F56" i="10" l="1"/>
  <c r="F54" i="10"/>
  <c r="F53" i="10"/>
  <c r="H26" i="9"/>
  <c r="M16" i="6" s="1"/>
  <c r="F52" i="10"/>
  <c r="F55" i="10"/>
  <c r="S42" i="10"/>
  <c r="C29" i="10"/>
  <c r="G52" i="10" l="1"/>
  <c r="G53" i="10" s="1"/>
  <c r="N16" i="6" s="1"/>
  <c r="I26" i="9"/>
  <c r="B23" i="10"/>
  <c r="E29" i="10"/>
  <c r="G29" i="10"/>
  <c r="C30" i="10"/>
  <c r="E30" i="10" s="1"/>
  <c r="H27" i="9" l="1"/>
  <c r="I27" i="9" s="1"/>
  <c r="H7" i="9" s="1"/>
  <c r="H18" i="9"/>
  <c r="I18" i="9"/>
  <c r="N10" i="6" s="1"/>
  <c r="G30" i="10"/>
  <c r="H31" i="10" s="1"/>
  <c r="F35" i="10" l="1"/>
  <c r="F34" i="10"/>
  <c r="F37" i="10"/>
  <c r="I19" i="9"/>
  <c r="F38" i="10"/>
  <c r="F36" i="10"/>
  <c r="H19" i="9"/>
  <c r="M11" i="6" s="1"/>
  <c r="M10" i="6"/>
  <c r="N11" i="6" l="1"/>
  <c r="H23" i="9"/>
  <c r="G34" i="10"/>
  <c r="I23" i="9" l="1"/>
  <c r="M15" i="6"/>
  <c r="G35" i="10"/>
  <c r="H24" i="9" s="1"/>
  <c r="H6" i="9" s="1"/>
  <c r="H4" i="9" s="1"/>
  <c r="I24" i="9" l="1"/>
  <c r="N1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ANIL SHARMA</author>
  </authors>
  <commentList>
    <comment ref="C24" authorId="0" shapeId="0" xr:uid="{4FA7D55B-46CA-47B7-BF87-CBEF01662599}">
      <text>
        <r>
          <rPr>
            <b/>
            <sz val="9"/>
            <color indexed="81"/>
            <rFont val="Tahoma"/>
            <family val="2"/>
          </rPr>
          <t>ANIL SHARMA:</t>
        </r>
        <r>
          <rPr>
            <sz val="9"/>
            <color indexed="81"/>
            <rFont val="Tahoma"/>
            <family val="2"/>
          </rPr>
          <t xml:space="preserve">
ENTER YOUR REQUIREMENTS AFTER SELECTING </t>
        </r>
        <r>
          <rPr>
            <b/>
            <sz val="9"/>
            <color indexed="81"/>
            <rFont val="Tahoma"/>
            <family val="2"/>
          </rPr>
          <t xml:space="preserve">"YES" </t>
        </r>
      </text>
    </comment>
  </commentList>
</comments>
</file>

<file path=xl/sharedStrings.xml><?xml version="1.0" encoding="utf-8"?>
<sst xmlns="http://schemas.openxmlformats.org/spreadsheetml/2006/main" count="1009" uniqueCount="424">
  <si>
    <t>Year</t>
  </si>
  <si>
    <t>Cash Flow Summary</t>
  </si>
  <si>
    <t>Cash and Cash Equivalents at Beginning of the year</t>
  </si>
  <si>
    <t xml:space="preserve"> Net Cash from Operating Activities </t>
  </si>
  <si>
    <t xml:space="preserve"> Net Cash Used in Investing Activities </t>
  </si>
  <si>
    <t xml:space="preserve"> Net Cash Used in Financing Activities </t>
  </si>
  <si>
    <t>Net Inc/(Dec) in Cash and Cash Equivalent</t>
  </si>
  <si>
    <t>Exchange Diff on translation of foreign currency cash &amp; cash equivalents</t>
  </si>
  <si>
    <t>Other Adjustments</t>
  </si>
  <si>
    <t>Cash and Cash Equivalents at End of the year</t>
  </si>
  <si>
    <t>Disclaimer:-</t>
  </si>
  <si>
    <t>Capitaline Database has taken due care and caution in compilation of data.However, Capitaline Database makes no warranty that the service will meet all your requirements, the service will be uninterrupted, timely, complete, error-free, or the results that may be obtained from the use of the service will be accurate. Use of data from Capitaline is permitted only to the licensee and its employees internal usage.The Licensee shall not use Capitaline or data from Capitaline or permit any third party to do so in order to provide data processing ,advisory, research service to third party by way of trade or otherwise. The Licensee shall also not make the data available on a network that extends beyond the Licensee's premises . In the event of unauthorised use of Capitaline or data from Capitaline by the Licensee, Capital Market publishers india pvt ltd will terminate the subscription immediately.</t>
  </si>
  <si>
    <t>Equity Share Warrants</t>
  </si>
  <si>
    <t>Equity Application Money</t>
  </si>
  <si>
    <t>Deferred Tax Liability</t>
  </si>
  <si>
    <t>Total Liabilities</t>
  </si>
  <si>
    <t>Investments</t>
  </si>
  <si>
    <t>Current Assets, Loans &amp; Advances</t>
  </si>
  <si>
    <t>Inventories</t>
  </si>
  <si>
    <t>Loans &amp; Advances</t>
  </si>
  <si>
    <t>Net Current Assets</t>
  </si>
  <si>
    <t>Deferred Tax Assets</t>
  </si>
  <si>
    <t>Total Assets</t>
  </si>
  <si>
    <t>Gross Sales</t>
  </si>
  <si>
    <t>Net Sales</t>
  </si>
  <si>
    <t>PBIDT</t>
  </si>
  <si>
    <t>PBDT</t>
  </si>
  <si>
    <t>Depreciation</t>
  </si>
  <si>
    <t>PBT</t>
  </si>
  <si>
    <t>PBIDT Excl. Other Income</t>
  </si>
  <si>
    <t>Total Shareholders Funds</t>
  </si>
  <si>
    <t>Trade Payables</t>
  </si>
  <si>
    <t>Total Current Liabilities</t>
  </si>
  <si>
    <t>Total Current Assets</t>
  </si>
  <si>
    <t>CONTINGENT LIABILITIES, COMMITMENTS</t>
  </si>
  <si>
    <t>Contingent Liabilities</t>
  </si>
  <si>
    <t>CIF VALUE OF IMPORTS</t>
  </si>
  <si>
    <t>EXPENDITURE IN FOREIGN EXCHANGE</t>
  </si>
  <si>
    <t>REMITTANCES IN FOREIGN CURRENCIES FOR DIVIDENDS</t>
  </si>
  <si>
    <t>Dividend Remittance In Foreign Currency</t>
  </si>
  <si>
    <t>-</t>
  </si>
  <si>
    <t>EARNINGS IN FOREIGN EXCHANGE</t>
  </si>
  <si>
    <t>FOB Value Of Goods</t>
  </si>
  <si>
    <t>Other Earnings</t>
  </si>
  <si>
    <t>BONUS DETAILS</t>
  </si>
  <si>
    <t>Bonus Equity Share Capital</t>
  </si>
  <si>
    <t>NON-CURRENT INVESTMENTS</t>
  </si>
  <si>
    <t>Non-Current Investments Quoted Market Value</t>
  </si>
  <si>
    <t>Non-Current Investments Unquoted Book Value</t>
  </si>
  <si>
    <t>CURRENT INVESTMENTS</t>
  </si>
  <si>
    <t>Current Investments Quoted Market Value</t>
  </si>
  <si>
    <t>Current Investments Unquoted Book Value</t>
  </si>
  <si>
    <r>
      <t>Source : </t>
    </r>
    <r>
      <rPr>
        <b/>
        <sz val="8"/>
        <color rgb="FFFB9646"/>
        <rFont val="Tahoma"/>
        <family val="2"/>
      </rPr>
      <t>Dion Global Solutions Limited</t>
    </r>
  </si>
  <si>
    <t>Return on Equity</t>
  </si>
  <si>
    <t>Profitability Ratios</t>
  </si>
  <si>
    <t>Return on Assets</t>
  </si>
  <si>
    <t>Gross Profit Margin</t>
  </si>
  <si>
    <t>Liquidity Ratios</t>
  </si>
  <si>
    <t>Current Ratio</t>
  </si>
  <si>
    <t>Quick Ratio</t>
  </si>
  <si>
    <t>Cash Ratio</t>
  </si>
  <si>
    <t>Leverage Ratios</t>
  </si>
  <si>
    <t>Debt Ratio</t>
  </si>
  <si>
    <t>Debt to Equity Ratio</t>
  </si>
  <si>
    <t>Intrest Coverage ratio</t>
  </si>
  <si>
    <t>Efficiency Ratios</t>
  </si>
  <si>
    <t>Asset Turnover ratio</t>
  </si>
  <si>
    <t>Inventory Turnover ratio</t>
  </si>
  <si>
    <t>Market Ratios</t>
  </si>
  <si>
    <t>Dividend Yield Ratio</t>
  </si>
  <si>
    <t>Dividend Per share</t>
  </si>
  <si>
    <t>Net Profit before Tax &amp; Extraordinary Items</t>
  </si>
  <si>
    <t>Interest (Net)</t>
  </si>
  <si>
    <t>Dividend Received</t>
  </si>
  <si>
    <t>P/L on Sales of Assets</t>
  </si>
  <si>
    <t>P/L on Sales of Invest</t>
  </si>
  <si>
    <t>Prov. &amp; W/O (Net)</t>
  </si>
  <si>
    <t>P/L in Forex</t>
  </si>
  <si>
    <t>Fin. Lease &amp; Rental Chrgs</t>
  </si>
  <si>
    <t>Others</t>
  </si>
  <si>
    <t>Total Adjustments (PBT &amp; Extraordinary Items)</t>
  </si>
  <si>
    <t>Op. Profit before Working Capital Changes</t>
  </si>
  <si>
    <t>Trade &amp; 0th receivables</t>
  </si>
  <si>
    <t>Net Stock on Hire</t>
  </si>
  <si>
    <t>Leased Assets Net of Sale</t>
  </si>
  <si>
    <t>Trade Bill(s) Purchased</t>
  </si>
  <si>
    <t>Change in Borrowing</t>
  </si>
  <si>
    <t>Change in Deposits</t>
  </si>
  <si>
    <t>Total (OP before Working Capital Changes)</t>
  </si>
  <si>
    <t>Cash Generated from/(used in) Operations</t>
  </si>
  <si>
    <t>Interest Paid(Net)</t>
  </si>
  <si>
    <t>Direct Taxes Paid</t>
  </si>
  <si>
    <t>Advance Tax Paid</t>
  </si>
  <si>
    <t>Total-others</t>
  </si>
  <si>
    <t>Cash Flow before Extraordinary Items</t>
  </si>
  <si>
    <t>Excess Depreciation W/b</t>
  </si>
  <si>
    <t>Premium on Lease of land</t>
  </si>
  <si>
    <t>Payment Towards VRS</t>
  </si>
  <si>
    <t>Prior Year 's Taxation</t>
  </si>
  <si>
    <t>Gain on Forex Exch. Tran</t>
  </si>
  <si>
    <t>Purchased of Fixed Assets</t>
  </si>
  <si>
    <t>Sale of Fixed Assets</t>
  </si>
  <si>
    <t>capital WIP</t>
  </si>
  <si>
    <t>Capital Subsidy Recd</t>
  </si>
  <si>
    <t>Purchase of Investments</t>
  </si>
  <si>
    <t>Sale of Investments</t>
  </si>
  <si>
    <t>Investment Income</t>
  </si>
  <si>
    <t>Interest Received</t>
  </si>
  <si>
    <t>Invest.In Subsidiaires</t>
  </si>
  <si>
    <t>Loans to Subsidiaires</t>
  </si>
  <si>
    <t>Investment in Group Cos</t>
  </si>
  <si>
    <t>Issue of Sh. on Acqu. of Cos</t>
  </si>
  <si>
    <t>Canc. of Invest. in Cos Acq.</t>
  </si>
  <si>
    <t>Acquisition of Companies</t>
  </si>
  <si>
    <t>Inter Corporate Deposits</t>
  </si>
  <si>
    <t>Proceeds from Issue of shares (incl share premium)</t>
  </si>
  <si>
    <t>Proceed from Issue of Debentures</t>
  </si>
  <si>
    <t>Proceed from 0ther Long Term Borrowings</t>
  </si>
  <si>
    <t>Proceed from Bank Borrowings</t>
  </si>
  <si>
    <t>Proceed from Short Tem Borrowings</t>
  </si>
  <si>
    <t>Proceed from Deposits</t>
  </si>
  <si>
    <t>Share Application Money</t>
  </si>
  <si>
    <t>Cash/Capital Investment Subsidy</t>
  </si>
  <si>
    <t>Loans from a Corporate Body</t>
  </si>
  <si>
    <t>Share Application Money Refund</t>
  </si>
  <si>
    <t>On Redemption of Debenture</t>
  </si>
  <si>
    <t>Of the Long Tem Borrowings</t>
  </si>
  <si>
    <t>Of the short term Borrowings</t>
  </si>
  <si>
    <t>Of financial Liabilities</t>
  </si>
  <si>
    <t>Dividend Paid</t>
  </si>
  <si>
    <t>Shelter Assistance Reserve</t>
  </si>
  <si>
    <t>Interest Paid</t>
  </si>
  <si>
    <t>Finance &gt;&gt;Balance Sheet (Standalone)&gt;&gt;Tata Motors Ltd(Curr. in Crores )</t>
  </si>
  <si>
    <t>SOURCES OF FUNDS :</t>
  </si>
  <si>
    <t xml:space="preserve"> Share Capital </t>
  </si>
  <si>
    <t xml:space="preserve"> Reserves Total </t>
  </si>
  <si>
    <t xml:space="preserve"> Secured Loans </t>
  </si>
  <si>
    <t xml:space="preserve"> Unsecured Loans </t>
  </si>
  <si>
    <t>Total Debt</t>
  </si>
  <si>
    <t xml:space="preserve"> Other Liabilities </t>
  </si>
  <si>
    <t>APPLICATION OF FUNDS :</t>
  </si>
  <si>
    <t xml:space="preserve"> Gross Block </t>
  </si>
  <si>
    <t xml:space="preserve"> Less : Accumulated Depreciation </t>
  </si>
  <si>
    <t>Less:Impairment of Assets</t>
  </si>
  <si>
    <t xml:space="preserve"> Net Block </t>
  </si>
  <si>
    <t>Lease Adjustment</t>
  </si>
  <si>
    <t>Asset Transferred</t>
  </si>
  <si>
    <t xml:space="preserve"> Capital Work in Progress </t>
  </si>
  <si>
    <t>Producing Properties</t>
  </si>
  <si>
    <t xml:space="preserve"> Investments </t>
  </si>
  <si>
    <t xml:space="preserve"> Inventories </t>
  </si>
  <si>
    <t xml:space="preserve"> Sundry Debtors </t>
  </si>
  <si>
    <t xml:space="preserve"> Cash and Bank </t>
  </si>
  <si>
    <t xml:space="preserve"> Loans and Advances </t>
  </si>
  <si>
    <t>Less : Current Liabilities and Provisions</t>
  </si>
  <si>
    <t xml:space="preserve"> Current Liabilities </t>
  </si>
  <si>
    <t xml:space="preserve"> Provisions </t>
  </si>
  <si>
    <t xml:space="preserve"> Miscellaneous Expenses not written off </t>
  </si>
  <si>
    <t>Net Deferred Tax</t>
  </si>
  <si>
    <t xml:space="preserve"> Other Assets </t>
  </si>
  <si>
    <t xml:space="preserve"> Contingent Liabilities </t>
  </si>
  <si>
    <t>Finance &gt;&gt;Financial Overview (Standalone)&gt;&gt;Tata Motors Ltd(Curr. in Crores )</t>
  </si>
  <si>
    <t>Equity Paid Up</t>
  </si>
  <si>
    <t>Networth</t>
  </si>
  <si>
    <t>Capital Employed</t>
  </si>
  <si>
    <t>Net Debt</t>
  </si>
  <si>
    <t>Gross Block (Excl. Reval. Res.)</t>
  </si>
  <si>
    <t>Net Working Capital ( Incl. Def. Tax)</t>
  </si>
  <si>
    <t>Current Assets ( Incl. Def. Tax)</t>
  </si>
  <si>
    <t>Current Liabilities and Provisions ( Incl. Def. Tax)</t>
  </si>
  <si>
    <t>Total Assets/Liabilities (excl Reval &amp; W.off)</t>
  </si>
  <si>
    <t>Other Income</t>
  </si>
  <si>
    <t>Value Of Output</t>
  </si>
  <si>
    <t>Cost of Production</t>
  </si>
  <si>
    <t>Selling Cost</t>
  </si>
  <si>
    <t>PBIT</t>
  </si>
  <si>
    <t>PAT</t>
  </si>
  <si>
    <t>Adjusted PAT</t>
  </si>
  <si>
    <t>CP</t>
  </si>
  <si>
    <t>Revenue earnings in forex</t>
  </si>
  <si>
    <t>Revenue expenses in forex</t>
  </si>
  <si>
    <t>Capital earnings in forex</t>
  </si>
  <si>
    <t>Capital expenses in forex</t>
  </si>
  <si>
    <t>Book Value (Unit Curr)</t>
  </si>
  <si>
    <t>Book Value (Adj.) (Unit Curr)</t>
  </si>
  <si>
    <t>Market Capitalisation</t>
  </si>
  <si>
    <t>Average Market Capitalisation</t>
  </si>
  <si>
    <t>Enterprise Value</t>
  </si>
  <si>
    <t>Financial Years High &amp; Low Prices</t>
  </si>
  <si>
    <t>High Date (BSE)</t>
  </si>
  <si>
    <t>17/08/2022</t>
  </si>
  <si>
    <t>17/11/2021</t>
  </si>
  <si>
    <t>18/04/2019</t>
  </si>
  <si>
    <t>26/05/2017</t>
  </si>
  <si>
    <t>16/03/2012</t>
  </si>
  <si>
    <t>High Price (BSE)</t>
  </si>
  <si>
    <t>Low Date (BSE)</t>
  </si>
  <si>
    <t>24/08/2021</t>
  </si>
  <si>
    <t>24/03/2020</t>
  </si>
  <si>
    <t>26/03/2018</t>
  </si>
  <si>
    <t>26/07/2012</t>
  </si>
  <si>
    <t>13/09/2011</t>
  </si>
  <si>
    <t>25/05/2010</t>
  </si>
  <si>
    <t>Low Price (BSE)</t>
  </si>
  <si>
    <t>Year End Price Date (BSE)</t>
  </si>
  <si>
    <t>28/03/2024</t>
  </si>
  <si>
    <t>31/03/2023</t>
  </si>
  <si>
    <t>31/03/2022</t>
  </si>
  <si>
    <t>31/03/2021</t>
  </si>
  <si>
    <t>31/03/2020</t>
  </si>
  <si>
    <t>29/03/2019</t>
  </si>
  <si>
    <t>28/03/2018</t>
  </si>
  <si>
    <t>31/03/2017</t>
  </si>
  <si>
    <t>31/03/2016</t>
  </si>
  <si>
    <t>31/03/2015</t>
  </si>
  <si>
    <t>31/03/2014</t>
  </si>
  <si>
    <t>28/03/2013</t>
  </si>
  <si>
    <t>30/03/2012</t>
  </si>
  <si>
    <t>31/03/2011</t>
  </si>
  <si>
    <t>31/03/2010</t>
  </si>
  <si>
    <t>Year End Price (BSE)</t>
  </si>
  <si>
    <t>High Date (NSE)</t>
  </si>
  <si>
    <t>22/04/2019</t>
  </si>
  <si>
    <t>High Price (NSE)</t>
  </si>
  <si>
    <t>Low Date (NSE)</t>
  </si>
  <si>
    <t>Low Price (NSE)</t>
  </si>
  <si>
    <t>Year End Price Date (NSE)</t>
  </si>
  <si>
    <t>Year End Price (NSE)</t>
  </si>
  <si>
    <t>CEPS (annualised) (Unit Curr)</t>
  </si>
  <si>
    <t>EPS (annualised) (Unit Curr)</t>
  </si>
  <si>
    <t>EPS (Annualised) (Adjusted) (Unit Curr)</t>
  </si>
  <si>
    <t>Dividend (annualised%)</t>
  </si>
  <si>
    <t>Payout (%)</t>
  </si>
  <si>
    <t>Cash Flow From Operating Activities</t>
  </si>
  <si>
    <t>Cash Flow From Investing Activities</t>
  </si>
  <si>
    <t>Cash Flow From Financing Activities</t>
  </si>
  <si>
    <t>Free Cash Flows to Equity</t>
  </si>
  <si>
    <t>Free Cash Flows to the Firm</t>
  </si>
  <si>
    <t>Price to Free Cash Flows to Equity</t>
  </si>
  <si>
    <t>Price to Free Cash Flows to the Firm</t>
  </si>
  <si>
    <t>Rate of Growth (%)</t>
  </si>
  <si>
    <t>ROG-Net Worth (%)</t>
  </si>
  <si>
    <t>ROG-Capital Employed (%)</t>
  </si>
  <si>
    <t>ROG-Gross Block (%)</t>
  </si>
  <si>
    <t>ROG-Gross Sales (%)</t>
  </si>
  <si>
    <t>ROG-Net Sales (%)</t>
  </si>
  <si>
    <t>ROG-Cost of Production (%)</t>
  </si>
  <si>
    <t>ROG-Total Assets (%)</t>
  </si>
  <si>
    <t>ROG-PBIDT (%)</t>
  </si>
  <si>
    <t>ROG-PBIDT Excl. Other Income (%)</t>
  </si>
  <si>
    <t>ROG-PBDT (%)</t>
  </si>
  <si>
    <t>ROG-PBIT (%)</t>
  </si>
  <si>
    <t>ROG-PBT (%)</t>
  </si>
  <si>
    <t>ROG-PAT (%)</t>
  </si>
  <si>
    <t>ROG-CP (%)</t>
  </si>
  <si>
    <t>ROG-Revenue earnings in forex (%)</t>
  </si>
  <si>
    <t>ROG-Revenue expenses in forex (%)</t>
  </si>
  <si>
    <t>ROG-Market Capitalisation (%)</t>
  </si>
  <si>
    <t>Key Ratios</t>
  </si>
  <si>
    <t>Debt-Equity Ratio</t>
  </si>
  <si>
    <t>Long Term Debt-Equity Ratio</t>
  </si>
  <si>
    <t>Turnover Ratios</t>
  </si>
  <si>
    <t>Fixed Assets Ratio</t>
  </si>
  <si>
    <t>Inventory Ratio</t>
  </si>
  <si>
    <t>Debtors Ratio</t>
  </si>
  <si>
    <t>Total Asset Turnover Ratio</t>
  </si>
  <si>
    <t>Interest Cover Ratio</t>
  </si>
  <si>
    <t>PBIDTM (%)</t>
  </si>
  <si>
    <t>PBIDTM Excl. Other Income (%)</t>
  </si>
  <si>
    <t>PBITM (%)</t>
  </si>
  <si>
    <t>PBDTM (%)</t>
  </si>
  <si>
    <t>CPM (%)</t>
  </si>
  <si>
    <t>APATM (%)</t>
  </si>
  <si>
    <t>ROCE (%)</t>
  </si>
  <si>
    <t>RONW (%)</t>
  </si>
  <si>
    <t>Debtors Velocity (Days)</t>
  </si>
  <si>
    <t>Creditors Velocity (Days)</t>
  </si>
  <si>
    <t>Inventory Velocity (Days)</t>
  </si>
  <si>
    <t>Assets Utilisation Ratio (times)</t>
  </si>
  <si>
    <t>Value of Output/Total Assets</t>
  </si>
  <si>
    <t>Value of Output/Gross Block</t>
  </si>
  <si>
    <t>Earnings Per share</t>
  </si>
  <si>
    <t>P/E Ratio</t>
  </si>
  <si>
    <t>SCRIP</t>
  </si>
  <si>
    <t>TATAMOTORS</t>
  </si>
  <si>
    <t>IN CR</t>
  </si>
  <si>
    <t>EBITDA</t>
  </si>
  <si>
    <t>EBIT</t>
  </si>
  <si>
    <t>Tax</t>
  </si>
  <si>
    <t>EBIT(1-TAX)</t>
  </si>
  <si>
    <t>Changes in NWC</t>
  </si>
  <si>
    <t>capex</t>
  </si>
  <si>
    <t>Free cash flow to firm (FCFF)</t>
  </si>
  <si>
    <t>Interest</t>
  </si>
  <si>
    <t>Interest (i-tax)</t>
  </si>
  <si>
    <t>DEBT Issuance/(Repayment)</t>
  </si>
  <si>
    <t>Free cash flow to Equity (FCFE)</t>
  </si>
  <si>
    <t>FCFF</t>
  </si>
  <si>
    <t>Tax Rate</t>
  </si>
  <si>
    <t>FCFE</t>
  </si>
  <si>
    <t>EQUITY PERFORMANCE</t>
  </si>
  <si>
    <t>BETA</t>
  </si>
  <si>
    <t>INDEX RETURNS (1Y)</t>
  </si>
  <si>
    <t>INDUSTRY AVERAGES</t>
  </si>
  <si>
    <t>P/E RATIO</t>
  </si>
  <si>
    <t>EPS</t>
  </si>
  <si>
    <t>DPS</t>
  </si>
  <si>
    <t>DIVIDEND YIELD</t>
  </si>
  <si>
    <t>P/B RATIO</t>
  </si>
  <si>
    <t>EV/EBITDA</t>
  </si>
  <si>
    <t>DIVIDEND ISSUED</t>
  </si>
  <si>
    <t>OUTSTANDING EQUITY SHARES</t>
  </si>
  <si>
    <t>DATE</t>
  </si>
  <si>
    <t>CLIENT NAME</t>
  </si>
  <si>
    <t>KEY RATIO ANALYSIS</t>
  </si>
  <si>
    <t>Rating Criteria</t>
  </si>
  <si>
    <t>Acceptable Score</t>
  </si>
  <si>
    <t>AA, A</t>
  </si>
  <si>
    <t>Below average score</t>
  </si>
  <si>
    <t>B</t>
  </si>
  <si>
    <t>Average Score</t>
  </si>
  <si>
    <t>C,D</t>
  </si>
  <si>
    <t>SCRIP NAME</t>
  </si>
  <si>
    <t>DETAILED REPORT</t>
  </si>
  <si>
    <t>RATIO ANALYSIS</t>
  </si>
  <si>
    <t>PROFITABILITY RATIOS</t>
  </si>
  <si>
    <t>LIQUIDITY RATIOS</t>
  </si>
  <si>
    <t>LEVERAGE</t>
  </si>
  <si>
    <t>EFFICIENCY RATIOS</t>
  </si>
  <si>
    <t>MARKET RATIOS</t>
  </si>
  <si>
    <t>SCORE</t>
  </si>
  <si>
    <t>EV</t>
  </si>
  <si>
    <t>VALUATION RATIOS</t>
  </si>
  <si>
    <t>MARKET CAPITALISATION (Cr)</t>
  </si>
  <si>
    <t>VALUATION SCORECARD</t>
  </si>
  <si>
    <t>PE RATIO</t>
  </si>
  <si>
    <t>AVERAGE</t>
  </si>
  <si>
    <t>MEDIAN</t>
  </si>
  <si>
    <t>FACE VALUE</t>
  </si>
  <si>
    <t>BOOK VALUE</t>
  </si>
  <si>
    <t>Book Value</t>
  </si>
  <si>
    <t>P/B Ratio</t>
  </si>
  <si>
    <t>CURRENT PRICE</t>
  </si>
  <si>
    <t>PUBLIC LISTED?</t>
  </si>
  <si>
    <t>YES</t>
  </si>
  <si>
    <t>INPUT</t>
  </si>
  <si>
    <t>METRIC</t>
  </si>
  <si>
    <t>TOT</t>
  </si>
  <si>
    <t>WEIGHTAGE</t>
  </si>
  <si>
    <t>INTER VARIABLE WEIGHTAGES</t>
  </si>
  <si>
    <t>OUT OF</t>
  </si>
  <si>
    <t>RATIO KPIS</t>
  </si>
  <si>
    <t>TOTAL POINTS</t>
  </si>
  <si>
    <t>Score</t>
  </si>
  <si>
    <t>OUTPUT</t>
  </si>
  <si>
    <t>&gt;1</t>
  </si>
  <si>
    <t>&lt;1</t>
  </si>
  <si>
    <t>VARIABLE</t>
  </si>
  <si>
    <t>POSITIVE</t>
  </si>
  <si>
    <t>NEGATIVE</t>
  </si>
  <si>
    <t>VARIABLE WISE</t>
  </si>
  <si>
    <t>TOTAL SCORE</t>
  </si>
  <si>
    <t>BEFORE WEIGHTS</t>
  </si>
  <si>
    <t>AFTER WEIGHTS</t>
  </si>
  <si>
    <t>FINAL SCORE</t>
  </si>
  <si>
    <t>INTRA VARIABLE ADJUSTMENTS</t>
  </si>
  <si>
    <t>MORE THAN</t>
  </si>
  <si>
    <t>LESS THAN</t>
  </si>
  <si>
    <t>ASSESSMENT RESULT</t>
  </si>
  <si>
    <t>VALUATION RATING</t>
  </si>
  <si>
    <t>RATING SCALE</t>
  </si>
  <si>
    <t>AAA</t>
  </si>
  <si>
    <t>AA</t>
  </si>
  <si>
    <t>A+</t>
  </si>
  <si>
    <t>C</t>
  </si>
  <si>
    <t>EXCELLENT</t>
  </si>
  <si>
    <t>GOOD</t>
  </si>
  <si>
    <t>ABOVE AVERAGE</t>
  </si>
  <si>
    <t>BELOW AVERAGE</t>
  </si>
  <si>
    <t>REMARK</t>
  </si>
  <si>
    <t>SHARE PRICE</t>
  </si>
  <si>
    <t>PASS %</t>
  </si>
  <si>
    <t>&gt;85%</t>
  </si>
  <si>
    <t>&gt;75%</t>
  </si>
  <si>
    <t>&gt;60%</t>
  </si>
  <si>
    <t>&gt;50%</t>
  </si>
  <si>
    <t>&lt;50%</t>
  </si>
  <si>
    <t>VALUE</t>
  </si>
  <si>
    <t>RANK</t>
  </si>
  <si>
    <t>MINI WINDOW</t>
  </si>
  <si>
    <t>%</t>
  </si>
  <si>
    <t>REQUIREMENTS</t>
  </si>
  <si>
    <t>RATIO KPIS COMPARISION</t>
  </si>
  <si>
    <t>REQUIREMENT</t>
  </si>
  <si>
    <t>WT</t>
  </si>
  <si>
    <t xml:space="preserve"> </t>
  </si>
  <si>
    <t>TOTAL</t>
  </si>
  <si>
    <t>INTER VARIABLE WEIGHTAGES (REQUIREMENTS)</t>
  </si>
  <si>
    <t>ASSESSMENT RESULT (WITH REQUIREMENTS)</t>
  </si>
  <si>
    <t>FINAL RATING</t>
  </si>
  <si>
    <t>RATING REVIEW</t>
  </si>
  <si>
    <t>TATA MOTORS LTD</t>
  </si>
  <si>
    <t>VALUES</t>
  </si>
  <si>
    <t>RISK RATING</t>
  </si>
  <si>
    <t>Excellent</t>
  </si>
  <si>
    <t>Good</t>
  </si>
  <si>
    <t>Acceptable</t>
  </si>
  <si>
    <t>Average</t>
  </si>
  <si>
    <t>Risky</t>
  </si>
  <si>
    <t>OUTSTANDING SHARES (Cr)</t>
  </si>
  <si>
    <t>P/E MULTIPLE</t>
  </si>
  <si>
    <t>IND</t>
  </si>
  <si>
    <t>50X</t>
  </si>
  <si>
    <t>Risk - 0 -Meter</t>
  </si>
  <si>
    <t>ASSESSMENT SCORE WITHOUT REQUIREMENTS</t>
  </si>
  <si>
    <t>ASSESSMENT SCORE WITH REQUIREMENTS</t>
  </si>
  <si>
    <t>Note:</t>
  </si>
  <si>
    <t>Use data only from capitaline for accurate automation</t>
  </si>
  <si>
    <t>copy paste the data from capitaline into "CASH_FLOW", "P&amp;L" AND "REPORTED STATEMENTS"</t>
  </si>
  <si>
    <t>TIMESTAMP</t>
  </si>
  <si>
    <t>RATING</t>
  </si>
  <si>
    <t>ALTMAN Z SCORE</t>
  </si>
  <si>
    <t>ALTMAN Z Score</t>
  </si>
  <si>
    <t>Z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</si>
</sst>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3" formatCode="_(* #,##0.00_);_(* \(#,##0.00\);_(* &quot;-&quot;??_);_(@_)"/>
    <numFmt numFmtId="164" formatCode="_(* #,##0_);_(* \(#,##0\);_(* &quot;-&quot;??_);_(@_)"/>
    <numFmt numFmtId="165" formatCode="_ [$₹-439]* #,##0.0_ ;_ [$₹-439]* \-#,##0.0_ ;_ [$₹-439]* &quot;-&quot;??_ ;_ @_ "/>
    <numFmt numFmtId="166" formatCode="0.000"/>
    <numFmt numFmtId="167" formatCode="[$-409]d\-mmm\-yy;@"/>
    <numFmt numFmtId="168" formatCode="0.0%"/>
    <numFmt numFmtId="169" formatCode="[$-F400]h:mm:ss\ AM/PM"/>
  </numFmts>
  <fonts count="4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Calibri"/>
      <family val="2"/>
      <scheme val="minor"/>
    </font>
    <font>
      <sz val="10"/>
      <color theme="1"/>
      <name val="Calibri"/>
      <family val="2"/>
      <scheme val="minor"/>
    </font>
    <font>
      <sz val="11"/>
      <color rgb="FFFFFFFF"/>
      <name val="Calibri"/>
      <family val="2"/>
      <scheme val="minor"/>
    </font>
    <font>
      <sz val="9"/>
      <color theme="1"/>
      <name val="Arial"/>
      <family val="2"/>
    </font>
    <font>
      <sz val="11"/>
      <color theme="1"/>
      <name val="Arial"/>
      <family val="2"/>
    </font>
    <font>
      <b/>
      <sz val="9"/>
      <color theme="1"/>
      <name val="Arial"/>
      <family val="2"/>
    </font>
    <font>
      <b/>
      <sz val="8"/>
      <color rgb="FF000000"/>
      <name val="Tahoma"/>
      <family val="2"/>
    </font>
    <font>
      <b/>
      <sz val="8"/>
      <color rgb="FFFB9646"/>
      <name val="Tahoma"/>
      <family val="2"/>
    </font>
    <font>
      <i/>
      <sz val="11"/>
      <color theme="1"/>
      <name val="Calibri"/>
      <family val="2"/>
      <scheme val="minor"/>
    </font>
    <font>
      <sz val="12"/>
      <color theme="1"/>
      <name val="Trebuchet MS"/>
      <family val="2"/>
    </font>
    <font>
      <b/>
      <sz val="12"/>
      <color theme="0"/>
      <name val="Trebuchet MS"/>
      <family val="2"/>
    </font>
    <font>
      <b/>
      <sz val="12"/>
      <color theme="1"/>
      <name val="Trebuchet MS"/>
      <family val="2"/>
    </font>
    <font>
      <sz val="12"/>
      <color theme="1"/>
      <name val="Calibri"/>
      <family val="2"/>
      <scheme val="minor"/>
    </font>
    <font>
      <b/>
      <sz val="12"/>
      <color theme="0"/>
      <name val="Calibri"/>
      <family val="2"/>
      <scheme val="minor"/>
    </font>
    <font>
      <b/>
      <sz val="11"/>
      <name val="Calibri"/>
      <family val="2"/>
      <scheme val="minor"/>
    </font>
    <font>
      <sz val="11"/>
      <name val="Calibri"/>
      <family val="2"/>
      <scheme val="minor"/>
    </font>
    <font>
      <b/>
      <i/>
      <sz val="11"/>
      <name val="Calibri"/>
      <family val="2"/>
      <scheme val="minor"/>
    </font>
    <font>
      <i/>
      <sz val="9"/>
      <color theme="1"/>
      <name val="Calibri"/>
      <family val="2"/>
      <scheme val="minor"/>
    </font>
    <font>
      <b/>
      <i/>
      <sz val="11"/>
      <color theme="1"/>
      <name val="Calibri"/>
      <family val="2"/>
      <scheme val="minor"/>
    </font>
    <font>
      <i/>
      <sz val="10"/>
      <color theme="1"/>
      <name val="Calibri"/>
      <family val="2"/>
      <scheme val="minor"/>
    </font>
    <font>
      <sz val="11"/>
      <color theme="2" tint="-9.9978637043366805E-2"/>
      <name val="Calibri"/>
      <family val="2"/>
      <scheme val="minor"/>
    </font>
    <font>
      <sz val="9"/>
      <color indexed="81"/>
      <name val="Tahoma"/>
      <family val="2"/>
    </font>
    <font>
      <b/>
      <sz val="9"/>
      <color indexed="81"/>
      <name val="Tahoma"/>
      <family val="2"/>
    </font>
    <font>
      <b/>
      <sz val="11"/>
      <color rgb="FFFF0000"/>
      <name val="Calibri"/>
      <family val="2"/>
      <scheme val="minor"/>
    </font>
    <font>
      <sz val="11"/>
      <color rgb="FF000000"/>
      <name val="Calibri"/>
      <family val="2"/>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874BC"/>
        <bgColor indexed="64"/>
      </patternFill>
    </fill>
    <fill>
      <patternFill patternType="solid">
        <fgColor rgb="FFFFFFFF"/>
        <bgColor indexed="64"/>
      </patternFill>
    </fill>
    <fill>
      <patternFill patternType="solid">
        <fgColor rgb="FFFFFF00"/>
        <bgColor indexed="64"/>
      </patternFill>
    </fill>
    <fill>
      <patternFill patternType="solid">
        <fgColor theme="4" tint="-0.249977111117893"/>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C00000"/>
        <bgColor indexed="64"/>
      </patternFill>
    </fill>
    <fill>
      <patternFill patternType="solid">
        <fgColor rgb="FFBE2F0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4" tint="0.59999389629810485"/>
        <bgColor indexed="64"/>
      </patternFill>
    </fill>
  </fills>
  <borders count="5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medium">
        <color rgb="FFEEEEEE"/>
      </left>
      <right style="medium">
        <color rgb="FFEEEEEE"/>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right/>
      <top style="double">
        <color indexed="64"/>
      </top>
      <bottom style="double">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double">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4">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94">
    <xf numFmtId="0" fontId="0" fillId="0" borderId="0" xfId="0"/>
    <xf numFmtId="0" fontId="18" fillId="0" borderId="10" xfId="0" applyFont="1" applyBorder="1" applyAlignment="1">
      <alignment horizontal="center" vertical="center" wrapText="1"/>
    </xf>
    <xf numFmtId="0" fontId="19" fillId="0" borderId="10" xfId="0" applyFont="1" applyBorder="1" applyAlignment="1">
      <alignment wrapText="1"/>
    </xf>
    <xf numFmtId="0" fontId="0" fillId="0" borderId="10" xfId="0" applyBorder="1" applyAlignment="1">
      <alignment wrapText="1"/>
    </xf>
    <xf numFmtId="4" fontId="19" fillId="0" borderId="10" xfId="0" applyNumberFormat="1" applyFont="1" applyBorder="1" applyAlignment="1">
      <alignment wrapText="1"/>
    </xf>
    <xf numFmtId="0" fontId="20" fillId="33" borderId="0" xfId="0" applyFont="1" applyFill="1"/>
    <xf numFmtId="0" fontId="0" fillId="34" borderId="0" xfId="0" applyFill="1"/>
    <xf numFmtId="0" fontId="22" fillId="34" borderId="18" xfId="0" applyFont="1" applyFill="1" applyBorder="1" applyAlignment="1">
      <alignment vertical="center" wrapText="1"/>
    </xf>
    <xf numFmtId="0" fontId="22" fillId="34" borderId="18" xfId="0" applyFont="1" applyFill="1" applyBorder="1" applyAlignment="1">
      <alignment horizontal="right" vertical="center" wrapText="1"/>
    </xf>
    <xf numFmtId="0" fontId="23" fillId="34" borderId="19" xfId="0" applyFont="1" applyFill="1" applyBorder="1" applyAlignment="1">
      <alignment horizontal="right" vertical="center" wrapText="1"/>
    </xf>
    <xf numFmtId="0" fontId="21" fillId="34" borderId="19" xfId="0" applyFont="1" applyFill="1" applyBorder="1" applyAlignment="1">
      <alignment vertical="center" wrapText="1"/>
    </xf>
    <xf numFmtId="0" fontId="21" fillId="34" borderId="19" xfId="0" applyFont="1" applyFill="1" applyBorder="1" applyAlignment="1">
      <alignment horizontal="right" vertical="center" wrapText="1"/>
    </xf>
    <xf numFmtId="4" fontId="21" fillId="34" borderId="19" xfId="0" applyNumberFormat="1" applyFont="1" applyFill="1" applyBorder="1" applyAlignment="1">
      <alignment horizontal="right" vertical="center" wrapText="1"/>
    </xf>
    <xf numFmtId="0" fontId="16" fillId="0" borderId="0" xfId="0" applyFont="1"/>
    <xf numFmtId="0" fontId="0" fillId="0" borderId="19" xfId="0" applyBorder="1"/>
    <xf numFmtId="9" fontId="0" fillId="0" borderId="19" xfId="2" applyFont="1" applyBorder="1"/>
    <xf numFmtId="43" fontId="0" fillId="0" borderId="19" xfId="1" applyFont="1" applyBorder="1"/>
    <xf numFmtId="10" fontId="0" fillId="0" borderId="19" xfId="2" applyNumberFormat="1" applyFont="1" applyBorder="1"/>
    <xf numFmtId="0" fontId="16" fillId="0" borderId="19" xfId="0" applyFont="1" applyBorder="1"/>
    <xf numFmtId="0" fontId="26" fillId="0" borderId="0" xfId="0" applyFont="1"/>
    <xf numFmtId="0" fontId="0" fillId="0" borderId="11" xfId="0" applyBorder="1"/>
    <xf numFmtId="0" fontId="0" fillId="0" borderId="12" xfId="0" applyBorder="1"/>
    <xf numFmtId="0" fontId="0" fillId="0" borderId="16" xfId="0" applyBorder="1"/>
    <xf numFmtId="0" fontId="0" fillId="0" borderId="17" xfId="0" applyBorder="1"/>
    <xf numFmtId="14" fontId="19" fillId="0" borderId="10" xfId="0" applyNumberFormat="1" applyFont="1" applyBorder="1" applyAlignment="1">
      <alignment wrapText="1"/>
    </xf>
    <xf numFmtId="4" fontId="27" fillId="37" borderId="19" xfId="0" applyNumberFormat="1" applyFont="1" applyFill="1" applyBorder="1"/>
    <xf numFmtId="0" fontId="28" fillId="36" borderId="22" xfId="0" applyFont="1" applyFill="1" applyBorder="1" applyAlignment="1">
      <alignment horizontal="right"/>
    </xf>
    <xf numFmtId="0" fontId="27" fillId="37" borderId="19" xfId="0" applyFont="1" applyFill="1" applyBorder="1"/>
    <xf numFmtId="0" fontId="0" fillId="0" borderId="23" xfId="0" applyBorder="1"/>
    <xf numFmtId="0" fontId="0" fillId="0" borderId="24" xfId="0" applyBorder="1"/>
    <xf numFmtId="0" fontId="27" fillId="0" borderId="23" xfId="0" applyFont="1" applyBorder="1"/>
    <xf numFmtId="0" fontId="0" fillId="0" borderId="21" xfId="0" applyBorder="1"/>
    <xf numFmtId="0" fontId="0" fillId="0" borderId="25" xfId="0" applyBorder="1"/>
    <xf numFmtId="0" fontId="0" fillId="0" borderId="20" xfId="0" applyBorder="1"/>
    <xf numFmtId="0" fontId="16" fillId="0" borderId="26" xfId="0" applyFont="1" applyBorder="1"/>
    <xf numFmtId="0" fontId="27" fillId="0" borderId="27" xfId="0" applyFont="1" applyBorder="1"/>
    <xf numFmtId="0" fontId="27" fillId="0" borderId="28" xfId="0" applyFont="1" applyBorder="1"/>
    <xf numFmtId="0" fontId="27" fillId="0" borderId="29" xfId="0" applyFont="1" applyBorder="1"/>
    <xf numFmtId="43" fontId="29" fillId="37" borderId="19" xfId="1" applyFont="1" applyFill="1" applyBorder="1"/>
    <xf numFmtId="43" fontId="30" fillId="37" borderId="19" xfId="1" applyFont="1" applyFill="1" applyBorder="1"/>
    <xf numFmtId="9" fontId="16" fillId="35" borderId="19" xfId="2" applyFont="1" applyFill="1" applyBorder="1" applyAlignment="1">
      <alignment horizontal="center"/>
    </xf>
    <xf numFmtId="0" fontId="26" fillId="35" borderId="19" xfId="0" applyFont="1" applyFill="1" applyBorder="1" applyAlignment="1">
      <alignment horizontal="center"/>
    </xf>
    <xf numFmtId="0" fontId="16" fillId="35" borderId="19" xfId="0" applyFont="1" applyFill="1" applyBorder="1" applyAlignment="1">
      <alignment horizontal="center"/>
    </xf>
    <xf numFmtId="0" fontId="16" fillId="38" borderId="19" xfId="0" applyFont="1" applyFill="1" applyBorder="1" applyAlignment="1">
      <alignment horizontal="center" vertical="center"/>
    </xf>
    <xf numFmtId="0" fontId="0" fillId="0" borderId="0" xfId="0" applyAlignment="1">
      <alignment vertical="center"/>
    </xf>
    <xf numFmtId="0" fontId="16" fillId="0" borderId="19" xfId="0" applyFont="1" applyBorder="1" applyAlignment="1">
      <alignment vertical="center"/>
    </xf>
    <xf numFmtId="0" fontId="0" fillId="0" borderId="30" xfId="0" applyBorder="1" applyAlignment="1">
      <alignment vertical="center"/>
    </xf>
    <xf numFmtId="0" fontId="32" fillId="0" borderId="19" xfId="0" applyFont="1" applyBorder="1" applyAlignment="1">
      <alignment horizontal="center" vertical="center"/>
    </xf>
    <xf numFmtId="0" fontId="0" fillId="0" borderId="31" xfId="0" applyBorder="1" applyAlignment="1">
      <alignment vertical="center"/>
    </xf>
    <xf numFmtId="0" fontId="0" fillId="0" borderId="23" xfId="0" applyBorder="1" applyAlignment="1">
      <alignment vertical="center"/>
    </xf>
    <xf numFmtId="0" fontId="0" fillId="0" borderId="24" xfId="0" applyBorder="1" applyAlignment="1">
      <alignment vertical="center"/>
    </xf>
    <xf numFmtId="0" fontId="34" fillId="0" borderId="19" xfId="0" applyFont="1" applyBorder="1" applyAlignment="1">
      <alignment horizontal="center" vertical="center"/>
    </xf>
    <xf numFmtId="9" fontId="35" fillId="0" borderId="0" xfId="2" applyFont="1" applyFill="1" applyBorder="1" applyAlignment="1">
      <alignment horizontal="center" vertical="center"/>
    </xf>
    <xf numFmtId="0" fontId="36" fillId="0" borderId="19" xfId="0" applyFont="1" applyBorder="1" applyAlignment="1">
      <alignment horizontal="center" vertical="center"/>
    </xf>
    <xf numFmtId="0" fontId="16" fillId="0" borderId="19" xfId="0" applyFont="1" applyBorder="1" applyAlignment="1">
      <alignment horizontal="left" vertical="center"/>
    </xf>
    <xf numFmtId="0" fontId="16" fillId="0" borderId="19" xfId="0" applyFont="1" applyBorder="1" applyAlignment="1">
      <alignment horizontal="center" vertical="center"/>
    </xf>
    <xf numFmtId="9" fontId="36" fillId="0" borderId="19" xfId="0" applyNumberFormat="1" applyFont="1" applyBorder="1" applyAlignment="1">
      <alignment horizontal="center" vertical="center"/>
    </xf>
    <xf numFmtId="0" fontId="36" fillId="0" borderId="26" xfId="0" applyFont="1" applyBorder="1" applyAlignment="1">
      <alignment horizontal="center" vertical="center"/>
    </xf>
    <xf numFmtId="0" fontId="0" fillId="0" borderId="28" xfId="0" applyBorder="1" applyAlignment="1">
      <alignment vertical="center"/>
    </xf>
    <xf numFmtId="0" fontId="0" fillId="0" borderId="29" xfId="0" applyBorder="1" applyAlignment="1">
      <alignment vertical="center"/>
    </xf>
    <xf numFmtId="9" fontId="37" fillId="0" borderId="19" xfId="2" applyFont="1" applyBorder="1" applyAlignment="1">
      <alignment horizontal="center" vertical="center"/>
    </xf>
    <xf numFmtId="2" fontId="37" fillId="0" borderId="19" xfId="1" applyNumberFormat="1" applyFont="1" applyBorder="1" applyAlignment="1">
      <alignment horizontal="center" vertical="center"/>
    </xf>
    <xf numFmtId="0" fontId="26" fillId="0" borderId="19" xfId="0" applyFont="1" applyBorder="1" applyAlignment="1">
      <alignment vertical="center"/>
    </xf>
    <xf numFmtId="0" fontId="34" fillId="41" borderId="19" xfId="0" applyFont="1" applyFill="1" applyBorder="1" applyAlignment="1">
      <alignment horizontal="center" vertical="center"/>
    </xf>
    <xf numFmtId="0" fontId="16" fillId="0" borderId="19" xfId="0" applyFont="1" applyBorder="1" applyAlignment="1">
      <alignment horizontal="center"/>
    </xf>
    <xf numFmtId="2" fontId="16" fillId="0" borderId="19" xfId="0" applyNumberFormat="1" applyFont="1" applyBorder="1" applyAlignment="1">
      <alignment horizontal="center" vertical="center"/>
    </xf>
    <xf numFmtId="10" fontId="1" fillId="42" borderId="19" xfId="2" applyNumberFormat="1" applyFont="1" applyFill="1" applyBorder="1" applyAlignment="1">
      <alignment horizontal="center"/>
    </xf>
    <xf numFmtId="9" fontId="0" fillId="0" borderId="19" xfId="2" applyFont="1" applyBorder="1" applyAlignment="1">
      <alignment horizontal="center"/>
    </xf>
    <xf numFmtId="0" fontId="0" fillId="0" borderId="28" xfId="0" applyBorder="1"/>
    <xf numFmtId="1" fontId="16" fillId="0" borderId="19" xfId="0" applyNumberFormat="1" applyFont="1" applyBorder="1" applyAlignment="1">
      <alignment horizontal="center" vertical="center"/>
    </xf>
    <xf numFmtId="0" fontId="16" fillId="0" borderId="19" xfId="0" applyFont="1" applyBorder="1" applyAlignment="1">
      <alignment horizontal="left"/>
    </xf>
    <xf numFmtId="2" fontId="0" fillId="0" borderId="19" xfId="2" applyNumberFormat="1" applyFont="1" applyBorder="1"/>
    <xf numFmtId="2" fontId="32" fillId="0" borderId="19" xfId="0" applyNumberFormat="1" applyFont="1" applyBorder="1" applyAlignment="1">
      <alignment horizontal="center" vertical="center"/>
    </xf>
    <xf numFmtId="0" fontId="0" fillId="0" borderId="34" xfId="0" applyBorder="1"/>
    <xf numFmtId="0" fontId="16" fillId="0" borderId="26" xfId="0" applyFont="1" applyBorder="1" applyAlignment="1">
      <alignment vertical="center"/>
    </xf>
    <xf numFmtId="0" fontId="0" fillId="35" borderId="19" xfId="0" applyFill="1" applyBorder="1" applyAlignment="1">
      <alignment horizontal="center"/>
    </xf>
    <xf numFmtId="2" fontId="16" fillId="35" borderId="19" xfId="1" applyNumberFormat="1" applyFont="1" applyFill="1" applyBorder="1" applyAlignment="1">
      <alignment horizontal="center"/>
    </xf>
    <xf numFmtId="0" fontId="16" fillId="0" borderId="28" xfId="0" applyFont="1" applyBorder="1"/>
    <xf numFmtId="0" fontId="0" fillId="0" borderId="19" xfId="0" applyBorder="1" applyAlignment="1">
      <alignment horizontal="center"/>
    </xf>
    <xf numFmtId="0" fontId="0" fillId="0" borderId="0" xfId="0" applyAlignment="1">
      <alignment horizontal="center"/>
    </xf>
    <xf numFmtId="43" fontId="0" fillId="0" borderId="0" xfId="1" applyFont="1" applyBorder="1"/>
    <xf numFmtId="43" fontId="16" fillId="0" borderId="19" xfId="1" applyFont="1" applyBorder="1"/>
    <xf numFmtId="43" fontId="0" fillId="0" borderId="26" xfId="1" applyFont="1" applyBorder="1"/>
    <xf numFmtId="43" fontId="16" fillId="0" borderId="28" xfId="1" applyFont="1" applyBorder="1"/>
    <xf numFmtId="43" fontId="16" fillId="0" borderId="0" xfId="1" applyFont="1" applyBorder="1"/>
    <xf numFmtId="43" fontId="16" fillId="0" borderId="0" xfId="2" applyNumberFormat="1" applyFont="1" applyBorder="1"/>
    <xf numFmtId="43" fontId="16" fillId="0" borderId="38" xfId="1" applyFont="1" applyBorder="1"/>
    <xf numFmtId="0" fontId="36" fillId="0" borderId="19" xfId="0" applyFont="1" applyBorder="1" applyAlignment="1">
      <alignment vertical="center"/>
    </xf>
    <xf numFmtId="43" fontId="16" fillId="0" borderId="19" xfId="0" applyNumberFormat="1" applyFont="1" applyBorder="1"/>
    <xf numFmtId="0" fontId="0" fillId="0" borderId="39" xfId="0" applyBorder="1"/>
    <xf numFmtId="0" fontId="0" fillId="0" borderId="30" xfId="0" applyBorder="1"/>
    <xf numFmtId="0" fontId="0" fillId="0" borderId="31" xfId="0" applyBorder="1"/>
    <xf numFmtId="0" fontId="16" fillId="0" borderId="27" xfId="0" applyFont="1" applyBorder="1"/>
    <xf numFmtId="0" fontId="16" fillId="0" borderId="23" xfId="0" applyFont="1" applyBorder="1"/>
    <xf numFmtId="43" fontId="16" fillId="0" borderId="27" xfId="1" applyFont="1" applyBorder="1"/>
    <xf numFmtId="43" fontId="0" fillId="0" borderId="23" xfId="1" applyFont="1" applyBorder="1"/>
    <xf numFmtId="43" fontId="16" fillId="0" borderId="23" xfId="1" applyFont="1" applyBorder="1"/>
    <xf numFmtId="43" fontId="26" fillId="0" borderId="28" xfId="1" applyFont="1" applyBorder="1"/>
    <xf numFmtId="43" fontId="26" fillId="0" borderId="28" xfId="0" applyNumberFormat="1" applyFont="1" applyBorder="1"/>
    <xf numFmtId="0" fontId="38" fillId="0" borderId="19" xfId="0" applyFont="1" applyBorder="1" applyAlignment="1">
      <alignment horizontal="center"/>
    </xf>
    <xf numFmtId="9" fontId="38" fillId="38" borderId="19" xfId="0" applyNumberFormat="1" applyFont="1" applyFill="1" applyBorder="1" applyAlignment="1">
      <alignment horizontal="center"/>
    </xf>
    <xf numFmtId="0" fontId="16" fillId="0" borderId="21" xfId="0" applyFont="1" applyBorder="1" applyAlignment="1">
      <alignment horizontal="center"/>
    </xf>
    <xf numFmtId="0" fontId="16" fillId="0" borderId="39" xfId="0" applyFont="1" applyBorder="1" applyAlignment="1">
      <alignment horizontal="center"/>
    </xf>
    <xf numFmtId="0" fontId="36" fillId="0" borderId="19" xfId="0" applyFont="1" applyBorder="1"/>
    <xf numFmtId="0" fontId="36" fillId="0" borderId="19" xfId="0" applyFont="1" applyBorder="1" applyAlignment="1">
      <alignment horizontal="center"/>
    </xf>
    <xf numFmtId="9" fontId="36" fillId="0" borderId="19" xfId="2" applyFont="1" applyBorder="1" applyAlignment="1">
      <alignment horizontal="center"/>
    </xf>
    <xf numFmtId="0" fontId="16" fillId="0" borderId="0" xfId="0" applyFont="1" applyAlignment="1">
      <alignment horizontal="center"/>
    </xf>
    <xf numFmtId="0" fontId="16" fillId="0" borderId="24" xfId="0" applyFont="1"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16" fillId="0" borderId="40" xfId="0" applyFont="1" applyBorder="1" applyAlignment="1">
      <alignment horizontal="center"/>
    </xf>
    <xf numFmtId="0" fontId="38" fillId="0" borderId="40" xfId="0" applyFont="1" applyBorder="1" applyAlignment="1">
      <alignment horizontal="center"/>
    </xf>
    <xf numFmtId="9" fontId="38" fillId="38" borderId="40" xfId="0" applyNumberFormat="1" applyFont="1" applyFill="1" applyBorder="1" applyAlignment="1">
      <alignment horizontal="center"/>
    </xf>
    <xf numFmtId="9" fontId="16" fillId="0" borderId="19" xfId="2" applyFont="1" applyBorder="1"/>
    <xf numFmtId="9" fontId="16" fillId="0" borderId="19" xfId="2" applyFont="1" applyBorder="1" applyAlignment="1">
      <alignment horizontal="center"/>
    </xf>
    <xf numFmtId="43" fontId="36" fillId="0" borderId="19" xfId="2" applyNumberFormat="1" applyFont="1" applyBorder="1" applyAlignment="1">
      <alignment horizontal="center"/>
    </xf>
    <xf numFmtId="43" fontId="16" fillId="0" borderId="19" xfId="2" applyNumberFormat="1" applyFont="1" applyBorder="1" applyAlignment="1">
      <alignment horizontal="center"/>
    </xf>
    <xf numFmtId="43" fontId="36" fillId="0" borderId="19" xfId="2" applyNumberFormat="1" applyFont="1" applyBorder="1" applyAlignment="1"/>
    <xf numFmtId="43" fontId="0" fillId="0" borderId="24" xfId="1" applyFont="1" applyBorder="1"/>
    <xf numFmtId="2" fontId="36" fillId="0" borderId="19" xfId="2" applyNumberFormat="1" applyFont="1" applyBorder="1" applyAlignment="1">
      <alignment horizontal="center"/>
    </xf>
    <xf numFmtId="2" fontId="16" fillId="0" borderId="19" xfId="2" applyNumberFormat="1" applyFont="1" applyBorder="1" applyAlignment="1">
      <alignment horizontal="center"/>
    </xf>
    <xf numFmtId="43" fontId="16" fillId="0" borderId="26" xfId="1" applyFont="1" applyBorder="1"/>
    <xf numFmtId="0" fontId="26" fillId="0" borderId="19" xfId="0" applyFont="1" applyBorder="1"/>
    <xf numFmtId="0" fontId="36" fillId="0" borderId="26" xfId="0" applyFont="1" applyBorder="1"/>
    <xf numFmtId="9" fontId="36" fillId="0" borderId="26" xfId="2" applyFont="1" applyBorder="1"/>
    <xf numFmtId="2" fontId="36" fillId="0" borderId="19" xfId="2" applyNumberFormat="1" applyFont="1" applyFill="1" applyBorder="1" applyAlignment="1">
      <alignment horizontal="center" vertical="center"/>
    </xf>
    <xf numFmtId="9" fontId="26" fillId="0" borderId="19" xfId="2" applyFont="1" applyBorder="1"/>
    <xf numFmtId="43" fontId="26" fillId="0" borderId="19" xfId="0" applyNumberFormat="1" applyFont="1" applyBorder="1"/>
    <xf numFmtId="43" fontId="26" fillId="0" borderId="19" xfId="1" applyFont="1" applyBorder="1"/>
    <xf numFmtId="164" fontId="26" fillId="0" borderId="19" xfId="1" applyNumberFormat="1" applyFont="1" applyBorder="1"/>
    <xf numFmtId="43" fontId="16" fillId="0" borderId="40" xfId="1" applyFont="1" applyBorder="1"/>
    <xf numFmtId="10" fontId="36" fillId="0" borderId="19" xfId="2" applyNumberFormat="1" applyFont="1" applyBorder="1" applyAlignment="1">
      <alignment horizontal="center"/>
    </xf>
    <xf numFmtId="2" fontId="36" fillId="0" borderId="19" xfId="1" applyNumberFormat="1" applyFont="1" applyBorder="1" applyAlignment="1">
      <alignment horizontal="center"/>
    </xf>
    <xf numFmtId="9" fontId="32" fillId="0" borderId="19" xfId="2" applyFont="1" applyFill="1" applyBorder="1" applyAlignment="1">
      <alignment horizontal="center" vertical="top"/>
    </xf>
    <xf numFmtId="0" fontId="26" fillId="0" borderId="40" xfId="0" applyFont="1" applyBorder="1" applyAlignment="1">
      <alignment vertical="center"/>
    </xf>
    <xf numFmtId="2" fontId="36" fillId="0" borderId="40" xfId="2" applyNumberFormat="1" applyFont="1" applyFill="1" applyBorder="1" applyAlignment="1">
      <alignment horizontal="center" vertical="center"/>
    </xf>
    <xf numFmtId="43" fontId="26" fillId="0" borderId="40" xfId="0" applyNumberFormat="1" applyFont="1" applyBorder="1"/>
    <xf numFmtId="43" fontId="26" fillId="0" borderId="40" xfId="1" applyFont="1" applyBorder="1"/>
    <xf numFmtId="9" fontId="26" fillId="0" borderId="40" xfId="2" applyFont="1" applyBorder="1"/>
    <xf numFmtId="2" fontId="0" fillId="0" borderId="40" xfId="2" applyNumberFormat="1" applyFont="1" applyBorder="1"/>
    <xf numFmtId="0" fontId="36" fillId="0" borderId="37" xfId="0" applyFont="1" applyBorder="1" applyAlignment="1">
      <alignment horizontal="center" vertical="center"/>
    </xf>
    <xf numFmtId="0" fontId="16" fillId="0" borderId="37" xfId="0" applyFont="1" applyBorder="1" applyAlignment="1">
      <alignment horizontal="center"/>
    </xf>
    <xf numFmtId="2" fontId="36" fillId="44" borderId="19" xfId="0" applyNumberFormat="1" applyFont="1" applyFill="1" applyBorder="1" applyAlignment="1">
      <alignment horizontal="center" vertical="center"/>
    </xf>
    <xf numFmtId="0" fontId="36" fillId="44" borderId="19" xfId="0" applyFont="1" applyFill="1" applyBorder="1" applyAlignment="1">
      <alignment vertical="center"/>
    </xf>
    <xf numFmtId="0" fontId="36" fillId="38" borderId="33" xfId="0" applyFont="1" applyFill="1" applyBorder="1" applyAlignment="1">
      <alignment vertical="center"/>
    </xf>
    <xf numFmtId="0" fontId="36" fillId="38" borderId="22" xfId="0" applyFont="1" applyFill="1" applyBorder="1" applyAlignment="1">
      <alignment horizontal="center" vertical="center"/>
    </xf>
    <xf numFmtId="15" fontId="26" fillId="0" borderId="19" xfId="0" applyNumberFormat="1" applyFont="1" applyBorder="1" applyAlignment="1">
      <alignment horizontal="center" vertical="center"/>
    </xf>
    <xf numFmtId="10" fontId="36" fillId="0" borderId="19" xfId="0" applyNumberFormat="1" applyFont="1" applyBorder="1" applyAlignment="1">
      <alignment horizontal="center" vertical="center"/>
    </xf>
    <xf numFmtId="165" fontId="16" fillId="0" borderId="19" xfId="0" applyNumberFormat="1" applyFont="1" applyBorder="1" applyAlignment="1">
      <alignment horizontal="center"/>
    </xf>
    <xf numFmtId="165" fontId="16" fillId="0" borderId="19" xfId="0" applyNumberFormat="1" applyFont="1" applyBorder="1" applyAlignment="1">
      <alignment horizontal="center" vertical="center"/>
    </xf>
    <xf numFmtId="0" fontId="26" fillId="0" borderId="19" xfId="0" applyFont="1" applyBorder="1" applyAlignment="1">
      <alignment horizontal="center"/>
    </xf>
    <xf numFmtId="0" fontId="26" fillId="0" borderId="26" xfId="0" applyFont="1" applyBorder="1" applyAlignment="1">
      <alignment horizontal="center"/>
    </xf>
    <xf numFmtId="0" fontId="36" fillId="45" borderId="19" xfId="0" applyFont="1" applyFill="1" applyBorder="1" applyAlignment="1">
      <alignment horizontal="center" vertical="center"/>
    </xf>
    <xf numFmtId="0" fontId="16" fillId="45" borderId="19" xfId="0" applyFont="1" applyFill="1" applyBorder="1" applyAlignment="1">
      <alignment horizontal="center"/>
    </xf>
    <xf numFmtId="9" fontId="26" fillId="0" borderId="19" xfId="2" applyFont="1" applyBorder="1" applyAlignment="1">
      <alignment vertical="center"/>
    </xf>
    <xf numFmtId="2" fontId="37" fillId="0" borderId="19" xfId="0" applyNumberFormat="1" applyFont="1" applyBorder="1" applyAlignment="1">
      <alignment horizontal="center" vertical="center"/>
    </xf>
    <xf numFmtId="166" fontId="36" fillId="0" borderId="19" xfId="2" applyNumberFormat="1" applyFont="1" applyFill="1" applyBorder="1" applyAlignment="1">
      <alignment horizontal="center" vertical="top"/>
    </xf>
    <xf numFmtId="9" fontId="26" fillId="0" borderId="19" xfId="0" applyNumberFormat="1" applyFont="1" applyBorder="1" applyAlignment="1">
      <alignment horizontal="center"/>
    </xf>
    <xf numFmtId="9" fontId="26" fillId="0" borderId="26" xfId="0" applyNumberFormat="1" applyFont="1" applyBorder="1" applyAlignment="1">
      <alignment horizontal="center"/>
    </xf>
    <xf numFmtId="167" fontId="16" fillId="0" borderId="19" xfId="0" applyNumberFormat="1" applyFont="1" applyBorder="1" applyAlignment="1">
      <alignment horizontal="center" vertical="center"/>
    </xf>
    <xf numFmtId="9" fontId="0" fillId="0" borderId="19" xfId="0" applyNumberFormat="1" applyBorder="1"/>
    <xf numFmtId="0" fontId="36" fillId="35" borderId="19" xfId="0" applyFont="1" applyFill="1" applyBorder="1" applyAlignment="1">
      <alignment horizontal="center"/>
    </xf>
    <xf numFmtId="9" fontId="0" fillId="0" borderId="19" xfId="0" applyNumberFormat="1" applyBorder="1" applyAlignment="1">
      <alignment horizontal="center"/>
    </xf>
    <xf numFmtId="0" fontId="16" fillId="42" borderId="19" xfId="0" applyFont="1" applyFill="1" applyBorder="1" applyAlignment="1">
      <alignment horizontal="center"/>
    </xf>
    <xf numFmtId="9" fontId="0" fillId="0" borderId="19" xfId="2" applyFont="1" applyFill="1" applyBorder="1" applyAlignment="1">
      <alignment horizontal="center"/>
    </xf>
    <xf numFmtId="2" fontId="0" fillId="0" borderId="19" xfId="2" applyNumberFormat="1" applyFont="1" applyFill="1" applyBorder="1" applyAlignment="1">
      <alignment horizontal="center"/>
    </xf>
    <xf numFmtId="2" fontId="16" fillId="35" borderId="19" xfId="2" applyNumberFormat="1" applyFont="1" applyFill="1" applyBorder="1" applyAlignment="1">
      <alignment horizontal="center"/>
    </xf>
    <xf numFmtId="1" fontId="16" fillId="35" borderId="19" xfId="2" applyNumberFormat="1" applyFont="1" applyFill="1" applyBorder="1" applyAlignment="1">
      <alignment horizontal="center"/>
    </xf>
    <xf numFmtId="9" fontId="0" fillId="0" borderId="26" xfId="1" applyNumberFormat="1" applyFont="1" applyBorder="1" applyAlignment="1">
      <alignment horizontal="center"/>
    </xf>
    <xf numFmtId="168" fontId="34" fillId="44" borderId="19" xfId="1" applyNumberFormat="1" applyFont="1" applyFill="1" applyBorder="1" applyAlignment="1">
      <alignment horizontal="center" vertical="center"/>
    </xf>
    <xf numFmtId="2" fontId="0" fillId="0" borderId="19" xfId="0" applyNumberFormat="1" applyBorder="1"/>
    <xf numFmtId="43" fontId="0" fillId="0" borderId="19" xfId="0" applyNumberFormat="1" applyBorder="1"/>
    <xf numFmtId="0" fontId="0" fillId="42" borderId="19" xfId="0" applyFill="1" applyBorder="1"/>
    <xf numFmtId="0" fontId="16" fillId="42" borderId="19" xfId="0" applyFont="1" applyFill="1" applyBorder="1"/>
    <xf numFmtId="9" fontId="16" fillId="35" borderId="19" xfId="0" applyNumberFormat="1" applyFont="1" applyFill="1" applyBorder="1"/>
    <xf numFmtId="2" fontId="16" fillId="35" borderId="19" xfId="0" applyNumberFormat="1" applyFont="1" applyFill="1" applyBorder="1"/>
    <xf numFmtId="9" fontId="16" fillId="35" borderId="19" xfId="2" applyFont="1" applyFill="1" applyBorder="1"/>
    <xf numFmtId="1" fontId="16" fillId="35" borderId="19" xfId="0" applyNumberFormat="1" applyFont="1" applyFill="1" applyBorder="1"/>
    <xf numFmtId="0" fontId="16" fillId="35" borderId="26" xfId="0" applyFont="1" applyFill="1" applyBorder="1" applyAlignment="1">
      <alignment horizontal="center"/>
    </xf>
    <xf numFmtId="10" fontId="16" fillId="0" borderId="19" xfId="0" applyNumberFormat="1" applyFont="1" applyBorder="1" applyAlignment="1">
      <alignment horizontal="center"/>
    </xf>
    <xf numFmtId="9" fontId="16" fillId="0" borderId="19" xfId="0" applyNumberFormat="1" applyFont="1" applyBorder="1" applyAlignment="1">
      <alignment horizontal="center"/>
    </xf>
    <xf numFmtId="10" fontId="16" fillId="0" borderId="26" xfId="0" applyNumberFormat="1" applyFont="1" applyBorder="1" applyAlignment="1">
      <alignment horizontal="center"/>
    </xf>
    <xf numFmtId="9" fontId="16" fillId="0" borderId="26" xfId="0" applyNumberFormat="1" applyFont="1" applyBorder="1" applyAlignment="1">
      <alignment horizontal="center"/>
    </xf>
    <xf numFmtId="0" fontId="34" fillId="35" borderId="19" xfId="0" applyFont="1" applyFill="1" applyBorder="1" applyAlignment="1">
      <alignment horizontal="center"/>
    </xf>
    <xf numFmtId="0" fontId="36" fillId="0" borderId="0" xfId="0" applyFont="1"/>
    <xf numFmtId="0" fontId="0" fillId="0" borderId="32" xfId="0" applyBorder="1"/>
    <xf numFmtId="0" fontId="26" fillId="0" borderId="0" xfId="0" applyFont="1" applyAlignment="1">
      <alignment horizontal="left" vertical="center"/>
    </xf>
    <xf numFmtId="0" fontId="33" fillId="0" borderId="0" xfId="0" applyFont="1" applyAlignment="1">
      <alignment vertical="center"/>
    </xf>
    <xf numFmtId="0" fontId="0" fillId="0" borderId="29" xfId="0" applyBorder="1"/>
    <xf numFmtId="0" fontId="36" fillId="0" borderId="26" xfId="0" applyFont="1" applyBorder="1" applyAlignment="1">
      <alignment horizontal="center" vertical="top"/>
    </xf>
    <xf numFmtId="0" fontId="16" fillId="0" borderId="35" xfId="0" applyFont="1" applyBorder="1" applyAlignment="1">
      <alignment horizontal="left" vertical="top"/>
    </xf>
    <xf numFmtId="0" fontId="0" fillId="0" borderId="40" xfId="0" applyBorder="1" applyAlignment="1">
      <alignment vertical="center"/>
    </xf>
    <xf numFmtId="0" fontId="0" fillId="0" borderId="40" xfId="0" applyBorder="1" applyAlignment="1">
      <alignment horizontal="center" vertical="center"/>
    </xf>
    <xf numFmtId="0" fontId="0" fillId="0" borderId="19" xfId="0" applyBorder="1" applyAlignment="1">
      <alignment vertical="center"/>
    </xf>
    <xf numFmtId="0" fontId="0" fillId="0" borderId="19" xfId="0" applyBorder="1" applyAlignment="1">
      <alignment horizontal="center" vertical="center"/>
    </xf>
    <xf numFmtId="1" fontId="16" fillId="0" borderId="19" xfId="1" applyNumberFormat="1" applyFont="1" applyBorder="1" applyAlignment="1">
      <alignment horizontal="center" vertical="center"/>
    </xf>
    <xf numFmtId="1" fontId="16" fillId="0" borderId="32" xfId="0" applyNumberFormat="1" applyFont="1" applyBorder="1" applyAlignment="1">
      <alignment horizontal="center"/>
    </xf>
    <xf numFmtId="9" fontId="26" fillId="35" borderId="19" xfId="0" applyNumberFormat="1" applyFont="1" applyFill="1" applyBorder="1" applyAlignment="1">
      <alignment horizontal="center"/>
    </xf>
    <xf numFmtId="0" fontId="36" fillId="0" borderId="0" xfId="0" applyFont="1" applyAlignment="1">
      <alignment horizontal="center"/>
    </xf>
    <xf numFmtId="2" fontId="0" fillId="0" borderId="19" xfId="1" applyNumberFormat="1" applyFont="1" applyBorder="1" applyAlignment="1">
      <alignment horizontal="center"/>
    </xf>
    <xf numFmtId="2" fontId="36" fillId="0" borderId="19" xfId="0" applyNumberFormat="1" applyFont="1" applyBorder="1" applyAlignment="1">
      <alignment horizontal="center"/>
    </xf>
    <xf numFmtId="2" fontId="16" fillId="0" borderId="0" xfId="0" applyNumberFormat="1" applyFont="1" applyAlignment="1">
      <alignment horizontal="center"/>
    </xf>
    <xf numFmtId="2" fontId="16" fillId="0" borderId="19" xfId="1" applyNumberFormat="1" applyFont="1" applyBorder="1" applyAlignment="1">
      <alignment horizontal="center"/>
    </xf>
    <xf numFmtId="0" fontId="16" fillId="0" borderId="26" xfId="0" applyFont="1" applyBorder="1" applyAlignment="1">
      <alignment horizontal="center"/>
    </xf>
    <xf numFmtId="0" fontId="0" fillId="0" borderId="26" xfId="0" applyBorder="1" applyAlignment="1">
      <alignment horizontal="center"/>
    </xf>
    <xf numFmtId="168" fontId="16" fillId="44" borderId="29" xfId="2" applyNumberFormat="1" applyFont="1" applyFill="1" applyBorder="1"/>
    <xf numFmtId="0" fontId="16" fillId="42" borderId="0" xfId="0" applyFont="1" applyFill="1" applyAlignment="1">
      <alignment horizontal="center"/>
    </xf>
    <xf numFmtId="0" fontId="0" fillId="0" borderId="42" xfId="0" applyBorder="1"/>
    <xf numFmtId="0" fontId="0" fillId="0" borderId="43" xfId="0" applyBorder="1"/>
    <xf numFmtId="0" fontId="16" fillId="42" borderId="45" xfId="0" applyFont="1" applyFill="1" applyBorder="1" applyAlignment="1">
      <alignment horizontal="center"/>
    </xf>
    <xf numFmtId="9" fontId="0" fillId="0" borderId="45" xfId="0" applyNumberFormat="1" applyBorder="1"/>
    <xf numFmtId="9" fontId="16" fillId="35" borderId="45" xfId="0" applyNumberFormat="1" applyFont="1" applyFill="1" applyBorder="1"/>
    <xf numFmtId="0" fontId="0" fillId="42" borderId="45" xfId="0" applyFill="1" applyBorder="1"/>
    <xf numFmtId="9" fontId="16" fillId="35" borderId="45" xfId="2" applyFont="1" applyFill="1" applyBorder="1"/>
    <xf numFmtId="0" fontId="16" fillId="42" borderId="45" xfId="0" applyFont="1" applyFill="1" applyBorder="1"/>
    <xf numFmtId="0" fontId="0" fillId="0" borderId="48" xfId="0" applyBorder="1"/>
    <xf numFmtId="0" fontId="0" fillId="0" borderId="49" xfId="0" applyBorder="1"/>
    <xf numFmtId="0" fontId="0" fillId="0" borderId="50" xfId="0" applyBorder="1"/>
    <xf numFmtId="0" fontId="0" fillId="0" borderId="51" xfId="0" applyBorder="1"/>
    <xf numFmtId="0" fontId="0" fillId="0" borderId="52" xfId="0" applyBorder="1"/>
    <xf numFmtId="0" fontId="0" fillId="0" borderId="53" xfId="0" applyBorder="1"/>
    <xf numFmtId="0" fontId="0" fillId="0" borderId="54" xfId="0" applyBorder="1"/>
    <xf numFmtId="0" fontId="0" fillId="0" borderId="55" xfId="0" applyBorder="1"/>
    <xf numFmtId="0" fontId="36" fillId="0" borderId="32" xfId="0" applyFont="1" applyBorder="1"/>
    <xf numFmtId="0" fontId="26" fillId="0" borderId="0" xfId="0" applyFont="1" applyAlignment="1">
      <alignment horizontal="center"/>
    </xf>
    <xf numFmtId="0" fontId="16" fillId="43" borderId="19" xfId="0" applyFont="1" applyFill="1" applyBorder="1"/>
    <xf numFmtId="2" fontId="16" fillId="43" borderId="19" xfId="1" applyNumberFormat="1" applyFont="1" applyFill="1" applyBorder="1" applyAlignment="1">
      <alignment horizontal="center"/>
    </xf>
    <xf numFmtId="0" fontId="16" fillId="43" borderId="19" xfId="0" applyFont="1" applyFill="1" applyBorder="1" applyAlignment="1">
      <alignment horizontal="center"/>
    </xf>
    <xf numFmtId="2" fontId="36" fillId="0" borderId="0" xfId="0" applyNumberFormat="1" applyFont="1" applyAlignment="1">
      <alignment horizontal="center"/>
    </xf>
    <xf numFmtId="2" fontId="16" fillId="0" borderId="0" xfId="1" applyNumberFormat="1" applyFont="1" applyBorder="1" applyAlignment="1">
      <alignment horizontal="center"/>
    </xf>
    <xf numFmtId="0" fontId="41" fillId="0" borderId="28" xfId="0" applyFont="1" applyBorder="1"/>
    <xf numFmtId="169" fontId="26" fillId="0" borderId="19" xfId="0" applyNumberFormat="1" applyFont="1" applyBorder="1" applyAlignment="1">
      <alignment horizontal="center" vertical="center"/>
    </xf>
    <xf numFmtId="9" fontId="36" fillId="0" borderId="32" xfId="0" applyNumberFormat="1" applyFont="1" applyBorder="1" applyAlignment="1">
      <alignment horizontal="center" vertical="center"/>
    </xf>
    <xf numFmtId="9" fontId="29" fillId="37" borderId="26" xfId="2" applyFont="1" applyFill="1" applyBorder="1"/>
    <xf numFmtId="0" fontId="16" fillId="0" borderId="19" xfId="0" applyFont="1" applyBorder="1" applyAlignment="1">
      <alignment horizontal="center" vertical="center" textRotation="90"/>
    </xf>
    <xf numFmtId="0" fontId="18" fillId="0" borderId="13" xfId="0" applyFont="1" applyBorder="1" applyAlignment="1">
      <alignment horizontal="center" vertical="center" wrapText="1"/>
    </xf>
    <xf numFmtId="0" fontId="18" fillId="0" borderId="14" xfId="0" applyFont="1" applyBorder="1" applyAlignment="1">
      <alignment horizontal="center" vertical="center" wrapText="1"/>
    </xf>
    <xf numFmtId="0" fontId="18" fillId="0" borderId="15" xfId="0" applyFont="1" applyBorder="1" applyAlignment="1">
      <alignment horizontal="center" vertical="center" wrapText="1"/>
    </xf>
    <xf numFmtId="0" fontId="21" fillId="34" borderId="0" xfId="0" applyFont="1" applyFill="1" applyAlignment="1">
      <alignment vertical="center" wrapText="1"/>
    </xf>
    <xf numFmtId="0" fontId="22" fillId="34" borderId="0" xfId="0" applyFont="1" applyFill="1" applyAlignment="1">
      <alignment vertical="center" wrapText="1"/>
    </xf>
    <xf numFmtId="0" fontId="24" fillId="34" borderId="0" xfId="0" applyFont="1" applyFill="1" applyAlignment="1">
      <alignment horizontal="left" vertical="center" wrapText="1"/>
    </xf>
    <xf numFmtId="0" fontId="23" fillId="34" borderId="19" xfId="0" applyFont="1" applyFill="1" applyBorder="1" applyAlignment="1">
      <alignment vertical="center" wrapText="1"/>
    </xf>
    <xf numFmtId="0" fontId="16" fillId="44" borderId="35" xfId="0" applyFont="1" applyFill="1" applyBorder="1" applyAlignment="1">
      <alignment horizontal="center"/>
    </xf>
    <xf numFmtId="0" fontId="16" fillId="44" borderId="36" xfId="0" applyFont="1" applyFill="1" applyBorder="1" applyAlignment="1">
      <alignment horizontal="center"/>
    </xf>
    <xf numFmtId="0" fontId="16" fillId="44" borderId="41" xfId="0" applyFont="1" applyFill="1" applyBorder="1" applyAlignment="1">
      <alignment horizontal="center"/>
    </xf>
    <xf numFmtId="0" fontId="16" fillId="35" borderId="33" xfId="0" applyFont="1" applyFill="1" applyBorder="1" applyAlignment="1">
      <alignment horizontal="center"/>
    </xf>
    <xf numFmtId="0" fontId="16" fillId="35" borderId="32" xfId="0" applyFont="1" applyFill="1" applyBorder="1" applyAlignment="1">
      <alignment horizontal="center"/>
    </xf>
    <xf numFmtId="0" fontId="0" fillId="0" borderId="33" xfId="0" applyBorder="1" applyAlignment="1">
      <alignment horizontal="center"/>
    </xf>
    <xf numFmtId="0" fontId="0" fillId="0" borderId="32" xfId="0" applyBorder="1" applyAlignment="1">
      <alignment horizontal="center"/>
    </xf>
    <xf numFmtId="0" fontId="16" fillId="43" borderId="33" xfId="0" applyFont="1" applyFill="1" applyBorder="1" applyAlignment="1">
      <alignment horizontal="center"/>
    </xf>
    <xf numFmtId="0" fontId="16" fillId="43" borderId="34" xfId="0" applyFont="1" applyFill="1" applyBorder="1" applyAlignment="1">
      <alignment horizontal="center"/>
    </xf>
    <xf numFmtId="0" fontId="16" fillId="43" borderId="32" xfId="0" applyFont="1" applyFill="1" applyBorder="1" applyAlignment="1">
      <alignment horizontal="center"/>
    </xf>
    <xf numFmtId="0" fontId="36" fillId="0" borderId="19" xfId="0" applyFont="1" applyBorder="1" applyAlignment="1">
      <alignment horizontal="center"/>
    </xf>
    <xf numFmtId="0" fontId="0" fillId="0" borderId="46" xfId="0" applyBorder="1" applyAlignment="1">
      <alignment horizontal="center"/>
    </xf>
    <xf numFmtId="0" fontId="16" fillId="0" borderId="44" xfId="0" applyFont="1" applyBorder="1" applyAlignment="1">
      <alignment horizontal="left"/>
    </xf>
    <xf numFmtId="0" fontId="16" fillId="0" borderId="19" xfId="0" applyFont="1" applyBorder="1" applyAlignment="1">
      <alignment horizontal="left"/>
    </xf>
    <xf numFmtId="0" fontId="16" fillId="35" borderId="44" xfId="0" applyFont="1" applyFill="1" applyBorder="1" applyAlignment="1">
      <alignment horizontal="center"/>
    </xf>
    <xf numFmtId="0" fontId="16" fillId="35" borderId="19" xfId="0" applyFont="1" applyFill="1" applyBorder="1" applyAlignment="1">
      <alignment horizontal="center"/>
    </xf>
    <xf numFmtId="43" fontId="0" fillId="0" borderId="46" xfId="1" applyFont="1" applyBorder="1" applyAlignment="1">
      <alignment horizontal="center"/>
    </xf>
    <xf numFmtId="43" fontId="0" fillId="0" borderId="32" xfId="1" applyFont="1" applyBorder="1" applyAlignment="1">
      <alignment horizontal="center"/>
    </xf>
    <xf numFmtId="43" fontId="0" fillId="0" borderId="47" xfId="1" applyFont="1" applyBorder="1" applyAlignment="1">
      <alignment horizontal="center"/>
    </xf>
    <xf numFmtId="43" fontId="0" fillId="0" borderId="41" xfId="1" applyFont="1" applyBorder="1" applyAlignment="1">
      <alignment horizontal="center"/>
    </xf>
    <xf numFmtId="0" fontId="16" fillId="46" borderId="19" xfId="0" applyFont="1" applyFill="1" applyBorder="1" applyAlignment="1">
      <alignment horizontal="center"/>
    </xf>
    <xf numFmtId="0" fontId="16" fillId="46" borderId="45" xfId="0" applyFont="1" applyFill="1" applyBorder="1" applyAlignment="1">
      <alignment horizontal="center"/>
    </xf>
    <xf numFmtId="0" fontId="16" fillId="0" borderId="46" xfId="0" applyFont="1" applyBorder="1" applyAlignment="1">
      <alignment horizontal="center"/>
    </xf>
    <xf numFmtId="0" fontId="16" fillId="0" borderId="32" xfId="0" applyFont="1" applyBorder="1" applyAlignment="1">
      <alignment horizontal="center"/>
    </xf>
    <xf numFmtId="0" fontId="16" fillId="42" borderId="33" xfId="0" applyFont="1" applyFill="1" applyBorder="1" applyAlignment="1">
      <alignment horizontal="center"/>
    </xf>
    <xf numFmtId="0" fontId="16" fillId="42" borderId="34" xfId="0" applyFont="1" applyFill="1" applyBorder="1" applyAlignment="1">
      <alignment horizontal="center"/>
    </xf>
    <xf numFmtId="0" fontId="16" fillId="42" borderId="32" xfId="0" applyFont="1" applyFill="1" applyBorder="1" applyAlignment="1">
      <alignment horizontal="center"/>
    </xf>
    <xf numFmtId="0" fontId="16" fillId="45" borderId="44" xfId="0" applyFont="1" applyFill="1" applyBorder="1" applyAlignment="1">
      <alignment horizontal="center"/>
    </xf>
    <xf numFmtId="0" fontId="16" fillId="45" borderId="19" xfId="0" applyFont="1" applyFill="1" applyBorder="1" applyAlignment="1">
      <alignment horizontal="center"/>
    </xf>
    <xf numFmtId="0" fontId="36" fillId="42" borderId="36" xfId="0" applyFont="1" applyFill="1" applyBorder="1" applyAlignment="1">
      <alignment horizontal="center" vertical="center"/>
    </xf>
    <xf numFmtId="0" fontId="31" fillId="39" borderId="19" xfId="0" applyFont="1" applyFill="1" applyBorder="1" applyAlignment="1">
      <alignment horizontal="center" vertical="center"/>
    </xf>
    <xf numFmtId="0" fontId="31" fillId="40" borderId="19" xfId="0" applyFont="1" applyFill="1" applyBorder="1" applyAlignment="1">
      <alignment horizontal="center" vertical="center"/>
    </xf>
    <xf numFmtId="0" fontId="36" fillId="5" borderId="19" xfId="18" applyFont="1" applyFill="1" applyBorder="1" applyAlignment="1">
      <alignment horizontal="center" vertical="center"/>
    </xf>
    <xf numFmtId="0" fontId="36" fillId="0" borderId="35" xfId="0" applyFont="1" applyBorder="1" applyAlignment="1">
      <alignment horizontal="center"/>
    </xf>
    <xf numFmtId="0" fontId="36" fillId="0" borderId="36" xfId="0" applyFont="1" applyBorder="1" applyAlignment="1">
      <alignment horizontal="center"/>
    </xf>
    <xf numFmtId="0" fontId="36" fillId="0" borderId="41" xfId="0" applyFont="1" applyBorder="1" applyAlignment="1">
      <alignment horizontal="center"/>
    </xf>
    <xf numFmtId="0" fontId="36" fillId="0" borderId="39" xfId="0" applyFont="1" applyBorder="1" applyAlignment="1">
      <alignment horizontal="center"/>
    </xf>
    <xf numFmtId="0" fontId="36" fillId="0" borderId="30" xfId="0" applyFont="1" applyBorder="1" applyAlignment="1">
      <alignment horizontal="center"/>
    </xf>
    <xf numFmtId="0" fontId="16" fillId="0" borderId="33" xfId="0" applyFont="1" applyBorder="1" applyAlignment="1">
      <alignment horizontal="center"/>
    </xf>
    <xf numFmtId="0" fontId="16" fillId="0" borderId="34" xfId="0" applyFont="1" applyBorder="1" applyAlignment="1">
      <alignment horizontal="center"/>
    </xf>
    <xf numFmtId="43" fontId="16" fillId="0" borderId="35" xfId="1" applyFont="1" applyBorder="1" applyAlignment="1">
      <alignment horizontal="center"/>
    </xf>
    <xf numFmtId="43" fontId="16" fillId="0" borderId="36" xfId="1" applyFont="1" applyBorder="1" applyAlignment="1">
      <alignment horizontal="center"/>
    </xf>
    <xf numFmtId="43" fontId="16" fillId="0" borderId="41" xfId="1" applyFont="1" applyBorder="1" applyAlignment="1">
      <alignment horizontal="center"/>
    </xf>
    <xf numFmtId="0" fontId="16" fillId="38" borderId="19" xfId="0" applyFont="1" applyFill="1" applyBorder="1" applyAlignment="1">
      <alignment horizontal="center"/>
    </xf>
    <xf numFmtId="0" fontId="16" fillId="38" borderId="19" xfId="0" applyFont="1" applyFill="1" applyBorder="1" applyAlignment="1">
      <alignment horizontal="center" vertical="center"/>
    </xf>
    <xf numFmtId="43" fontId="0" fillId="0" borderId="19" xfId="1" applyFont="1" applyBorder="1" applyAlignment="1">
      <alignment horizontal="center"/>
    </xf>
    <xf numFmtId="43" fontId="16" fillId="0" borderId="19" xfId="1" applyFont="1" applyBorder="1" applyAlignment="1">
      <alignment horizontal="center"/>
    </xf>
    <xf numFmtId="166" fontId="16" fillId="0" borderId="32" xfId="0" applyNumberFormat="1" applyFont="1" applyBorder="1" applyAlignment="1">
      <alignment horizontal="center"/>
    </xf>
    <xf numFmtId="9" fontId="26" fillId="0" borderId="19" xfId="2" applyFont="1" applyBorder="1" applyAlignment="1">
      <alignment horizontal="center"/>
    </xf>
    <xf numFmtId="168" fontId="16" fillId="43" borderId="19" xfId="2" applyNumberFormat="1" applyFont="1" applyFill="1" applyBorder="1" applyAlignment="1">
      <alignment horizontal="center"/>
    </xf>
    <xf numFmtId="2" fontId="32" fillId="0" borderId="19" xfId="1" applyNumberFormat="1" applyFont="1" applyBorder="1" applyAlignment="1">
      <alignment horizontal="center" vertical="center"/>
    </xf>
    <xf numFmtId="3" fontId="19" fillId="0" borderId="10" xfId="0" applyNumberFormat="1" applyFont="1" applyBorder="1" applyAlignment="1">
      <alignment wrapText="1"/>
    </xf>
  </cellXfs>
  <cellStyles count="4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2">
    <dxf>
      <font>
        <color rgb="FF9C0006"/>
      </font>
      <fill>
        <patternFill>
          <bgColor rgb="FFFFC7CE"/>
        </patternFill>
      </fill>
    </dxf>
    <dxf>
      <font>
        <color rgb="FF006100"/>
      </font>
      <fill>
        <patternFill>
          <bgColor rgb="FFC6EFCE"/>
        </patternFill>
      </fill>
    </dxf>
  </dxfs>
  <tableStyles count="1" defaultTableStyle="TableStyleMedium2" defaultPivotStyle="PivotStyleLight16">
    <tableStyle name="Invisible" pivot="0" table="0" count="0" xr9:uid="{F8E687BF-4957-4268-BC3B-2FEF340A2D1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999784694780008E-2"/>
          <c:y val="8.212416536909864E-2"/>
          <c:w val="0.5327735546190665"/>
          <c:h val="0.85231028161479727"/>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1C-424A-ACB0-D3C7314ADF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1C-424A-ACB0-D3C7314ADF4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11C-424A-ACB0-D3C7314ADF4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11C-424A-ACB0-D3C7314ADF4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11C-424A-ACB0-D3C7314ADF46}"/>
              </c:ext>
            </c:extLst>
          </c:dPt>
          <c:cat>
            <c:strRef>
              <c:f>WEIGHTAGES!$B$25:$B$29</c:f>
              <c:strCache>
                <c:ptCount val="5"/>
                <c:pt idx="0">
                  <c:v>PROFITABILITY RATIOS</c:v>
                </c:pt>
                <c:pt idx="1">
                  <c:v>LIQUIDITY RATIOS</c:v>
                </c:pt>
                <c:pt idx="2">
                  <c:v>LEVERAGE</c:v>
                </c:pt>
                <c:pt idx="3">
                  <c:v>EFFICIENCY RATIOS</c:v>
                </c:pt>
                <c:pt idx="4">
                  <c:v>MARKET RATIOS</c:v>
                </c:pt>
              </c:strCache>
            </c:strRef>
          </c:cat>
          <c:val>
            <c:numRef>
              <c:f>WEIGHTAGES!$F$25:$F$29</c:f>
              <c:numCache>
                <c:formatCode>0%</c:formatCode>
                <c:ptCount val="5"/>
                <c:pt idx="0">
                  <c:v>0.23456730074340407</c:v>
                </c:pt>
                <c:pt idx="1">
                  <c:v>0.14444422775434329</c:v>
                </c:pt>
                <c:pt idx="2">
                  <c:v>9.7530768093188558E-2</c:v>
                </c:pt>
                <c:pt idx="3">
                  <c:v>0.14259230417312466</c:v>
                </c:pt>
                <c:pt idx="4">
                  <c:v>0.38086540031349042</c:v>
                </c:pt>
              </c:numCache>
            </c:numRef>
          </c:val>
          <c:extLst>
            <c:ext xmlns:c16="http://schemas.microsoft.com/office/drawing/2014/chart" uri="{C3380CC4-5D6E-409C-BE32-E72D297353CC}">
              <c16:uniqueId val="{00000000-1474-481B-93BA-9DFFA8526DB4}"/>
            </c:ext>
          </c:extLst>
        </c:ser>
        <c:dLbls>
          <c:showLegendKey val="0"/>
          <c:showVal val="0"/>
          <c:showCatName val="0"/>
          <c:showSerName val="0"/>
          <c:showPercent val="0"/>
          <c:showBubbleSize val="0"/>
          <c:showLeaderLines val="1"/>
        </c:dLbls>
        <c:firstSliceAng val="0"/>
        <c:holeSize val="68"/>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53055118110236"/>
          <c:y val="0.20328696412948383"/>
          <c:w val="0.4127223097112861"/>
          <c:h val="0.68787051618547679"/>
        </c:manualLayout>
      </c:layout>
      <c:radarChart>
        <c:radarStyle val="marker"/>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OUTPUT!$G$14:$G$18</c:f>
              <c:strCache>
                <c:ptCount val="5"/>
                <c:pt idx="0">
                  <c:v>PROFITABILITY RATIOS</c:v>
                </c:pt>
                <c:pt idx="1">
                  <c:v>LIQUIDITY RATIOS</c:v>
                </c:pt>
                <c:pt idx="2">
                  <c:v>LEVERAGE</c:v>
                </c:pt>
                <c:pt idx="3">
                  <c:v>EFFICIENCY RATIOS</c:v>
                </c:pt>
                <c:pt idx="4">
                  <c:v>MARKET RATIOS</c:v>
                </c:pt>
              </c:strCache>
            </c:strRef>
          </c:cat>
          <c:val>
            <c:numRef>
              <c:f>OUTPUT!$I$14:$I$18</c:f>
              <c:numCache>
                <c:formatCode>0%</c:formatCode>
                <c:ptCount val="5"/>
                <c:pt idx="0">
                  <c:v>1</c:v>
                </c:pt>
                <c:pt idx="1">
                  <c:v>0.7</c:v>
                </c:pt>
                <c:pt idx="2">
                  <c:v>0.8</c:v>
                </c:pt>
                <c:pt idx="3">
                  <c:v>1</c:v>
                </c:pt>
                <c:pt idx="4">
                  <c:v>0.60000000000000009</c:v>
                </c:pt>
              </c:numCache>
            </c:numRef>
          </c:val>
          <c:extLst>
            <c:ext xmlns:c16="http://schemas.microsoft.com/office/drawing/2014/chart" uri="{C3380CC4-5D6E-409C-BE32-E72D297353CC}">
              <c16:uniqueId val="{00000000-DE5F-4BE2-B4C5-494A5E8E1059}"/>
            </c:ext>
          </c:extLst>
        </c:ser>
        <c:dLbls>
          <c:showLegendKey val="0"/>
          <c:showVal val="0"/>
          <c:showCatName val="0"/>
          <c:showSerName val="0"/>
          <c:showPercent val="0"/>
          <c:showBubbleSize val="0"/>
        </c:dLbls>
        <c:axId val="592017359"/>
        <c:axId val="592016399"/>
      </c:radarChart>
      <c:catAx>
        <c:axId val="592017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016399"/>
        <c:crosses val="autoZero"/>
        <c:auto val="1"/>
        <c:lblAlgn val="ctr"/>
        <c:lblOffset val="100"/>
        <c:noMultiLvlLbl val="0"/>
      </c:catAx>
      <c:valAx>
        <c:axId val="592016399"/>
        <c:scaling>
          <c:orientation val="minMax"/>
        </c:scaling>
        <c:delete val="1"/>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crossAx val="592017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11</xdr:col>
          <xdr:colOff>1552574</xdr:colOff>
          <xdr:row>17</xdr:row>
          <xdr:rowOff>38100</xdr:rowOff>
        </xdr:from>
        <xdr:to>
          <xdr:col>12</xdr:col>
          <xdr:colOff>95249</xdr:colOff>
          <xdr:row>19</xdr:row>
          <xdr:rowOff>76200</xdr:rowOff>
        </xdr:to>
        <xdr:sp macro="" textlink="">
          <xdr:nvSpPr>
            <xdr:cNvPr id="3081" name="Button 9" hidden="1">
              <a:extLst>
                <a:ext uri="{63B3BB69-23CF-44E3-9099-C40C66FF867C}">
                  <a14:compatExt spid="_x0000_s3081"/>
                </a:ext>
                <a:ext uri="{FF2B5EF4-FFF2-40B4-BE49-F238E27FC236}">
                  <a16:creationId xmlns:a16="http://schemas.microsoft.com/office/drawing/2014/main" id="{00000000-0008-0000-0000-0000090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ea typeface="Calibri"/>
                  <a:cs typeface="Calibri"/>
                </a:rPr>
                <a:t>COPY OUTPUT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0</xdr:col>
      <xdr:colOff>76200</xdr:colOff>
      <xdr:row>3</xdr:row>
      <xdr:rowOff>76200</xdr:rowOff>
    </xdr:to>
    <xdr:pic>
      <xdr:nvPicPr>
        <xdr:cNvPr id="2" name="Picture 1">
          <a:extLst>
            <a:ext uri="{FF2B5EF4-FFF2-40B4-BE49-F238E27FC236}">
              <a16:creationId xmlns:a16="http://schemas.microsoft.com/office/drawing/2014/main" id="{EB567993-2518-3F9B-01D4-8F2A5CBB98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5527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xdr:row>
      <xdr:rowOff>0</xdr:rowOff>
    </xdr:from>
    <xdr:to>
      <xdr:col>0</xdr:col>
      <xdr:colOff>76200</xdr:colOff>
      <xdr:row>4</xdr:row>
      <xdr:rowOff>76200</xdr:rowOff>
    </xdr:to>
    <xdr:pic>
      <xdr:nvPicPr>
        <xdr:cNvPr id="3" name="Picture 2">
          <a:extLst>
            <a:ext uri="{FF2B5EF4-FFF2-40B4-BE49-F238E27FC236}">
              <a16:creationId xmlns:a16="http://schemas.microsoft.com/office/drawing/2014/main" id="{7816A2AC-4C58-20AB-AD3D-48ED8EA430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9337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61</xdr:row>
      <xdr:rowOff>0</xdr:rowOff>
    </xdr:from>
    <xdr:to>
      <xdr:col>0</xdr:col>
      <xdr:colOff>76200</xdr:colOff>
      <xdr:row>61</xdr:row>
      <xdr:rowOff>76200</xdr:rowOff>
    </xdr:to>
    <xdr:pic>
      <xdr:nvPicPr>
        <xdr:cNvPr id="4" name="Picture 3">
          <a:extLst>
            <a:ext uri="{FF2B5EF4-FFF2-40B4-BE49-F238E27FC236}">
              <a16:creationId xmlns:a16="http://schemas.microsoft.com/office/drawing/2014/main" id="{88C5DCE3-5DE4-8CC3-788D-2C91C3371FC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94132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102356</xdr:colOff>
      <xdr:row>21</xdr:row>
      <xdr:rowOff>0</xdr:rowOff>
    </xdr:from>
    <xdr:to>
      <xdr:col>11</xdr:col>
      <xdr:colOff>179367</xdr:colOff>
      <xdr:row>31</xdr:row>
      <xdr:rowOff>4264</xdr:rowOff>
    </xdr:to>
    <xdr:graphicFrame macro="">
      <xdr:nvGraphicFramePr>
        <xdr:cNvPr id="2" name="Chart 1">
          <a:extLst>
            <a:ext uri="{FF2B5EF4-FFF2-40B4-BE49-F238E27FC236}">
              <a16:creationId xmlns:a16="http://schemas.microsoft.com/office/drawing/2014/main" id="{1866BBE2-ED54-9F2E-318D-C41E389157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58165</xdr:colOff>
      <xdr:row>9</xdr:row>
      <xdr:rowOff>189809</xdr:rowOff>
    </xdr:from>
    <xdr:to>
      <xdr:col>18</xdr:col>
      <xdr:colOff>210565</xdr:colOff>
      <xdr:row>21</xdr:row>
      <xdr:rowOff>170151</xdr:rowOff>
    </xdr:to>
    <xdr:graphicFrame macro="">
      <xdr:nvGraphicFramePr>
        <xdr:cNvPr id="2" name="Chart 1">
          <a:extLst>
            <a:ext uri="{FF2B5EF4-FFF2-40B4-BE49-F238E27FC236}">
              <a16:creationId xmlns:a16="http://schemas.microsoft.com/office/drawing/2014/main" id="{738B1C57-D9D7-8BDE-9F3E-A3797F24C5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2</xdr:col>
          <xdr:colOff>590550</xdr:colOff>
          <xdr:row>37</xdr:row>
          <xdr:rowOff>114300</xdr:rowOff>
        </xdr:from>
        <xdr:to>
          <xdr:col>4</xdr:col>
          <xdr:colOff>390525</xdr:colOff>
          <xdr:row>40</xdr:row>
          <xdr:rowOff>171450</xdr:rowOff>
        </xdr:to>
        <xdr:sp macro="" textlink="">
          <xdr:nvSpPr>
            <xdr:cNvPr id="5124" name="Button 4" hidden="1">
              <a:extLst>
                <a:ext uri="{63B3BB69-23CF-44E3-9099-C40C66FF867C}">
                  <a14:compatExt spid="_x0000_s5124"/>
                </a:ext>
                <a:ext uri="{FF2B5EF4-FFF2-40B4-BE49-F238E27FC236}">
                  <a16:creationId xmlns:a16="http://schemas.microsoft.com/office/drawing/2014/main" id="{00000000-0008-0000-0600-0000041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ea typeface="Calibri"/>
                  <a:cs typeface="Calibri"/>
                </a:rPr>
                <a:t>COPY TO CLIPBOARD</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trlProp" Target="../ctrlProps/ctrlProp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2D5C3-3707-490E-A5E5-8425C5169745}">
  <sheetPr codeName="Sheet2">
    <tabColor rgb="FF00B050"/>
  </sheetPr>
  <dimension ref="B3:N32"/>
  <sheetViews>
    <sheetView showGridLines="0" zoomScaleNormal="100" workbookViewId="0">
      <selection activeCell="L25" sqref="L25"/>
    </sheetView>
  </sheetViews>
  <sheetFormatPr defaultRowHeight="15" x14ac:dyDescent="0.25"/>
  <cols>
    <col min="1" max="1" width="12.42578125" customWidth="1"/>
    <col min="2" max="2" width="4.140625" customWidth="1"/>
    <col min="3" max="3" width="29" bestFit="1" customWidth="1"/>
    <col min="4" max="4" width="18.42578125" customWidth="1"/>
    <col min="7" max="7" width="20.140625" bestFit="1" customWidth="1"/>
    <col min="10" max="10" width="5.28515625" customWidth="1"/>
    <col min="12" max="12" width="43.42578125" bestFit="1" customWidth="1"/>
    <col min="13" max="13" width="12.140625" customWidth="1"/>
    <col min="14" max="14" width="13" customWidth="1"/>
  </cols>
  <sheetData>
    <row r="3" spans="3:14" ht="15.75" thickBot="1" x14ac:dyDescent="0.3">
      <c r="C3" s="18" t="s">
        <v>313</v>
      </c>
      <c r="D3" s="42" t="s">
        <v>401</v>
      </c>
      <c r="G3" s="77" t="s">
        <v>303</v>
      </c>
      <c r="H3" s="68"/>
      <c r="L3" s="77" t="s">
        <v>389</v>
      </c>
    </row>
    <row r="4" spans="3:14" ht="15.75" thickTop="1" x14ac:dyDescent="0.25">
      <c r="C4" s="18" t="s">
        <v>283</v>
      </c>
      <c r="D4" s="41" t="s">
        <v>284</v>
      </c>
      <c r="G4" s="13"/>
    </row>
    <row r="5" spans="3:14" x14ac:dyDescent="0.25">
      <c r="C5" s="13"/>
      <c r="D5" s="19"/>
      <c r="H5" s="198" t="s">
        <v>411</v>
      </c>
      <c r="I5" s="198" t="s">
        <v>283</v>
      </c>
      <c r="J5" s="198"/>
      <c r="L5" s="225" t="str">
        <f>OUTPUT!G13</f>
        <v>KEY RATIO ANALYSIS</v>
      </c>
      <c r="M5" s="227" t="str">
        <f>OUTPUT!H13</f>
        <v>SCORE</v>
      </c>
      <c r="N5" s="227" t="s">
        <v>390</v>
      </c>
    </row>
    <row r="6" spans="3:14" x14ac:dyDescent="0.25">
      <c r="C6" s="18" t="s">
        <v>311</v>
      </c>
      <c r="D6" s="183">
        <v>380</v>
      </c>
      <c r="E6" s="19" t="s">
        <v>285</v>
      </c>
      <c r="G6" s="18" t="s">
        <v>304</v>
      </c>
      <c r="H6" s="41">
        <v>40</v>
      </c>
      <c r="I6" s="200">
        <f>WEIGHTAGES!J11</f>
        <v>47.607718474123267</v>
      </c>
      <c r="J6" s="228"/>
      <c r="L6" s="14" t="str">
        <f>OUTPUT!G14</f>
        <v>PROFITABILITY RATIOS</v>
      </c>
      <c r="M6" s="199">
        <f>OUTPUT!H14</f>
        <v>2.3456730074340406</v>
      </c>
      <c r="N6" s="290">
        <f>OUTPUT!I14</f>
        <v>1</v>
      </c>
    </row>
    <row r="7" spans="3:14" x14ac:dyDescent="0.25">
      <c r="C7" s="18" t="s">
        <v>310</v>
      </c>
      <c r="D7" s="161">
        <v>5</v>
      </c>
      <c r="G7" s="18" t="s">
        <v>305</v>
      </c>
      <c r="H7" s="41">
        <v>5</v>
      </c>
      <c r="I7" s="200">
        <f>WEIGHTAGES!J10</f>
        <v>20.794947368421052</v>
      </c>
      <c r="J7" s="228"/>
      <c r="L7" s="14" t="str">
        <f>OUTPUT!G15</f>
        <v>LIQUIDITY RATIOS</v>
      </c>
      <c r="M7" s="199">
        <f>OUTPUT!H15</f>
        <v>1.0111095942804029</v>
      </c>
      <c r="N7" s="290">
        <f>OUTPUT!I15</f>
        <v>0.7</v>
      </c>
    </row>
    <row r="8" spans="3:14" x14ac:dyDescent="0.25">
      <c r="C8" s="18" t="s">
        <v>380</v>
      </c>
      <c r="D8" s="161">
        <v>990</v>
      </c>
      <c r="G8" s="18" t="s">
        <v>306</v>
      </c>
      <c r="H8" s="41">
        <v>5</v>
      </c>
      <c r="I8" s="200">
        <f>WEIGHTAGES!J8</f>
        <v>5</v>
      </c>
      <c r="J8" s="228"/>
      <c r="L8" s="14" t="str">
        <f>OUTPUT!G16</f>
        <v>LEVERAGE</v>
      </c>
      <c r="M8" s="199">
        <f>OUTPUT!H16</f>
        <v>0.78024614474550846</v>
      </c>
      <c r="N8" s="290">
        <f>OUTPUT!I16</f>
        <v>0.8</v>
      </c>
    </row>
    <row r="9" spans="3:14" x14ac:dyDescent="0.25">
      <c r="C9" s="13"/>
      <c r="D9" s="184"/>
      <c r="G9" s="18" t="s">
        <v>307</v>
      </c>
      <c r="H9" s="197">
        <v>0.05</v>
      </c>
      <c r="I9" s="200">
        <f>WEIGHTAGES!J9</f>
        <v>5.0505050505050509E-3</v>
      </c>
      <c r="J9" s="228"/>
      <c r="L9" s="14" t="str">
        <f>OUTPUT!G17</f>
        <v>EFFICIENCY RATIOS</v>
      </c>
      <c r="M9" s="199">
        <f>OUTPUT!H17</f>
        <v>1.4259230417312465</v>
      </c>
      <c r="N9" s="290">
        <f>OUTPUT!I17</f>
        <v>1</v>
      </c>
    </row>
    <row r="10" spans="3:14" x14ac:dyDescent="0.25">
      <c r="C10" s="70" t="s">
        <v>338</v>
      </c>
      <c r="D10" s="161">
        <v>2</v>
      </c>
      <c r="G10" s="18" t="s">
        <v>308</v>
      </c>
      <c r="H10" s="41">
        <v>10</v>
      </c>
      <c r="I10" s="200">
        <f>WEIGHTAGES!J13</f>
        <v>12.587412587412587</v>
      </c>
      <c r="J10" s="228"/>
      <c r="L10" s="14" t="str">
        <f>OUTPUT!G18</f>
        <v>MARKET RATIOS</v>
      </c>
      <c r="M10" s="199">
        <f>OUTPUT!H18</f>
        <v>2.2851924018809426</v>
      </c>
      <c r="N10" s="290">
        <f>OUTPUT!I18</f>
        <v>0.60000000000000009</v>
      </c>
    </row>
    <row r="11" spans="3:14" x14ac:dyDescent="0.25">
      <c r="C11" s="13"/>
      <c r="D11" s="19"/>
      <c r="G11" s="18" t="s">
        <v>309</v>
      </c>
      <c r="H11" s="41">
        <v>10</v>
      </c>
      <c r="I11" s="200"/>
      <c r="J11" s="228"/>
      <c r="L11" s="225" t="str">
        <f>OUTPUT!G19</f>
        <v>FINAL SCORE</v>
      </c>
      <c r="M11" s="226">
        <f>OUTPUT!H19</f>
        <v>7.8481441900721425</v>
      </c>
      <c r="N11" s="291">
        <f>OUTPUT!I19</f>
        <v>0.78481441816153663</v>
      </c>
    </row>
    <row r="12" spans="3:14" x14ac:dyDescent="0.25">
      <c r="G12" s="18" t="s">
        <v>339</v>
      </c>
      <c r="H12" s="41">
        <v>15</v>
      </c>
      <c r="I12" s="200">
        <f>WEIGHTAGES!J12</f>
        <v>78.650000000000006</v>
      </c>
      <c r="J12" s="228"/>
      <c r="N12" s="79"/>
    </row>
    <row r="13" spans="3:14" ht="15.75" thickBot="1" x14ac:dyDescent="0.3">
      <c r="C13" s="77" t="s">
        <v>300</v>
      </c>
      <c r="D13" s="68"/>
      <c r="I13" s="201"/>
      <c r="J13" s="201"/>
      <c r="L13" s="18" t="s">
        <v>421</v>
      </c>
      <c r="M13" s="202">
        <f>OUTPUT!L26</f>
        <v>2.3710090926079577</v>
      </c>
      <c r="N13" s="150" t="str">
        <f>IF(M13&gt;2.9, "NO BANKRUPTCY", "GREY AREA")</f>
        <v>GREY AREA</v>
      </c>
    </row>
    <row r="14" spans="3:14" ht="15.75" thickTop="1" x14ac:dyDescent="0.25">
      <c r="G14" s="18" t="s">
        <v>410</v>
      </c>
      <c r="H14" s="75" t="s">
        <v>412</v>
      </c>
      <c r="I14" s="202" t="str">
        <f>OUTPUT!L25</f>
        <v>48 X</v>
      </c>
      <c r="J14" s="229"/>
      <c r="N14" s="79"/>
    </row>
    <row r="15" spans="3:14" x14ac:dyDescent="0.25">
      <c r="C15" s="18" t="s">
        <v>343</v>
      </c>
      <c r="D15" s="75" t="s">
        <v>344</v>
      </c>
      <c r="L15" s="18" t="s">
        <v>414</v>
      </c>
      <c r="M15" s="179">
        <f>OUTPUT!H23</f>
        <v>0.78481441816153663</v>
      </c>
      <c r="N15" s="180" t="str">
        <f>OUTPUT!H24</f>
        <v>AA</v>
      </c>
    </row>
    <row r="16" spans="3:14" ht="15.75" thickBot="1" x14ac:dyDescent="0.3">
      <c r="L16" s="34" t="s">
        <v>415</v>
      </c>
      <c r="M16" s="181">
        <f>IF(D24="NO", "TOGGLE ON REQUIREMENTS", OUTPUT!H26)</f>
        <v>0.69098749796527825</v>
      </c>
      <c r="N16" s="182" t="str">
        <f>IF(M16= "TOGGLE ON REQUIREMENTS", "N/A", WEIGHTAGES!G53)</f>
        <v>A+</v>
      </c>
    </row>
    <row r="17" spans="2:7" ht="15.75" thickTop="1" x14ac:dyDescent="0.25">
      <c r="C17" s="18" t="s">
        <v>302</v>
      </c>
      <c r="D17" s="40">
        <v>0.39450000000000002</v>
      </c>
    </row>
    <row r="18" spans="2:7" x14ac:dyDescent="0.25">
      <c r="C18" s="18" t="s">
        <v>302</v>
      </c>
      <c r="D18" s="40">
        <v>0.28000000000000003</v>
      </c>
    </row>
    <row r="20" spans="2:7" x14ac:dyDescent="0.25">
      <c r="C20" s="18" t="s">
        <v>301</v>
      </c>
      <c r="D20" s="76">
        <v>1.1000000000000001</v>
      </c>
    </row>
    <row r="24" spans="2:7" ht="15.75" thickBot="1" x14ac:dyDescent="0.3">
      <c r="C24" s="77" t="s">
        <v>391</v>
      </c>
      <c r="D24" s="178" t="s">
        <v>344</v>
      </c>
    </row>
    <row r="25" spans="2:7" ht="15.75" thickTop="1" x14ac:dyDescent="0.25"/>
    <row r="26" spans="2:7" x14ac:dyDescent="0.25">
      <c r="B26" s="234" t="s">
        <v>391</v>
      </c>
      <c r="C26" s="223" t="str">
        <f>'RATIO ANALYSIS'!B4</f>
        <v>Return on Equity</v>
      </c>
      <c r="D26" s="197">
        <v>0.3</v>
      </c>
    </row>
    <row r="27" spans="2:7" x14ac:dyDescent="0.25">
      <c r="B27" s="234"/>
      <c r="C27" s="223" t="str">
        <f>'RATIO ANALYSIS'!B5</f>
        <v>Return on Assets</v>
      </c>
      <c r="D27" s="197">
        <v>0.15</v>
      </c>
    </row>
    <row r="28" spans="2:7" x14ac:dyDescent="0.25">
      <c r="B28" s="234"/>
      <c r="C28" s="223" t="str">
        <f>'RATIO ANALYSIS'!B6</f>
        <v>Gross Profit Margin</v>
      </c>
      <c r="D28" s="197">
        <v>0.4</v>
      </c>
    </row>
    <row r="29" spans="2:7" ht="15.75" thickBot="1" x14ac:dyDescent="0.3">
      <c r="B29" s="234"/>
      <c r="C29" s="184"/>
      <c r="D29" s="224"/>
      <c r="G29" s="230" t="s">
        <v>416</v>
      </c>
    </row>
    <row r="30" spans="2:7" ht="15.75" thickTop="1" x14ac:dyDescent="0.25">
      <c r="B30" s="234"/>
      <c r="C30" s="223" t="str">
        <f>'RATIO ANALYSIS'!B10</f>
        <v>Current Ratio</v>
      </c>
      <c r="D30" s="41">
        <v>0.8</v>
      </c>
      <c r="G30" s="19" t="s">
        <v>417</v>
      </c>
    </row>
    <row r="31" spans="2:7" x14ac:dyDescent="0.25">
      <c r="B31" s="234"/>
      <c r="C31" s="223" t="str">
        <f>'RATIO ANALYSIS'!B11</f>
        <v>Quick Ratio</v>
      </c>
      <c r="D31" s="41">
        <v>0.5</v>
      </c>
      <c r="G31" s="19" t="s">
        <v>418</v>
      </c>
    </row>
    <row r="32" spans="2:7" x14ac:dyDescent="0.25">
      <c r="B32" s="234"/>
      <c r="C32" s="223" t="str">
        <f>'RATIO ANALYSIS'!B12</f>
        <v>Cash Ratio</v>
      </c>
      <c r="D32" s="41">
        <v>0.4</v>
      </c>
    </row>
  </sheetData>
  <mergeCells count="1">
    <mergeCell ref="B26:B32"/>
  </mergeCells>
  <conditionalFormatting sqref="N6:N10">
    <cfRule type="colorScale" priority="1">
      <colorScale>
        <cfvo type="min"/>
        <cfvo type="percentile" val="50"/>
        <cfvo type="max"/>
        <color rgb="FFF8696B"/>
        <color rgb="FFFFEB84"/>
        <color rgb="FF63BE7B"/>
      </colorScale>
    </cfRule>
  </conditionalFormatting>
  <dataValidations disablePrompts="1" count="2">
    <dataValidation type="list" allowBlank="1" showInputMessage="1" showErrorMessage="1" sqref="D15" xr:uid="{A1863D27-927D-46C9-9531-6FBE7938A4CA}">
      <formula1>"YES, NO"</formula1>
    </dataValidation>
    <dataValidation type="list" allowBlank="1" showInputMessage="1" showErrorMessage="1" promptTitle="TICK YES TO CONTINUE" sqref="D24" xr:uid="{5A20FD22-0370-4B4B-A957-E40AA45A2088}">
      <formula1>"YES, NO"</formula1>
    </dataValidation>
  </dataValidation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81" r:id="rId4" name="Button 9">
              <controlPr defaultSize="0" print="0" autoFill="0" autoPict="0" macro="[0]!COPY_2">
                <anchor moveWithCells="1" sizeWithCells="1">
                  <from>
                    <xdr:col>11</xdr:col>
                    <xdr:colOff>1552575</xdr:colOff>
                    <xdr:row>17</xdr:row>
                    <xdr:rowOff>38100</xdr:rowOff>
                  </from>
                  <to>
                    <xdr:col>12</xdr:col>
                    <xdr:colOff>95250</xdr:colOff>
                    <xdr:row>19</xdr:row>
                    <xdr:rowOff>76200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6B6D6-CA00-4789-A725-C5E0224CEA0E}">
  <sheetPr codeName="Sheet10"/>
  <dimension ref="B2:O16"/>
  <sheetViews>
    <sheetView showGridLines="0" workbookViewId="0">
      <selection activeCell="D2" sqref="D2"/>
    </sheetView>
  </sheetViews>
  <sheetFormatPr defaultRowHeight="15" x14ac:dyDescent="0.25"/>
  <cols>
    <col min="2" max="2" width="36.5703125" customWidth="1"/>
    <col min="3" max="3" width="15.7109375" bestFit="1" customWidth="1"/>
    <col min="4" max="4" width="12.42578125" bestFit="1" customWidth="1"/>
    <col min="5" max="5" width="13.85546875" bestFit="1" customWidth="1"/>
    <col min="6" max="7" width="13.42578125" bestFit="1" customWidth="1"/>
    <col min="9" max="9" width="0" hidden="1" customWidth="1"/>
    <col min="10" max="10" width="38" customWidth="1"/>
    <col min="11" max="11" width="13.85546875" bestFit="1" customWidth="1"/>
    <col min="12" max="12" width="12.42578125" bestFit="1" customWidth="1"/>
    <col min="13" max="13" width="13.85546875" bestFit="1" customWidth="1"/>
    <col min="14" max="14" width="14.7109375" bestFit="1" customWidth="1"/>
    <col min="15" max="15" width="13.42578125" bestFit="1" customWidth="1"/>
  </cols>
  <sheetData>
    <row r="2" spans="2:15" ht="18.75" thickBot="1" x14ac:dyDescent="0.4">
      <c r="C2" s="34" t="s">
        <v>298</v>
      </c>
      <c r="D2" s="233">
        <f>-(CASH_FLOW!B77/'REPORTED STATEMENTS'!B23)</f>
        <v>0.23432201986544079</v>
      </c>
    </row>
    <row r="3" spans="2:15" ht="15.75" thickTop="1" x14ac:dyDescent="0.25">
      <c r="B3" s="285" t="s">
        <v>297</v>
      </c>
      <c r="C3" s="285"/>
      <c r="D3" s="285"/>
      <c r="E3" s="285"/>
      <c r="F3" s="285"/>
      <c r="G3" s="285"/>
      <c r="J3" s="286" t="s">
        <v>299</v>
      </c>
      <c r="K3" s="286"/>
      <c r="L3" s="286"/>
      <c r="M3" s="286"/>
      <c r="N3" s="286"/>
      <c r="O3" s="286"/>
    </row>
    <row r="4" spans="2:15" x14ac:dyDescent="0.25">
      <c r="B4" s="28"/>
      <c r="G4" s="29"/>
      <c r="J4" s="28"/>
      <c r="O4" s="29"/>
    </row>
    <row r="5" spans="2:15" ht="18" x14ac:dyDescent="0.35">
      <c r="B5" s="30"/>
      <c r="C5" s="26">
        <f>BALANCE_SHEET!B2</f>
        <v>202403</v>
      </c>
      <c r="D5" s="26">
        <f>BALANCE_SHEET!C2</f>
        <v>202303</v>
      </c>
      <c r="E5" s="26">
        <f>BALANCE_SHEET!D2</f>
        <v>202203</v>
      </c>
      <c r="F5" s="26">
        <f>BALANCE_SHEET!E2</f>
        <v>202103</v>
      </c>
      <c r="G5" s="26">
        <f>BALANCE_SHEET!F2</f>
        <v>202003</v>
      </c>
      <c r="J5" s="28"/>
      <c r="K5" s="26">
        <f>C5</f>
        <v>202403</v>
      </c>
      <c r="L5" s="26">
        <f t="shared" ref="L5:O5" si="0">D5</f>
        <v>202303</v>
      </c>
      <c r="M5" s="26">
        <f t="shared" si="0"/>
        <v>202203</v>
      </c>
      <c r="N5" s="26">
        <f t="shared" si="0"/>
        <v>202103</v>
      </c>
      <c r="O5" s="26">
        <f t="shared" si="0"/>
        <v>202003</v>
      </c>
    </row>
    <row r="6" spans="2:15" ht="18" x14ac:dyDescent="0.35">
      <c r="B6" s="27" t="s">
        <v>286</v>
      </c>
      <c r="C6" s="25">
        <f>'REPORTED STATEMENTS'!B19</f>
        <v>11573.4</v>
      </c>
      <c r="D6" s="25">
        <f>'REPORTED STATEMENTS'!C19</f>
        <v>5069.17</v>
      </c>
      <c r="E6" s="25">
        <f>'REPORTED STATEMENTS'!D19</f>
        <v>2590.62</v>
      </c>
      <c r="F6" s="25">
        <f>'REPORTED STATEMENTS'!E19</f>
        <v>1466.82</v>
      </c>
      <c r="G6" s="25">
        <f>'REPORTED STATEMENTS'!F19</f>
        <v>-1779.05</v>
      </c>
      <c r="J6" s="27" t="s">
        <v>293</v>
      </c>
      <c r="K6" s="25">
        <f>-CASH_FLOW!B77</f>
        <v>1839.62</v>
      </c>
      <c r="L6" s="25">
        <f>-CASH_FLOW!C77</f>
        <v>2007.76</v>
      </c>
      <c r="M6" s="25">
        <f>-CASH_FLOW!D77</f>
        <v>2272.4899999999998</v>
      </c>
      <c r="N6" s="25">
        <f>-CASH_FLOW!E77</f>
        <v>2427.35</v>
      </c>
      <c r="O6" s="25">
        <f>-CASH_FLOW!F77</f>
        <v>2269.66</v>
      </c>
    </row>
    <row r="7" spans="2:15" ht="18" x14ac:dyDescent="0.35">
      <c r="B7" s="27" t="s">
        <v>27</v>
      </c>
      <c r="C7" s="27">
        <f>CASH_FLOW!B6</f>
        <v>2016.84</v>
      </c>
      <c r="D7" s="27">
        <f>CASH_FLOW!C6</f>
        <v>1766.86</v>
      </c>
      <c r="E7" s="27">
        <f>CASH_FLOW!D6</f>
        <v>2724.93</v>
      </c>
      <c r="F7" s="27">
        <f>CASH_FLOW!E6</f>
        <v>3681.61</v>
      </c>
      <c r="G7" s="27">
        <f>CASH_FLOW!F6</f>
        <v>3375.29</v>
      </c>
      <c r="J7" s="27" t="s">
        <v>294</v>
      </c>
      <c r="K7" s="39">
        <f>K6-(K6*$D$2)</f>
        <v>1408.5565258151378</v>
      </c>
      <c r="L7" s="39">
        <f t="shared" ref="L7:O7" si="1">L6-(L6*$D$2)</f>
        <v>1537.2976213949626</v>
      </c>
      <c r="M7" s="39">
        <f t="shared" si="1"/>
        <v>1739.9955530759844</v>
      </c>
      <c r="N7" s="39">
        <f t="shared" si="1"/>
        <v>1858.5684450796221</v>
      </c>
      <c r="O7" s="39">
        <f t="shared" si="1"/>
        <v>1737.8286843922035</v>
      </c>
    </row>
    <row r="8" spans="2:15" ht="18" x14ac:dyDescent="0.35">
      <c r="B8" s="27" t="s">
        <v>287</v>
      </c>
      <c r="C8" s="25">
        <f>C6-C7</f>
        <v>9556.56</v>
      </c>
      <c r="D8" s="25">
        <f t="shared" ref="D8:G8" si="2">D6-D7</f>
        <v>3302.3100000000004</v>
      </c>
      <c r="E8" s="25">
        <f t="shared" si="2"/>
        <v>-134.30999999999995</v>
      </c>
      <c r="F8" s="25">
        <f t="shared" si="2"/>
        <v>-2214.79</v>
      </c>
      <c r="G8" s="25">
        <f t="shared" si="2"/>
        <v>-5154.34</v>
      </c>
      <c r="J8" s="27"/>
      <c r="K8" s="27"/>
      <c r="L8" s="27"/>
      <c r="M8" s="27"/>
      <c r="N8" s="27"/>
      <c r="O8" s="27"/>
    </row>
    <row r="9" spans="2:15" ht="18" x14ac:dyDescent="0.35">
      <c r="B9" s="27" t="s">
        <v>288</v>
      </c>
      <c r="C9" s="25">
        <f>CASH_FLOW!B31</f>
        <v>-246.38</v>
      </c>
      <c r="D9" s="25">
        <f>+CASH_FLOW!C31</f>
        <v>-168.15</v>
      </c>
      <c r="E9" s="25">
        <f>+CASH_FLOW!D31</f>
        <v>-155.94</v>
      </c>
      <c r="F9" s="25">
        <f>+CASH_FLOW!E31</f>
        <v>-63.25</v>
      </c>
      <c r="G9" s="25">
        <f>+CASH_FLOW!F31</f>
        <v>-92.54</v>
      </c>
      <c r="J9" s="27" t="s">
        <v>295</v>
      </c>
      <c r="K9" s="27"/>
      <c r="L9" s="27"/>
      <c r="M9" s="27"/>
      <c r="N9" s="27"/>
      <c r="O9" s="27"/>
    </row>
    <row r="10" spans="2:15" ht="18" x14ac:dyDescent="0.35">
      <c r="B10" s="27" t="s">
        <v>289</v>
      </c>
      <c r="C10" s="25">
        <f>C8+C9</f>
        <v>9310.18</v>
      </c>
      <c r="D10" s="25">
        <f t="shared" ref="D10:G10" si="3">D8-D9</f>
        <v>3470.4600000000005</v>
      </c>
      <c r="E10" s="25">
        <f t="shared" si="3"/>
        <v>21.630000000000052</v>
      </c>
      <c r="F10" s="25">
        <f t="shared" si="3"/>
        <v>-2151.54</v>
      </c>
      <c r="G10" s="25">
        <f t="shared" si="3"/>
        <v>-5061.8</v>
      </c>
      <c r="J10" s="27"/>
      <c r="K10" s="27"/>
      <c r="L10" s="27"/>
      <c r="M10" s="27"/>
      <c r="N10" s="27"/>
      <c r="O10" s="27"/>
    </row>
    <row r="11" spans="2:15" ht="18" x14ac:dyDescent="0.35">
      <c r="B11" s="27" t="s">
        <v>27</v>
      </c>
      <c r="C11" s="27">
        <f>CASH_FLOW!B6</f>
        <v>2016.84</v>
      </c>
      <c r="D11" s="27">
        <f>CASH_FLOW!C6</f>
        <v>1766.86</v>
      </c>
      <c r="E11" s="27">
        <f>CASH_FLOW!D6</f>
        <v>2724.93</v>
      </c>
      <c r="F11" s="27">
        <f>CASH_FLOW!E6</f>
        <v>3681.61</v>
      </c>
      <c r="G11" s="27">
        <f>CASH_FLOW!F6</f>
        <v>3375.29</v>
      </c>
      <c r="J11" s="38" t="s">
        <v>296</v>
      </c>
      <c r="K11" s="38">
        <f>C14-K7-K9</f>
        <v>9756.1334741848623</v>
      </c>
      <c r="L11" s="38">
        <f>D14-L7-L9</f>
        <v>2722.6423786050391</v>
      </c>
      <c r="M11" s="38">
        <f>E14-M7-M9</f>
        <v>22299.70444692401</v>
      </c>
      <c r="N11" s="38">
        <f>F14-N7-N9</f>
        <v>-11644.378445079617</v>
      </c>
      <c r="O11" s="38">
        <f>G14-O7-O9</f>
        <v>-9096.2986843922044</v>
      </c>
    </row>
    <row r="12" spans="2:15" ht="18" x14ac:dyDescent="0.35">
      <c r="B12" s="27" t="s">
        <v>290</v>
      </c>
      <c r="C12" s="25">
        <f>'REPORTED STATEMENTS'!C9-'REPORTED STATEMENTS'!B9</f>
        <v>-3548.28</v>
      </c>
      <c r="D12" s="25">
        <f>'REPORTED STATEMENTS'!D9-'REPORTED STATEMENTS'!C9</f>
        <v>-8.8000000000001819</v>
      </c>
      <c r="E12" s="25">
        <f>'REPORTED STATEMENTS'!E9-'REPORTED STATEMENTS'!D9</f>
        <v>778.21</v>
      </c>
      <c r="F12" s="25">
        <f>'REPORTED STATEMENTS'!F9-'REPORTED STATEMENTS'!E9</f>
        <v>4148.8999999999996</v>
      </c>
      <c r="G12" s="25">
        <f>'REPORTED STATEMENTS'!G9-'REPORTED STATEMENTS'!F9</f>
        <v>-4056.3299999999995</v>
      </c>
      <c r="J12" s="31"/>
      <c r="K12" s="32"/>
      <c r="L12" s="32"/>
      <c r="M12" s="32"/>
      <c r="N12" s="32"/>
      <c r="O12" s="33"/>
    </row>
    <row r="13" spans="2:15" ht="18" x14ac:dyDescent="0.35">
      <c r="B13" s="27" t="s">
        <v>291</v>
      </c>
      <c r="C13" s="25">
        <f>(BALANCE_SHEET!B15-BALANCE_SHEET!C15)+CASH_FLOW!B6</f>
        <v>3710.6100000000006</v>
      </c>
      <c r="D13" s="25">
        <f>(BALANCE_SHEET!C15-BALANCE_SHEET!D15)+CASH_FLOW!C6</f>
        <v>986.17999999999961</v>
      </c>
      <c r="E13" s="25">
        <f>(BALANCE_SHEET!D15-BALANCE_SHEET!E15)+CASH_FLOW!D6</f>
        <v>-22071.349999999995</v>
      </c>
      <c r="F13" s="25">
        <f>(BALANCE_SHEET!E15-BALANCE_SHEET!F15)+CASH_FLOW!E6</f>
        <v>7166.9799999999959</v>
      </c>
      <c r="G13" s="25">
        <f>(BALANCE_SHEET!F15-BALANCE_SHEET!G15)+CASH_FLOW!F6</f>
        <v>9728.2900000000009</v>
      </c>
    </row>
    <row r="14" spans="2:15" ht="18" x14ac:dyDescent="0.35">
      <c r="B14" s="38" t="s">
        <v>292</v>
      </c>
      <c r="C14" s="38">
        <f>C10+C11-C12-C13</f>
        <v>11164.69</v>
      </c>
      <c r="D14" s="38">
        <f t="shared" ref="D14:G14" si="4">D10+D11-D12-D13</f>
        <v>4259.9400000000014</v>
      </c>
      <c r="E14" s="38">
        <f t="shared" si="4"/>
        <v>24039.699999999993</v>
      </c>
      <c r="F14" s="38">
        <f t="shared" si="4"/>
        <v>-9785.8099999999959</v>
      </c>
      <c r="G14" s="38">
        <f t="shared" si="4"/>
        <v>-7358.4700000000012</v>
      </c>
    </row>
    <row r="15" spans="2:15" ht="18.75" thickBot="1" x14ac:dyDescent="0.4">
      <c r="B15" s="35"/>
      <c r="C15" s="36"/>
      <c r="D15" s="36"/>
      <c r="E15" s="36"/>
      <c r="F15" s="36"/>
      <c r="G15" s="37"/>
    </row>
    <row r="16" spans="2:15" ht="15.75" thickTop="1" x14ac:dyDescent="0.25"/>
  </sheetData>
  <mergeCells count="2">
    <mergeCell ref="B3:G3"/>
    <mergeCell ref="J3:O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FD88E-FB92-4E79-AE1E-47B7CEECFB92}">
  <sheetPr codeName="Sheet11"/>
  <dimension ref="B4:S22"/>
  <sheetViews>
    <sheetView showGridLines="0" workbookViewId="0">
      <selection activeCell="B5" sqref="B5"/>
    </sheetView>
  </sheetViews>
  <sheetFormatPr defaultRowHeight="15" x14ac:dyDescent="0.25"/>
  <cols>
    <col min="3" max="3" width="13.140625" customWidth="1"/>
    <col min="4" max="4" width="33.85546875" bestFit="1" customWidth="1"/>
    <col min="5" max="5" width="7" bestFit="1" customWidth="1"/>
    <col min="6" max="6" width="8" bestFit="1" customWidth="1"/>
    <col min="7" max="11" width="7.7109375" bestFit="1" customWidth="1"/>
    <col min="12" max="13" width="8" bestFit="1" customWidth="1"/>
    <col min="14" max="14" width="8.7109375" bestFit="1" customWidth="1"/>
    <col min="15" max="15" width="7.7109375" bestFit="1" customWidth="1"/>
    <col min="16" max="17" width="6.7109375" bestFit="1" customWidth="1"/>
  </cols>
  <sheetData>
    <row r="4" spans="2:19" x14ac:dyDescent="0.25">
      <c r="B4" s="64" t="s">
        <v>337</v>
      </c>
      <c r="C4" s="64" t="s">
        <v>336</v>
      </c>
      <c r="D4" s="18"/>
      <c r="E4" s="18">
        <f>'REPORTED STATEMENTS'!B2</f>
        <v>202403</v>
      </c>
      <c r="F4" s="18">
        <f>'REPORTED STATEMENTS'!C2</f>
        <v>202303</v>
      </c>
      <c r="G4" s="18">
        <f>'REPORTED STATEMENTS'!D2</f>
        <v>202203</v>
      </c>
      <c r="H4" s="18">
        <f>'REPORTED STATEMENTS'!E2</f>
        <v>202103</v>
      </c>
      <c r="I4" s="18">
        <f>'REPORTED STATEMENTS'!F2</f>
        <v>202003</v>
      </c>
      <c r="J4" s="18">
        <f>'REPORTED STATEMENTS'!G2</f>
        <v>201903</v>
      </c>
      <c r="K4" s="18">
        <f>'REPORTED STATEMENTS'!H2</f>
        <v>201803</v>
      </c>
      <c r="L4" s="18">
        <f>'REPORTED STATEMENTS'!I2</f>
        <v>201703</v>
      </c>
      <c r="M4" s="18">
        <f>'REPORTED STATEMENTS'!J2</f>
        <v>201603</v>
      </c>
      <c r="N4" s="18">
        <f>'REPORTED STATEMENTS'!K2</f>
        <v>201503</v>
      </c>
      <c r="O4" s="18">
        <f>'REPORTED STATEMENTS'!L2</f>
        <v>201403</v>
      </c>
      <c r="P4" s="18">
        <f>'REPORTED STATEMENTS'!M2</f>
        <v>201303</v>
      </c>
      <c r="Q4" s="18">
        <f>'REPORTED STATEMENTS'!N2</f>
        <v>201203</v>
      </c>
      <c r="R4" s="18">
        <f>'REPORTED STATEMENTS'!O2</f>
        <v>201103</v>
      </c>
      <c r="S4" s="18">
        <f>'REPORTED STATEMENTS'!P2</f>
        <v>201003</v>
      </c>
    </row>
    <row r="5" spans="2:19" x14ac:dyDescent="0.25">
      <c r="B5" s="67">
        <f>MEDIAN(E5:S5)/100</f>
        <v>0</v>
      </c>
      <c r="C5" s="66">
        <f t="shared" ref="C5:C6" si="0">AVERAGE(E5:S5)/100</f>
        <v>0</v>
      </c>
      <c r="D5" s="18" t="str">
        <f>'REPORTED STATEMENTS'!A61</f>
        <v>Rate of Growth (%)</v>
      </c>
      <c r="E5" s="14">
        <f>'REPORTED STATEMENTS'!B61</f>
        <v>0</v>
      </c>
      <c r="F5" s="14">
        <f>'REPORTED STATEMENTS'!C61</f>
        <v>0</v>
      </c>
      <c r="G5" s="14">
        <f>'REPORTED STATEMENTS'!D61</f>
        <v>0</v>
      </c>
      <c r="H5" s="14">
        <f>'REPORTED STATEMENTS'!E61</f>
        <v>0</v>
      </c>
      <c r="I5" s="14">
        <f>'REPORTED STATEMENTS'!F61</f>
        <v>0</v>
      </c>
      <c r="J5" s="14">
        <f>'REPORTED STATEMENTS'!G61</f>
        <v>0</v>
      </c>
      <c r="K5" s="14">
        <f>'REPORTED STATEMENTS'!H61</f>
        <v>0</v>
      </c>
      <c r="L5" s="14">
        <f>'REPORTED STATEMENTS'!I61</f>
        <v>0</v>
      </c>
      <c r="M5" s="14">
        <f>'REPORTED STATEMENTS'!J61</f>
        <v>0</v>
      </c>
      <c r="N5" s="14">
        <f>'REPORTED STATEMENTS'!K61</f>
        <v>0</v>
      </c>
      <c r="O5" s="14">
        <f>'REPORTED STATEMENTS'!L61</f>
        <v>0</v>
      </c>
      <c r="P5" s="14">
        <f>'REPORTED STATEMENTS'!M61</f>
        <v>0</v>
      </c>
      <c r="Q5" s="14">
        <f>'REPORTED STATEMENTS'!N61</f>
        <v>0</v>
      </c>
      <c r="R5" s="14">
        <f>'REPORTED STATEMENTS'!O61</f>
        <v>0</v>
      </c>
      <c r="S5" s="14">
        <f>'REPORTED STATEMENTS'!P61</f>
        <v>0</v>
      </c>
    </row>
    <row r="6" spans="2:19" x14ac:dyDescent="0.25">
      <c r="B6" s="67">
        <f t="shared" ref="B6:B22" si="1">MEDIAN(E6:S6)/100</f>
        <v>3.6299999999999999E-2</v>
      </c>
      <c r="C6" s="66">
        <f t="shared" si="0"/>
        <v>8.0299999999999996E-2</v>
      </c>
      <c r="D6" s="18" t="str">
        <f>'REPORTED STATEMENTS'!A62</f>
        <v>ROG-Net Worth (%)</v>
      </c>
      <c r="E6" s="14">
        <f>'REPORTED STATEMENTS'!B62</f>
        <v>34.15</v>
      </c>
      <c r="F6" s="14">
        <f>'REPORTED STATEMENTS'!C62</f>
        <v>12.66</v>
      </c>
      <c r="G6" s="14">
        <f>'REPORTED STATEMENTS'!D62</f>
        <v>4.66</v>
      </c>
      <c r="H6" s="14">
        <f>'REPORTED STATEMENTS'!E62</f>
        <v>3.63</v>
      </c>
      <c r="I6" s="14">
        <f>'REPORTED STATEMENTS'!F62</f>
        <v>-17.03</v>
      </c>
      <c r="J6" s="14">
        <f>'REPORTED STATEMENTS'!G62</f>
        <v>9.8699999999999992</v>
      </c>
      <c r="K6" s="14">
        <f>'REPORTED STATEMENTS'!H62</f>
        <v>-4.6900000000000004</v>
      </c>
      <c r="L6" s="14">
        <f>'REPORTED STATEMENTS'!I62</f>
        <v>-9.0299999999999994</v>
      </c>
      <c r="M6" s="14">
        <f>'REPORTED STATEMENTS'!J62</f>
        <v>56.76</v>
      </c>
      <c r="N6" s="14">
        <f>'REPORTED STATEMENTS'!K62</f>
        <v>-22.52</v>
      </c>
      <c r="O6" s="14">
        <f>'REPORTED STATEMENTS'!L62</f>
        <v>0.22</v>
      </c>
      <c r="P6" s="14">
        <f>'REPORTED STATEMENTS'!M62</f>
        <v>-1.2</v>
      </c>
      <c r="Q6" s="14">
        <f>'REPORTED STATEMENTS'!N62</f>
        <v>-3.23</v>
      </c>
      <c r="R6" s="14">
        <f>'REPORTED STATEMENTS'!O62</f>
        <v>33.79</v>
      </c>
      <c r="S6" s="14">
        <f>'REPORTED STATEMENTS'!P62</f>
        <v>22.41</v>
      </c>
    </row>
    <row r="7" spans="2:19" x14ac:dyDescent="0.25">
      <c r="B7" s="67">
        <f t="shared" si="1"/>
        <v>4.2300000000000004E-2</v>
      </c>
      <c r="C7" s="66">
        <f>AVERAGE(E7:S7)/100</f>
        <v>4.703333333333333E-2</v>
      </c>
      <c r="D7" s="18" t="str">
        <f>'REPORTED STATEMENTS'!A63</f>
        <v>ROG-Capital Employed (%)</v>
      </c>
      <c r="E7" s="14">
        <f>'REPORTED STATEMENTS'!B63</f>
        <v>6.58</v>
      </c>
      <c r="F7" s="14">
        <f>'REPORTED STATEMENTS'!C63</f>
        <v>-3.22</v>
      </c>
      <c r="G7" s="14">
        <f>'REPORTED STATEMENTS'!D63</f>
        <v>4.2300000000000004</v>
      </c>
      <c r="H7" s="14">
        <f>'REPORTED STATEMENTS'!E63</f>
        <v>-6.91</v>
      </c>
      <c r="I7" s="14">
        <f>'REPORTED STATEMENTS'!F63</f>
        <v>11.41</v>
      </c>
      <c r="J7" s="14">
        <f>'REPORTED STATEMENTS'!G63</f>
        <v>5.82</v>
      </c>
      <c r="K7" s="14">
        <f>'REPORTED STATEMENTS'!H63</f>
        <v>-6.34</v>
      </c>
      <c r="L7" s="14">
        <f>'REPORTED STATEMENTS'!I63</f>
        <v>-2.09</v>
      </c>
      <c r="M7" s="14">
        <f>'REPORTED STATEMENTS'!J63</f>
        <v>14.1</v>
      </c>
      <c r="N7" s="14">
        <f>'REPORTED STATEMENTS'!K63</f>
        <v>6.05</v>
      </c>
      <c r="O7" s="14">
        <f>'REPORTED STATEMENTS'!L63</f>
        <v>-4.3899999999999997</v>
      </c>
      <c r="P7" s="14">
        <f>'REPORTED STATEMENTS'!M63</f>
        <v>-0.08</v>
      </c>
      <c r="Q7" s="14">
        <f>'REPORTED STATEMENTS'!N63</f>
        <v>-4.0199999999999996</v>
      </c>
      <c r="R7" s="14">
        <f>'REPORTED STATEMENTS'!O63</f>
        <v>25.11</v>
      </c>
      <c r="S7" s="14">
        <f>'REPORTED STATEMENTS'!P63</f>
        <v>24.3</v>
      </c>
    </row>
    <row r="8" spans="2:19" x14ac:dyDescent="0.25">
      <c r="B8" s="67">
        <f t="shared" si="1"/>
        <v>0</v>
      </c>
      <c r="C8" s="66">
        <f t="shared" ref="C8:C21" si="2">AVERAGE(E8:S8)/100</f>
        <v>0</v>
      </c>
      <c r="D8" s="18" t="str">
        <f>'REPORTED STATEMENTS'!A64</f>
        <v>ROG-Gross Block (%)</v>
      </c>
      <c r="E8" s="14">
        <f>'REPORTED STATEMENTS'!B64</f>
        <v>0</v>
      </c>
      <c r="F8" s="14">
        <f>'REPORTED STATEMENTS'!C64</f>
        <v>0</v>
      </c>
      <c r="G8" s="14">
        <f>'REPORTED STATEMENTS'!D64</f>
        <v>0</v>
      </c>
      <c r="H8" s="14">
        <f>'REPORTED STATEMENTS'!E64</f>
        <v>0</v>
      </c>
      <c r="I8" s="14">
        <f>'REPORTED STATEMENTS'!F64</f>
        <v>0</v>
      </c>
      <c r="J8" s="14">
        <f>'REPORTED STATEMENTS'!G64</f>
        <v>0</v>
      </c>
      <c r="K8" s="14">
        <f>'REPORTED STATEMENTS'!H64</f>
        <v>0</v>
      </c>
      <c r="L8" s="14">
        <f>'REPORTED STATEMENTS'!I64</f>
        <v>0</v>
      </c>
      <c r="M8" s="14">
        <f>'REPORTED STATEMENTS'!J64</f>
        <v>0</v>
      </c>
      <c r="N8" s="14">
        <f>'REPORTED STATEMENTS'!K64</f>
        <v>0</v>
      </c>
      <c r="O8" s="14">
        <f>'REPORTED STATEMENTS'!L64</f>
        <v>0</v>
      </c>
      <c r="P8" s="14">
        <f>'REPORTED STATEMENTS'!M64</f>
        <v>0</v>
      </c>
      <c r="Q8" s="14">
        <f>'REPORTED STATEMENTS'!N64</f>
        <v>0</v>
      </c>
      <c r="R8" s="14">
        <f>'REPORTED STATEMENTS'!O64</f>
        <v>0</v>
      </c>
      <c r="S8" s="14">
        <f>'REPORTED STATEMENTS'!P64</f>
        <v>0</v>
      </c>
    </row>
    <row r="9" spans="2:19" x14ac:dyDescent="0.25">
      <c r="B9" s="67">
        <f t="shared" si="1"/>
        <v>0.157</v>
      </c>
      <c r="C9" s="66">
        <f t="shared" si="2"/>
        <v>0.10038000000000002</v>
      </c>
      <c r="D9" s="18" t="str">
        <f>'REPORTED STATEMENTS'!A65</f>
        <v>ROG-Gross Sales (%)</v>
      </c>
      <c r="E9" s="14">
        <f>'REPORTED STATEMENTS'!B65</f>
        <v>11.48</v>
      </c>
      <c r="F9" s="14">
        <f>'REPORTED STATEMENTS'!C65</f>
        <v>39.130000000000003</v>
      </c>
      <c r="G9" s="14">
        <f>'REPORTED STATEMENTS'!D65</f>
        <v>56.63</v>
      </c>
      <c r="H9" s="14">
        <f>'REPORTED STATEMENTS'!E65</f>
        <v>-31.31</v>
      </c>
      <c r="I9" s="14">
        <f>'REPORTED STATEMENTS'!F65</f>
        <v>-36.520000000000003</v>
      </c>
      <c r="J9" s="14">
        <f>'REPORTED STATEMENTS'!G65</f>
        <v>17.91</v>
      </c>
      <c r="K9" s="14">
        <f>'REPORTED STATEMENTS'!H65</f>
        <v>19.64</v>
      </c>
      <c r="L9" s="14">
        <f>'REPORTED STATEMENTS'!I65</f>
        <v>3.53</v>
      </c>
      <c r="M9" s="14">
        <f>'REPORTED STATEMENTS'!J65</f>
        <v>19.86</v>
      </c>
      <c r="N9" s="14">
        <f>'REPORTED STATEMENTS'!K65</f>
        <v>4.7</v>
      </c>
      <c r="O9" s="14">
        <f>'REPORTED STATEMENTS'!L65</f>
        <v>-23.44</v>
      </c>
      <c r="P9" s="14">
        <f>'REPORTED STATEMENTS'!M65</f>
        <v>-16.72</v>
      </c>
      <c r="Q9" s="14">
        <f>'REPORTED STATEMENTS'!N65</f>
        <v>15.7</v>
      </c>
      <c r="R9" s="14">
        <f>'REPORTED STATEMENTS'!O65</f>
        <v>35.42</v>
      </c>
      <c r="S9" s="14">
        <f>'REPORTED STATEMENTS'!P65</f>
        <v>34.56</v>
      </c>
    </row>
    <row r="10" spans="2:19" x14ac:dyDescent="0.25">
      <c r="B10" s="67">
        <f t="shared" si="1"/>
        <v>0.15329999999999999</v>
      </c>
      <c r="C10" s="66">
        <f t="shared" si="2"/>
        <v>0.10997333333333335</v>
      </c>
      <c r="D10" s="18" t="str">
        <f>'REPORTED STATEMENTS'!A66</f>
        <v>ROG-Net Sales (%)</v>
      </c>
      <c r="E10" s="14">
        <f>'REPORTED STATEMENTS'!B66</f>
        <v>11.48</v>
      </c>
      <c r="F10" s="14">
        <f>'REPORTED STATEMENTS'!C66</f>
        <v>39.130000000000003</v>
      </c>
      <c r="G10" s="14">
        <f>'REPORTED STATEMENTS'!D66</f>
        <v>56.63</v>
      </c>
      <c r="H10" s="14">
        <f>'REPORTED STATEMENTS'!E66</f>
        <v>-31.31</v>
      </c>
      <c r="I10" s="14">
        <f>'REPORTED STATEMENTS'!F66</f>
        <v>-36.520000000000003</v>
      </c>
      <c r="J10" s="14">
        <f>'REPORTED STATEMENTS'!G66</f>
        <v>19.53</v>
      </c>
      <c r="K10" s="14">
        <f>'REPORTED STATEMENTS'!H66</f>
        <v>30.64</v>
      </c>
      <c r="L10" s="14">
        <f>'REPORTED STATEMENTS'!I66</f>
        <v>3.43</v>
      </c>
      <c r="M10" s="14">
        <f>'REPORTED STATEMENTS'!J66</f>
        <v>18.03</v>
      </c>
      <c r="N10" s="14">
        <f>'REPORTED STATEMENTS'!K66</f>
        <v>5.87</v>
      </c>
      <c r="O10" s="14">
        <f>'REPORTED STATEMENTS'!L66</f>
        <v>-23.41</v>
      </c>
      <c r="P10" s="14">
        <f>'REPORTED STATEMENTS'!M66</f>
        <v>-17.57</v>
      </c>
      <c r="Q10" s="14">
        <f>'REPORTED STATEMENTS'!N66</f>
        <v>15.33</v>
      </c>
      <c r="R10" s="14">
        <f>'REPORTED STATEMENTS'!O66</f>
        <v>34.44</v>
      </c>
      <c r="S10" s="14">
        <f>'REPORTED STATEMENTS'!P66</f>
        <v>39.26</v>
      </c>
    </row>
    <row r="11" spans="2:19" x14ac:dyDescent="0.25">
      <c r="B11" s="67">
        <f t="shared" si="1"/>
        <v>0.11509999999999999</v>
      </c>
      <c r="C11" s="66">
        <f t="shared" si="2"/>
        <v>9.9253333333333346E-2</v>
      </c>
      <c r="D11" s="18" t="str">
        <f>'REPORTED STATEMENTS'!A67</f>
        <v>ROG-Cost of Production (%)</v>
      </c>
      <c r="E11" s="14">
        <f>'REPORTED STATEMENTS'!B67</f>
        <v>8.91</v>
      </c>
      <c r="F11" s="14">
        <f>'REPORTED STATEMENTS'!C67</f>
        <v>28.86</v>
      </c>
      <c r="G11" s="14">
        <f>'REPORTED STATEMENTS'!D67</f>
        <v>52.06</v>
      </c>
      <c r="H11" s="14">
        <f>'REPORTED STATEMENTS'!E67</f>
        <v>-30.67</v>
      </c>
      <c r="I11" s="14">
        <f>'REPORTED STATEMENTS'!F67</f>
        <v>-31.16</v>
      </c>
      <c r="J11" s="14">
        <f>'REPORTED STATEMENTS'!G67</f>
        <v>17.72</v>
      </c>
      <c r="K11" s="14">
        <f>'REPORTED STATEMENTS'!H67</f>
        <v>26</v>
      </c>
      <c r="L11" s="14">
        <f>'REPORTED STATEMENTS'!I67</f>
        <v>11.51</v>
      </c>
      <c r="M11" s="14">
        <f>'REPORTED STATEMENTS'!J67</f>
        <v>0.22</v>
      </c>
      <c r="N11" s="14">
        <f>'REPORTED STATEMENTS'!K67</f>
        <v>10.14</v>
      </c>
      <c r="O11" s="14">
        <f>'REPORTED STATEMENTS'!L67</f>
        <v>-19.04</v>
      </c>
      <c r="P11" s="14">
        <f>'REPORTED STATEMENTS'!M67</f>
        <v>-14.37</v>
      </c>
      <c r="Q11" s="14">
        <f>'REPORTED STATEMENTS'!N67</f>
        <v>17.71</v>
      </c>
      <c r="R11" s="14">
        <f>'REPORTED STATEMENTS'!O67</f>
        <v>36.840000000000003</v>
      </c>
      <c r="S11" s="14">
        <f>'REPORTED STATEMENTS'!P67</f>
        <v>34.15</v>
      </c>
    </row>
    <row r="12" spans="2:19" x14ac:dyDescent="0.25">
      <c r="B12" s="67">
        <f t="shared" si="1"/>
        <v>1.9299999999999998E-2</v>
      </c>
      <c r="C12" s="66">
        <f t="shared" si="2"/>
        <v>4.4753333333333332E-2</v>
      </c>
      <c r="D12" s="18" t="str">
        <f>'REPORTED STATEMENTS'!A68</f>
        <v>ROG-Total Assets (%)</v>
      </c>
      <c r="E12" s="14">
        <f>'REPORTED STATEMENTS'!B68</f>
        <v>6.97</v>
      </c>
      <c r="F12" s="14">
        <f>'REPORTED STATEMENTS'!C68</f>
        <v>-2.09</v>
      </c>
      <c r="G12" s="14">
        <f>'REPORTED STATEMENTS'!D68</f>
        <v>-4.6100000000000003</v>
      </c>
      <c r="H12" s="14">
        <f>'REPORTED STATEMENTS'!E68</f>
        <v>4</v>
      </c>
      <c r="I12" s="14">
        <f>'REPORTED STATEMENTS'!F68</f>
        <v>1.93</v>
      </c>
      <c r="J12" s="14">
        <f>'REPORTED STATEMENTS'!G68</f>
        <v>3.13</v>
      </c>
      <c r="K12" s="14">
        <f>'REPORTED STATEMENTS'!H68</f>
        <v>-0.19</v>
      </c>
      <c r="L12" s="14">
        <f>'REPORTED STATEMENTS'!I68</f>
        <v>3.88</v>
      </c>
      <c r="M12" s="14">
        <f>'REPORTED STATEMENTS'!J68</f>
        <v>14.39</v>
      </c>
      <c r="N12" s="14">
        <f>'REPORTED STATEMENTS'!K68</f>
        <v>0.83</v>
      </c>
      <c r="O12" s="14">
        <f>'REPORTED STATEMENTS'!L68</f>
        <v>-0.24</v>
      </c>
      <c r="P12" s="14">
        <f>'REPORTED STATEMENTS'!M68</f>
        <v>-2.65</v>
      </c>
      <c r="Q12" s="14">
        <f>'REPORTED STATEMENTS'!N68</f>
        <v>0.69</v>
      </c>
      <c r="R12" s="14">
        <f>'REPORTED STATEMENTS'!O68</f>
        <v>7.11</v>
      </c>
      <c r="S12" s="14">
        <f>'REPORTED STATEMENTS'!P68</f>
        <v>33.979999999999997</v>
      </c>
    </row>
    <row r="13" spans="2:19" x14ac:dyDescent="0.25">
      <c r="B13" s="67">
        <f t="shared" si="1"/>
        <v>-3.3000000000000002E-2</v>
      </c>
      <c r="C13" s="66">
        <f t="shared" si="2"/>
        <v>1.0328933333333334</v>
      </c>
      <c r="D13" s="18" t="str">
        <f>'REPORTED STATEMENTS'!A69</f>
        <v>ROG-PBIDT (%)</v>
      </c>
      <c r="E13" s="14">
        <f>'REPORTED STATEMENTS'!B69</f>
        <v>128.31</v>
      </c>
      <c r="F13" s="14">
        <f>'REPORTED STATEMENTS'!C69</f>
        <v>95.67</v>
      </c>
      <c r="G13" s="14">
        <f>'REPORTED STATEMENTS'!D69</f>
        <v>76.61</v>
      </c>
      <c r="H13" s="14">
        <f>'REPORTED STATEMENTS'!E69</f>
        <v>-182.45</v>
      </c>
      <c r="I13" s="14">
        <f>'REPORTED STATEMENTS'!F69</f>
        <v>-124.4</v>
      </c>
      <c r="J13" s="14">
        <f>'REPORTED STATEMENTS'!G69</f>
        <v>86.98</v>
      </c>
      <c r="K13" s="14">
        <f>'REPORTED STATEMENTS'!H69</f>
        <v>73.09</v>
      </c>
      <c r="L13" s="14">
        <f>'REPORTED STATEMENTS'!I69</f>
        <v>-41.55</v>
      </c>
      <c r="M13" s="14">
        <f>'REPORTED STATEMENTS'!J69</f>
        <v>1504.68</v>
      </c>
      <c r="N13" s="14">
        <f>'REPORTED STATEMENTS'!K69</f>
        <v>-89.98</v>
      </c>
      <c r="O13" s="14">
        <f>'REPORTED STATEMENTS'!L69</f>
        <v>-29.07</v>
      </c>
      <c r="P13" s="14">
        <f>'REPORTED STATEMENTS'!M69</f>
        <v>-18.87</v>
      </c>
      <c r="Q13" s="14">
        <f>'REPORTED STATEMENTS'!N69</f>
        <v>-15.68</v>
      </c>
      <c r="R13" s="14">
        <f>'REPORTED STATEMENTS'!O69</f>
        <v>-3.3</v>
      </c>
      <c r="S13" s="14">
        <f>'REPORTED STATEMENTS'!P69</f>
        <v>89.3</v>
      </c>
    </row>
    <row r="14" spans="2:19" x14ac:dyDescent="0.25">
      <c r="B14" s="67">
        <f t="shared" si="1"/>
        <v>0.37609999999999999</v>
      </c>
      <c r="C14" s="66">
        <f t="shared" si="2"/>
        <v>0.36666666666666659</v>
      </c>
      <c r="D14" s="18" t="str">
        <f>'REPORTED STATEMENTS'!A70</f>
        <v>ROG-PBIDT Excl. Other Income (%)</v>
      </c>
      <c r="E14" s="14">
        <f>'REPORTED STATEMENTS'!B70</f>
        <v>57.08</v>
      </c>
      <c r="F14" s="14">
        <f>'REPORTED STATEMENTS'!C70</f>
        <v>194.9</v>
      </c>
      <c r="G14" s="14">
        <f>'REPORTED STATEMENTS'!D70</f>
        <v>37.61</v>
      </c>
      <c r="H14" s="14">
        <f>'REPORTED STATEMENTS'!E70</f>
        <v>132.36000000000001</v>
      </c>
      <c r="I14" s="14">
        <f>'REPORTED STATEMENTS'!F70</f>
        <v>-173.47</v>
      </c>
      <c r="J14" s="14">
        <f>'REPORTED STATEMENTS'!G70</f>
        <v>212.99</v>
      </c>
      <c r="K14" s="14">
        <f>'REPORTED STATEMENTS'!H70</f>
        <v>10.62</v>
      </c>
      <c r="L14" s="14">
        <f>'REPORTED STATEMENTS'!I70</f>
        <v>-48.13</v>
      </c>
      <c r="M14" s="14">
        <f>'REPORTED STATEMENTS'!J70</f>
        <v>249.39</v>
      </c>
      <c r="N14" s="14">
        <f>'REPORTED STATEMENTS'!K70</f>
        <v>-14.34</v>
      </c>
      <c r="O14" s="14">
        <f>'REPORTED STATEMENTS'!L70</f>
        <v>-219.59</v>
      </c>
      <c r="P14" s="14">
        <f>'REPORTED STATEMENTS'!M70</f>
        <v>-66.59</v>
      </c>
      <c r="Q14" s="14">
        <f>'REPORTED STATEMENTS'!N70</f>
        <v>-20.49</v>
      </c>
      <c r="R14" s="14">
        <f>'REPORTED STATEMENTS'!O70</f>
        <v>77.5</v>
      </c>
      <c r="S14" s="14">
        <f>'REPORTED STATEMENTS'!P70</f>
        <v>120.16</v>
      </c>
    </row>
    <row r="15" spans="2:19" x14ac:dyDescent="0.25">
      <c r="B15" s="67">
        <f t="shared" si="1"/>
        <v>-0.32400000000000001</v>
      </c>
      <c r="C15" s="66">
        <f t="shared" si="2"/>
        <v>0.10058000000000003</v>
      </c>
      <c r="D15" s="18" t="str">
        <f>'REPORTED STATEMENTS'!A71</f>
        <v>ROG-PBDT (%)</v>
      </c>
      <c r="E15" s="14">
        <f>'REPORTED STATEMENTS'!B71</f>
        <v>226.56</v>
      </c>
      <c r="F15" s="14">
        <f>'REPORTED STATEMENTS'!C71</f>
        <v>544.42999999999995</v>
      </c>
      <c r="G15" s="14">
        <f>'REPORTED STATEMENTS'!D71</f>
        <v>-172.81</v>
      </c>
      <c r="H15" s="14">
        <f>'REPORTED STATEMENTS'!E71</f>
        <v>-82.84</v>
      </c>
      <c r="I15" s="14">
        <f>'REPORTED STATEMENTS'!F71</f>
        <v>-168.25</v>
      </c>
      <c r="J15" s="14">
        <f>'REPORTED STATEMENTS'!G71</f>
        <v>155.11000000000001</v>
      </c>
      <c r="K15" s="14">
        <f>'REPORTED STATEMENTS'!H71</f>
        <v>215.12</v>
      </c>
      <c r="L15" s="14">
        <f>'REPORTED STATEMENTS'!I71</f>
        <v>-69.77</v>
      </c>
      <c r="M15" s="14">
        <f>'REPORTED STATEMENTS'!J71</f>
        <v>-264.94</v>
      </c>
      <c r="N15" s="14">
        <f>'REPORTED STATEMENTS'!K71</f>
        <v>-231.31</v>
      </c>
      <c r="O15" s="14">
        <f>'REPORTED STATEMENTS'!L71</f>
        <v>-47.58</v>
      </c>
      <c r="P15" s="14">
        <f>'REPORTED STATEMENTS'!M71</f>
        <v>-32.4</v>
      </c>
      <c r="Q15" s="14">
        <f>'REPORTED STATEMENTS'!N71</f>
        <v>-17.13</v>
      </c>
      <c r="R15" s="14">
        <f>'REPORTED STATEMENTS'!O71</f>
        <v>-7.92</v>
      </c>
      <c r="S15" s="14">
        <f>'REPORTED STATEMENTS'!P71</f>
        <v>104.6</v>
      </c>
    </row>
    <row r="16" spans="2:19" x14ac:dyDescent="0.25">
      <c r="B16" s="67">
        <f t="shared" si="1"/>
        <v>-0.79049999999999998</v>
      </c>
      <c r="C16" s="66">
        <f t="shared" si="2"/>
        <v>-0.79612000000000027</v>
      </c>
      <c r="D16" s="18" t="str">
        <f>'REPORTED STATEMENTS'!A72</f>
        <v>ROG-PBIT (%)</v>
      </c>
      <c r="E16" s="14">
        <f>'REPORTED STATEMENTS'!B72</f>
        <v>189.39</v>
      </c>
      <c r="F16" s="14">
        <f>'REPORTED STATEMENTS'!C72</f>
        <v>297.83999999999997</v>
      </c>
      <c r="G16" s="14">
        <f>'REPORTED STATEMENTS'!D72</f>
        <v>-414.54</v>
      </c>
      <c r="H16" s="14">
        <f>'REPORTED STATEMENTS'!E72</f>
        <v>-94.88</v>
      </c>
      <c r="I16" s="14">
        <f>'REPORTED STATEMENTS'!F72</f>
        <v>-222.94</v>
      </c>
      <c r="J16" s="14">
        <f>'REPORTED STATEMENTS'!G72</f>
        <v>425.7</v>
      </c>
      <c r="K16" s="14">
        <f>'REPORTED STATEMENTS'!H72</f>
        <v>-201.69</v>
      </c>
      <c r="L16" s="14">
        <f>'REPORTED STATEMENTS'!I72</f>
        <v>-151.43</v>
      </c>
      <c r="M16" s="14">
        <f>'REPORTED STATEMENTS'!J72</f>
        <v>-164.53</v>
      </c>
      <c r="N16" s="14">
        <f>'REPORTED STATEMENTS'!K72</f>
        <v>-821.8</v>
      </c>
      <c r="O16" s="14">
        <f>'REPORTED STATEMENTS'!L72</f>
        <v>-79.05</v>
      </c>
      <c r="P16" s="14">
        <f>'REPORTED STATEMENTS'!M72</f>
        <v>-38.950000000000003</v>
      </c>
      <c r="Q16" s="14">
        <f>'REPORTED STATEMENTS'!N72</f>
        <v>-28.51</v>
      </c>
      <c r="R16" s="14">
        <f>'REPORTED STATEMENTS'!O72</f>
        <v>-12.16</v>
      </c>
      <c r="S16" s="14">
        <f>'REPORTED STATEMENTS'!P72</f>
        <v>123.37</v>
      </c>
    </row>
    <row r="17" spans="2:19" x14ac:dyDescent="0.25">
      <c r="B17" s="67">
        <f t="shared" si="1"/>
        <v>-0.59760000000000002</v>
      </c>
      <c r="C17" s="66">
        <f t="shared" si="2"/>
        <v>1.5644866666666672</v>
      </c>
      <c r="D17" s="18" t="str">
        <f>'REPORTED STATEMENTS'!A73</f>
        <v>ROG-PBT (%)</v>
      </c>
      <c r="E17" s="14">
        <f>'REPORTED STATEMENTS'!B73</f>
        <v>525.66</v>
      </c>
      <c r="F17" s="14">
        <f>'REPORTED STATEMENTS'!C73</f>
        <v>-197.14</v>
      </c>
      <c r="G17" s="14">
        <f>'REPORTED STATEMENTS'!D73</f>
        <v>-45.61</v>
      </c>
      <c r="H17" s="14">
        <f>'REPORTED STATEMENTS'!E73</f>
        <v>-66.680000000000007</v>
      </c>
      <c r="I17" s="14">
        <f>'REPORTED STATEMENTS'!F73</f>
        <v>-397.1</v>
      </c>
      <c r="J17" s="14">
        <f>'REPORTED STATEMENTS'!G73</f>
        <v>-353.34</v>
      </c>
      <c r="K17" s="14">
        <f>'REPORTED STATEMENTS'!H73</f>
        <v>-59.76</v>
      </c>
      <c r="L17" s="14">
        <f>'REPORTED STATEMENTS'!I73</f>
        <v>3407.11</v>
      </c>
      <c r="M17" s="14">
        <f>'REPORTED STATEMENTS'!J73</f>
        <v>-98.31</v>
      </c>
      <c r="N17" s="14">
        <f>'REPORTED STATEMENTS'!K73</f>
        <v>287.48</v>
      </c>
      <c r="O17" s="14">
        <f>'REPORTED STATEMENTS'!L73</f>
        <v>-686.41</v>
      </c>
      <c r="P17" s="14">
        <f>'REPORTED STATEMENTS'!M73</f>
        <v>-86.96</v>
      </c>
      <c r="Q17" s="14">
        <f>'REPORTED STATEMENTS'!N73</f>
        <v>-38.950000000000003</v>
      </c>
      <c r="R17" s="14">
        <f>'REPORTED STATEMENTS'!O73</f>
        <v>-22.37</v>
      </c>
      <c r="S17" s="14">
        <f>'REPORTED STATEMENTS'!P73</f>
        <v>179.11</v>
      </c>
    </row>
    <row r="18" spans="2:19" x14ac:dyDescent="0.25">
      <c r="B18" s="67">
        <f t="shared" si="1"/>
        <v>-0.57409999999999994</v>
      </c>
      <c r="C18" s="66">
        <f t="shared" si="2"/>
        <v>0.77586666666666659</v>
      </c>
      <c r="D18" s="18" t="str">
        <f>'REPORTED STATEMENTS'!A74</f>
        <v>ROG-PAT (%)</v>
      </c>
      <c r="E18" s="14">
        <f>'REPORTED STATEMENTS'!B74</f>
        <v>189.65</v>
      </c>
      <c r="F18" s="14">
        <f>'REPORTED STATEMENTS'!C74</f>
        <v>-296.14999999999998</v>
      </c>
      <c r="G18" s="14">
        <f>'REPORTED STATEMENTS'!D74</f>
        <v>-41.94</v>
      </c>
      <c r="H18" s="14">
        <f>'REPORTED STATEMENTS'!E74</f>
        <v>-67.14</v>
      </c>
      <c r="I18" s="14">
        <f>'REPORTED STATEMENTS'!F74</f>
        <v>-460.77</v>
      </c>
      <c r="J18" s="14">
        <f>'REPORTED STATEMENTS'!G74</f>
        <v>-295.26</v>
      </c>
      <c r="K18" s="14">
        <f>'REPORTED STATEMENTS'!H74</f>
        <v>-57.41</v>
      </c>
      <c r="L18" s="14">
        <f>'REPORTED STATEMENTS'!I74</f>
        <v>3799.84</v>
      </c>
      <c r="M18" s="14">
        <f>'REPORTED STATEMENTS'!J74</f>
        <v>-98.69</v>
      </c>
      <c r="N18" s="14">
        <f>'REPORTED STATEMENTS'!K74</f>
        <v>-1516.64</v>
      </c>
      <c r="O18" s="14">
        <f>'REPORTED STATEMENTS'!L74</f>
        <v>10.84</v>
      </c>
      <c r="P18" s="14">
        <f>'REPORTED STATEMENTS'!M74</f>
        <v>-75.7</v>
      </c>
      <c r="Q18" s="14">
        <f>'REPORTED STATEMENTS'!N74</f>
        <v>-31.44</v>
      </c>
      <c r="R18" s="14">
        <f>'REPORTED STATEMENTS'!O74</f>
        <v>-19.12</v>
      </c>
      <c r="S18" s="14">
        <f>'REPORTED STATEMENTS'!P74</f>
        <v>123.73</v>
      </c>
    </row>
    <row r="19" spans="2:19" x14ac:dyDescent="0.25">
      <c r="B19" s="67">
        <f t="shared" si="1"/>
        <v>-0.10199999999999999</v>
      </c>
      <c r="C19" s="66">
        <f t="shared" si="2"/>
        <v>0.52682666666666655</v>
      </c>
      <c r="D19" s="18" t="str">
        <f>'REPORTED STATEMENTS'!A75</f>
        <v>ROG-CP (%)</v>
      </c>
      <c r="E19" s="14">
        <f>'REPORTED STATEMENTS'!B75</f>
        <v>120.67</v>
      </c>
      <c r="F19" s="14">
        <f>'REPORTED STATEMENTS'!C75</f>
        <v>1115.82</v>
      </c>
      <c r="G19" s="14">
        <f>'REPORTED STATEMENTS'!D75</f>
        <v>-155.62</v>
      </c>
      <c r="H19" s="14">
        <f>'REPORTED STATEMENTS'!E75</f>
        <v>-83.02</v>
      </c>
      <c r="I19" s="14">
        <f>'REPORTED STATEMENTS'!F75</f>
        <v>-176.46</v>
      </c>
      <c r="J19" s="14">
        <f>'REPORTED STATEMENTS'!G75</f>
        <v>147.66</v>
      </c>
      <c r="K19" s="14">
        <f>'REPORTED STATEMENTS'!H75</f>
        <v>240.24</v>
      </c>
      <c r="L19" s="14">
        <f>'REPORTED STATEMENTS'!I75</f>
        <v>-73.2</v>
      </c>
      <c r="M19" s="14">
        <f>'REPORTED STATEMENTS'!J75</f>
        <v>-206.14</v>
      </c>
      <c r="N19" s="14">
        <f>'REPORTED STATEMENTS'!K75</f>
        <v>-188.81</v>
      </c>
      <c r="O19" s="14">
        <f>'REPORTED STATEMENTS'!L75</f>
        <v>13.47</v>
      </c>
      <c r="P19" s="14">
        <f>'REPORTED STATEMENTS'!M75</f>
        <v>-25.61</v>
      </c>
      <c r="Q19" s="14">
        <f>'REPORTED STATEMENTS'!N75</f>
        <v>-10.199999999999999</v>
      </c>
      <c r="R19" s="14">
        <f>'REPORTED STATEMENTS'!O75</f>
        <v>-3.1</v>
      </c>
      <c r="S19" s="14">
        <f>'REPORTED STATEMENTS'!P75</f>
        <v>74.540000000000006</v>
      </c>
    </row>
    <row r="20" spans="2:19" x14ac:dyDescent="0.25">
      <c r="B20" s="67">
        <f t="shared" si="1"/>
        <v>3.5200000000000002E-2</v>
      </c>
      <c r="C20" s="66">
        <f t="shared" si="2"/>
        <v>6.4206666666666662E-2</v>
      </c>
      <c r="D20" s="18" t="str">
        <f>'REPORTED STATEMENTS'!A76</f>
        <v>ROG-Revenue earnings in forex (%)</v>
      </c>
      <c r="E20" s="14">
        <f>'REPORTED STATEMENTS'!B76</f>
        <v>3.18</v>
      </c>
      <c r="F20" s="14">
        <f>'REPORTED STATEMENTS'!C76</f>
        <v>-25.64</v>
      </c>
      <c r="G20" s="14">
        <f>'REPORTED STATEMENTS'!D76</f>
        <v>83.65</v>
      </c>
      <c r="H20" s="14">
        <f>'REPORTED STATEMENTS'!E76</f>
        <v>-30.63</v>
      </c>
      <c r="I20" s="14">
        <f>'REPORTED STATEMENTS'!F76</f>
        <v>-51.68</v>
      </c>
      <c r="J20" s="14">
        <f>'REPORTED STATEMENTS'!G76</f>
        <v>20.02</v>
      </c>
      <c r="K20" s="14">
        <f>'REPORTED STATEMENTS'!H76</f>
        <v>-4.05</v>
      </c>
      <c r="L20" s="14">
        <f>'REPORTED STATEMENTS'!I76</f>
        <v>3.52</v>
      </c>
      <c r="M20" s="14">
        <f>'REPORTED STATEMENTS'!J76</f>
        <v>-2.1800000000000002</v>
      </c>
      <c r="N20" s="14">
        <f>'REPORTED STATEMENTS'!K76</f>
        <v>-19.61</v>
      </c>
      <c r="O20" s="14">
        <f>'REPORTED STATEMENTS'!L76</f>
        <v>42.08</v>
      </c>
      <c r="P20" s="14">
        <f>'REPORTED STATEMENTS'!M76</f>
        <v>32.880000000000003</v>
      </c>
      <c r="Q20" s="14">
        <f>'REPORTED STATEMENTS'!N76</f>
        <v>9.27</v>
      </c>
      <c r="R20" s="14">
        <f>'REPORTED STATEMENTS'!O76</f>
        <v>10.42</v>
      </c>
      <c r="S20" s="14">
        <f>'REPORTED STATEMENTS'!P76</f>
        <v>25.08</v>
      </c>
    </row>
    <row r="21" spans="2:19" x14ac:dyDescent="0.25">
      <c r="B21" s="67">
        <f t="shared" si="1"/>
        <v>-4.5400000000000003E-2</v>
      </c>
      <c r="C21" s="66">
        <f t="shared" si="2"/>
        <v>-7.913333333333326E-3</v>
      </c>
      <c r="D21" s="18" t="str">
        <f>'REPORTED STATEMENTS'!A77</f>
        <v>ROG-Revenue expenses in forex (%)</v>
      </c>
      <c r="E21" s="14">
        <f>'REPORTED STATEMENTS'!B77</f>
        <v>-6.14</v>
      </c>
      <c r="F21" s="14">
        <f>'REPORTED STATEMENTS'!C77</f>
        <v>-34.590000000000003</v>
      </c>
      <c r="G21" s="14">
        <f>'REPORTED STATEMENTS'!D77</f>
        <v>-8.15</v>
      </c>
      <c r="H21" s="14">
        <f>'REPORTED STATEMENTS'!E77</f>
        <v>-26.7</v>
      </c>
      <c r="I21" s="14">
        <f>'REPORTED STATEMENTS'!F77</f>
        <v>-25.56</v>
      </c>
      <c r="J21" s="14">
        <f>'REPORTED STATEMENTS'!G77</f>
        <v>28.54</v>
      </c>
      <c r="K21" s="14">
        <f>'REPORTED STATEMENTS'!H77</f>
        <v>10.62</v>
      </c>
      <c r="L21" s="14">
        <f>'REPORTED STATEMENTS'!I77</f>
        <v>15.21</v>
      </c>
      <c r="M21" s="14">
        <f>'REPORTED STATEMENTS'!J77</f>
        <v>-9.65</v>
      </c>
      <c r="N21" s="14">
        <f>'REPORTED STATEMENTS'!K77</f>
        <v>14.66</v>
      </c>
      <c r="O21" s="14">
        <f>'REPORTED STATEMENTS'!L77</f>
        <v>-4.54</v>
      </c>
      <c r="P21" s="14">
        <f>'REPORTED STATEMENTS'!M77</f>
        <v>-15.32</v>
      </c>
      <c r="Q21" s="14">
        <f>'REPORTED STATEMENTS'!N77</f>
        <v>5</v>
      </c>
      <c r="R21" s="14">
        <f>'REPORTED STATEMENTS'!O77</f>
        <v>41.1</v>
      </c>
      <c r="S21" s="14">
        <f>'REPORTED STATEMENTS'!P77</f>
        <v>3.65</v>
      </c>
    </row>
    <row r="22" spans="2:19" x14ac:dyDescent="0.25">
      <c r="B22" s="67">
        <f t="shared" si="1"/>
        <v>0.15859999999999999</v>
      </c>
      <c r="C22" s="66">
        <f>AVERAGE(E22:S22)/100</f>
        <v>0.62007333333333337</v>
      </c>
      <c r="D22" s="18" t="str">
        <f>'REPORTED STATEMENTS'!A78</f>
        <v>ROG-Market Capitalisation (%)</v>
      </c>
      <c r="E22" s="14">
        <f>'REPORTED STATEMENTS'!B78</f>
        <v>146.69</v>
      </c>
      <c r="F22" s="14">
        <f>'REPORTED STATEMENTS'!C78</f>
        <v>-2.44</v>
      </c>
      <c r="G22" s="14">
        <f>'REPORTED STATEMENTS'!D78</f>
        <v>45.65</v>
      </c>
      <c r="H22" s="14">
        <f>'REPORTED STATEMENTS'!E78</f>
        <v>351.2</v>
      </c>
      <c r="I22" s="14">
        <f>'REPORTED STATEMENTS'!F78</f>
        <v>-57.5</v>
      </c>
      <c r="J22" s="14">
        <f>'REPORTED STATEMENTS'!G78</f>
        <v>-47.86</v>
      </c>
      <c r="K22" s="14">
        <f>'REPORTED STATEMENTS'!H78</f>
        <v>-30.62</v>
      </c>
      <c r="L22" s="14">
        <f>'REPORTED STATEMENTS'!I78</f>
        <v>15.86</v>
      </c>
      <c r="M22" s="14">
        <f>'REPORTED STATEMENTS'!J78</f>
        <v>-22.76</v>
      </c>
      <c r="N22" s="14">
        <f>'REPORTED STATEMENTS'!K78</f>
        <v>41.91</v>
      </c>
      <c r="O22" s="14">
        <f>'REPORTED STATEMENTS'!L78</f>
        <v>46.61</v>
      </c>
      <c r="P22" s="14">
        <f>'REPORTED STATEMENTS'!M78</f>
        <v>-1.95</v>
      </c>
      <c r="Q22" s="14">
        <f>'REPORTED STATEMENTS'!N78</f>
        <v>11.01</v>
      </c>
      <c r="R22" s="14">
        <f>'REPORTED STATEMENTS'!O78</f>
        <v>82.69</v>
      </c>
      <c r="S22" s="14">
        <f>'REPORTED STATEMENTS'!P78</f>
        <v>351.62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31469-562C-44A2-8057-AF71FFDDD5F7}">
  <sheetPr codeName="Sheet3"/>
  <dimension ref="A1:G83"/>
  <sheetViews>
    <sheetView showGridLines="0" topLeftCell="A53" workbookViewId="0">
      <selection activeCell="I28" sqref="I28"/>
    </sheetView>
  </sheetViews>
  <sheetFormatPr defaultRowHeight="15" x14ac:dyDescent="0.25"/>
  <cols>
    <col min="1" max="2" width="36.5703125" bestFit="1" customWidth="1"/>
    <col min="3" max="5" width="8.42578125" bestFit="1" customWidth="1"/>
  </cols>
  <sheetData>
    <row r="1" spans="1:7" x14ac:dyDescent="0.25">
      <c r="A1" s="1" t="s">
        <v>0</v>
      </c>
      <c r="B1" s="1">
        <v>202403</v>
      </c>
      <c r="C1" s="1">
        <v>202303</v>
      </c>
      <c r="D1" s="1">
        <v>202203</v>
      </c>
      <c r="E1" s="1">
        <v>202103</v>
      </c>
      <c r="F1" s="1">
        <v>202003</v>
      </c>
      <c r="G1" s="1">
        <v>201903</v>
      </c>
    </row>
    <row r="2" spans="1:7" x14ac:dyDescent="0.25">
      <c r="A2" s="2" t="s">
        <v>1</v>
      </c>
      <c r="B2" s="3"/>
      <c r="C2" s="3"/>
      <c r="D2" s="3"/>
      <c r="E2" s="3"/>
      <c r="F2" s="3"/>
      <c r="G2" s="3"/>
    </row>
    <row r="3" spans="1:7" ht="26.25" x14ac:dyDescent="0.25">
      <c r="A3" s="2" t="s">
        <v>2</v>
      </c>
      <c r="B3" s="4">
        <v>1121.43</v>
      </c>
      <c r="C3" s="4">
        <v>2450.23</v>
      </c>
      <c r="D3" s="4">
        <v>2365.54</v>
      </c>
      <c r="E3" s="4">
        <v>2145.3000000000002</v>
      </c>
      <c r="F3" s="2">
        <v>487.4</v>
      </c>
      <c r="G3" s="2">
        <v>546.82000000000005</v>
      </c>
    </row>
    <row r="4" spans="1:7" x14ac:dyDescent="0.25">
      <c r="A4" s="2" t="s">
        <v>3</v>
      </c>
      <c r="B4" s="4">
        <v>8661.7099999999991</v>
      </c>
      <c r="C4" s="4">
        <v>4775.43</v>
      </c>
      <c r="D4" s="4">
        <v>5281.93</v>
      </c>
      <c r="E4" s="4">
        <v>6680.32</v>
      </c>
      <c r="F4" s="4">
        <v>-1454.59</v>
      </c>
      <c r="G4" s="4">
        <v>6292.63</v>
      </c>
    </row>
    <row r="5" spans="1:7" x14ac:dyDescent="0.25">
      <c r="A5" s="2" t="s">
        <v>71</v>
      </c>
      <c r="B5" s="2">
        <v>7902.08</v>
      </c>
      <c r="C5" s="2">
        <v>2728.13</v>
      </c>
      <c r="D5" s="2">
        <v>-1390.86</v>
      </c>
      <c r="E5" s="2">
        <v>-2395.44</v>
      </c>
      <c r="F5" s="2">
        <v>-7289.63</v>
      </c>
      <c r="G5" s="2">
        <v>2020.6</v>
      </c>
    </row>
    <row r="6" spans="1:7" x14ac:dyDescent="0.25">
      <c r="A6" s="2" t="s">
        <v>27</v>
      </c>
      <c r="B6" s="2">
        <v>2016.84</v>
      </c>
      <c r="C6" s="2">
        <v>1766.86</v>
      </c>
      <c r="D6" s="2">
        <v>2724.93</v>
      </c>
      <c r="E6" s="2">
        <v>3681.61</v>
      </c>
      <c r="F6" s="2">
        <v>3375.29</v>
      </c>
      <c r="G6" s="2">
        <v>3098.64</v>
      </c>
    </row>
    <row r="7" spans="1:7" x14ac:dyDescent="0.25">
      <c r="A7" s="2" t="s">
        <v>72</v>
      </c>
      <c r="B7" s="2">
        <v>1504.5</v>
      </c>
      <c r="C7" s="2">
        <v>1802.09</v>
      </c>
      <c r="D7" s="2">
        <v>1977.14</v>
      </c>
      <c r="E7" s="2">
        <v>2162.3000000000002</v>
      </c>
      <c r="F7" s="2">
        <v>1489.28</v>
      </c>
      <c r="G7" s="2">
        <v>1457.7</v>
      </c>
    </row>
    <row r="8" spans="1:7" x14ac:dyDescent="0.25">
      <c r="A8" s="2" t="s">
        <v>73</v>
      </c>
      <c r="B8" s="2">
        <v>-655.33000000000004</v>
      </c>
      <c r="C8" s="2">
        <v>-187.52</v>
      </c>
      <c r="D8" s="2">
        <v>-80.08</v>
      </c>
      <c r="E8" s="2">
        <v>-20.45</v>
      </c>
      <c r="F8" s="2">
        <v>-241.22</v>
      </c>
      <c r="G8" s="2">
        <v>-1526.25</v>
      </c>
    </row>
    <row r="9" spans="1:7" x14ac:dyDescent="0.25">
      <c r="A9" s="2" t="s">
        <v>74</v>
      </c>
      <c r="B9" s="2">
        <v>0</v>
      </c>
      <c r="C9" s="2">
        <v>0</v>
      </c>
      <c r="D9" s="2">
        <v>0</v>
      </c>
      <c r="E9" s="2">
        <v>0</v>
      </c>
      <c r="F9" s="2">
        <v>0</v>
      </c>
      <c r="G9" s="2">
        <v>223.94</v>
      </c>
    </row>
    <row r="10" spans="1:7" x14ac:dyDescent="0.25">
      <c r="A10" s="2" t="s">
        <v>75</v>
      </c>
      <c r="B10" s="2">
        <v>0</v>
      </c>
      <c r="C10" s="2">
        <v>4.55</v>
      </c>
      <c r="D10" s="2">
        <v>0</v>
      </c>
      <c r="E10" s="2">
        <v>0</v>
      </c>
      <c r="F10" s="2">
        <v>0</v>
      </c>
      <c r="G10" s="2">
        <v>-410.66</v>
      </c>
    </row>
    <row r="11" spans="1:7" x14ac:dyDescent="0.25">
      <c r="A11" s="2" t="s">
        <v>76</v>
      </c>
      <c r="B11" s="2">
        <v>213.01</v>
      </c>
      <c r="C11" s="2">
        <v>285.70999999999998</v>
      </c>
      <c r="D11" s="2">
        <v>-631.19000000000005</v>
      </c>
      <c r="E11" s="2">
        <v>-1459.78</v>
      </c>
      <c r="F11" s="2">
        <v>2658.08</v>
      </c>
      <c r="G11" s="2">
        <v>635.54999999999995</v>
      </c>
    </row>
    <row r="12" spans="1:7" x14ac:dyDescent="0.25">
      <c r="A12" s="2" t="s">
        <v>77</v>
      </c>
      <c r="B12" s="2">
        <v>533.78</v>
      </c>
      <c r="C12" s="2">
        <v>230.4</v>
      </c>
      <c r="D12" s="2">
        <v>112.69</v>
      </c>
      <c r="E12" s="2">
        <v>-83.44</v>
      </c>
      <c r="F12" s="2">
        <v>182.32</v>
      </c>
      <c r="G12" s="2">
        <v>178.26</v>
      </c>
    </row>
    <row r="13" spans="1:7" x14ac:dyDescent="0.25">
      <c r="A13" s="2" t="s">
        <v>78</v>
      </c>
      <c r="B13" s="2">
        <v>0</v>
      </c>
      <c r="C13" s="2">
        <v>0</v>
      </c>
      <c r="D13" s="2">
        <v>0</v>
      </c>
      <c r="E13" s="2">
        <v>0</v>
      </c>
      <c r="F13" s="2">
        <v>0</v>
      </c>
      <c r="G13" s="2">
        <v>0</v>
      </c>
    </row>
    <row r="14" spans="1:7" x14ac:dyDescent="0.25">
      <c r="A14" s="2" t="s">
        <v>79</v>
      </c>
      <c r="B14" s="2">
        <v>-2992.09</v>
      </c>
      <c r="C14" s="2">
        <v>-1619.97</v>
      </c>
      <c r="D14" s="2">
        <v>-29.57</v>
      </c>
      <c r="E14" s="2">
        <v>76.02</v>
      </c>
      <c r="F14" s="2">
        <v>265.3</v>
      </c>
      <c r="G14" s="2">
        <v>489.21</v>
      </c>
    </row>
    <row r="15" spans="1:7" ht="26.25" x14ac:dyDescent="0.25">
      <c r="A15" s="2" t="s">
        <v>80</v>
      </c>
      <c r="B15" s="2">
        <v>620.71</v>
      </c>
      <c r="C15" s="2">
        <v>2282.12</v>
      </c>
      <c r="D15" s="2">
        <v>4073.92</v>
      </c>
      <c r="E15" s="2">
        <v>4356.26</v>
      </c>
      <c r="F15" s="2">
        <v>7729.05</v>
      </c>
      <c r="G15" s="2">
        <v>4146.3900000000003</v>
      </c>
    </row>
    <row r="16" spans="1:7" x14ac:dyDescent="0.25">
      <c r="A16" s="2" t="s">
        <v>81</v>
      </c>
      <c r="B16" s="2">
        <v>8522.7900000000009</v>
      </c>
      <c r="C16" s="2">
        <v>5010.25</v>
      </c>
      <c r="D16" s="2">
        <v>2683.06</v>
      </c>
      <c r="E16" s="2">
        <v>1960.82</v>
      </c>
      <c r="F16" s="2">
        <v>439.42</v>
      </c>
      <c r="G16" s="2">
        <v>6166.99</v>
      </c>
    </row>
    <row r="17" spans="1:7" x14ac:dyDescent="0.25">
      <c r="A17" s="2" t="s">
        <v>82</v>
      </c>
      <c r="B17" s="2">
        <v>-553.14</v>
      </c>
      <c r="C17" s="2">
        <v>-306.45999999999998</v>
      </c>
      <c r="D17" s="2">
        <v>-1015.62</v>
      </c>
      <c r="E17" s="2">
        <v>-141.51</v>
      </c>
      <c r="F17" s="2">
        <v>1168.2</v>
      </c>
      <c r="G17" s="2">
        <v>164.5</v>
      </c>
    </row>
    <row r="18" spans="1:7" x14ac:dyDescent="0.25">
      <c r="A18" s="2" t="s">
        <v>18</v>
      </c>
      <c r="B18" s="2">
        <v>-541.21</v>
      </c>
      <c r="C18" s="2">
        <v>658.37</v>
      </c>
      <c r="D18" s="2">
        <v>-1201.08</v>
      </c>
      <c r="E18" s="2">
        <v>-765.37</v>
      </c>
      <c r="F18" s="2">
        <v>730.01</v>
      </c>
      <c r="G18" s="2">
        <v>966</v>
      </c>
    </row>
    <row r="19" spans="1:7" x14ac:dyDescent="0.25">
      <c r="A19" s="2" t="s">
        <v>31</v>
      </c>
      <c r="B19" s="2">
        <v>315.79000000000002</v>
      </c>
      <c r="C19" s="2">
        <v>-957.24</v>
      </c>
      <c r="D19" s="2">
        <v>5285.19</v>
      </c>
      <c r="E19" s="2">
        <v>4964.54</v>
      </c>
      <c r="F19" s="2">
        <v>-2688.95</v>
      </c>
      <c r="G19" s="2">
        <v>-725.29</v>
      </c>
    </row>
    <row r="20" spans="1:7" x14ac:dyDescent="0.25">
      <c r="A20" s="2" t="s">
        <v>19</v>
      </c>
      <c r="B20" s="2">
        <v>123.78</v>
      </c>
      <c r="C20" s="2">
        <v>126.28</v>
      </c>
      <c r="D20" s="2">
        <v>-245.4</v>
      </c>
      <c r="E20" s="2">
        <v>-175.97</v>
      </c>
      <c r="F20" s="2">
        <v>53.29</v>
      </c>
      <c r="G20" s="2">
        <v>0</v>
      </c>
    </row>
    <row r="21" spans="1:7" x14ac:dyDescent="0.25">
      <c r="A21" s="2" t="s">
        <v>16</v>
      </c>
      <c r="B21" s="2">
        <v>0</v>
      </c>
      <c r="C21" s="2">
        <v>0</v>
      </c>
      <c r="D21" s="2">
        <v>0</v>
      </c>
      <c r="E21" s="2">
        <v>0</v>
      </c>
      <c r="F21" s="2">
        <v>0</v>
      </c>
      <c r="G21" s="2">
        <v>0</v>
      </c>
    </row>
    <row r="22" spans="1:7" x14ac:dyDescent="0.25">
      <c r="A22" s="2" t="s">
        <v>83</v>
      </c>
      <c r="B22" s="2">
        <v>0</v>
      </c>
      <c r="C22" s="2">
        <v>0</v>
      </c>
      <c r="D22" s="2">
        <v>0</v>
      </c>
      <c r="E22" s="2">
        <v>0</v>
      </c>
      <c r="F22" s="2">
        <v>0</v>
      </c>
      <c r="G22" s="2">
        <v>0</v>
      </c>
    </row>
    <row r="23" spans="1:7" x14ac:dyDescent="0.25">
      <c r="A23" s="2" t="s">
        <v>84</v>
      </c>
      <c r="B23" s="2">
        <v>0</v>
      </c>
      <c r="C23" s="2">
        <v>0</v>
      </c>
      <c r="D23" s="2">
        <v>0</v>
      </c>
      <c r="E23" s="2">
        <v>0</v>
      </c>
      <c r="F23" s="2">
        <v>0</v>
      </c>
      <c r="G23" s="2">
        <v>0</v>
      </c>
    </row>
    <row r="24" spans="1:7" x14ac:dyDescent="0.25">
      <c r="A24" s="2" t="s">
        <v>85</v>
      </c>
      <c r="B24" s="2">
        <v>0</v>
      </c>
      <c r="C24" s="2">
        <v>0</v>
      </c>
      <c r="D24" s="2">
        <v>0</v>
      </c>
      <c r="E24" s="2">
        <v>0</v>
      </c>
      <c r="F24" s="2">
        <v>0</v>
      </c>
      <c r="G24" s="2">
        <v>0</v>
      </c>
    </row>
    <row r="25" spans="1:7" x14ac:dyDescent="0.25">
      <c r="A25" s="2" t="s">
        <v>86</v>
      </c>
      <c r="B25" s="2">
        <v>0</v>
      </c>
      <c r="C25" s="2">
        <v>0</v>
      </c>
      <c r="D25" s="2">
        <v>0</v>
      </c>
      <c r="E25" s="2">
        <v>0</v>
      </c>
      <c r="F25" s="2">
        <v>0</v>
      </c>
      <c r="G25" s="2">
        <v>0</v>
      </c>
    </row>
    <row r="26" spans="1:7" x14ac:dyDescent="0.25">
      <c r="A26" s="2" t="s">
        <v>87</v>
      </c>
      <c r="B26" s="2">
        <v>0</v>
      </c>
      <c r="C26" s="2">
        <v>0</v>
      </c>
      <c r="D26" s="2">
        <v>0</v>
      </c>
      <c r="E26" s="2">
        <v>0</v>
      </c>
      <c r="F26" s="2">
        <v>0</v>
      </c>
      <c r="G26" s="2">
        <v>0</v>
      </c>
    </row>
    <row r="27" spans="1:7" x14ac:dyDescent="0.25">
      <c r="A27" s="2" t="s">
        <v>79</v>
      </c>
      <c r="B27" s="2">
        <v>-2992.09</v>
      </c>
      <c r="C27" s="2">
        <v>-1619.97</v>
      </c>
      <c r="D27" s="2">
        <v>-29.57</v>
      </c>
      <c r="E27" s="2">
        <v>76.02</v>
      </c>
      <c r="F27" s="2">
        <v>265.3</v>
      </c>
      <c r="G27" s="2">
        <v>489.21</v>
      </c>
    </row>
    <row r="28" spans="1:7" x14ac:dyDescent="0.25">
      <c r="A28" s="2" t="s">
        <v>88</v>
      </c>
      <c r="B28" s="2">
        <v>385.3</v>
      </c>
      <c r="C28" s="2">
        <v>-66.67</v>
      </c>
      <c r="D28" s="2">
        <v>2754.81</v>
      </c>
      <c r="E28" s="2">
        <v>4782.75</v>
      </c>
      <c r="F28" s="2">
        <v>-1801.47</v>
      </c>
      <c r="G28" s="2">
        <v>307.86</v>
      </c>
    </row>
    <row r="29" spans="1:7" x14ac:dyDescent="0.25">
      <c r="A29" s="2" t="s">
        <v>89</v>
      </c>
      <c r="B29" s="2">
        <v>8908.09</v>
      </c>
      <c r="C29" s="2">
        <v>4943.58</v>
      </c>
      <c r="D29" s="2">
        <v>5437.87</v>
      </c>
      <c r="E29" s="2">
        <v>6743.57</v>
      </c>
      <c r="F29" s="2">
        <v>-1362.05</v>
      </c>
      <c r="G29" s="2">
        <v>6474.85</v>
      </c>
    </row>
    <row r="30" spans="1:7" x14ac:dyDescent="0.25">
      <c r="A30" s="2" t="s">
        <v>90</v>
      </c>
      <c r="B30" s="2">
        <v>0</v>
      </c>
      <c r="C30" s="2">
        <v>0</v>
      </c>
      <c r="D30" s="2">
        <v>0</v>
      </c>
      <c r="E30" s="2">
        <v>0</v>
      </c>
      <c r="F30" s="2">
        <v>0</v>
      </c>
      <c r="G30" s="2">
        <v>0</v>
      </c>
    </row>
    <row r="31" spans="1:7" x14ac:dyDescent="0.25">
      <c r="A31" s="2" t="s">
        <v>91</v>
      </c>
      <c r="B31" s="2">
        <v>-246.38</v>
      </c>
      <c r="C31" s="2">
        <v>-168.15</v>
      </c>
      <c r="D31" s="2">
        <v>-155.94</v>
      </c>
      <c r="E31" s="2">
        <v>-63.25</v>
      </c>
      <c r="F31" s="2">
        <v>-92.54</v>
      </c>
      <c r="G31" s="2">
        <v>0</v>
      </c>
    </row>
    <row r="32" spans="1:7" x14ac:dyDescent="0.25">
      <c r="A32" s="2" t="s">
        <v>92</v>
      </c>
      <c r="B32" s="2">
        <v>0</v>
      </c>
      <c r="C32" s="2">
        <v>0</v>
      </c>
      <c r="D32" s="2">
        <v>0</v>
      </c>
      <c r="E32" s="2">
        <v>0</v>
      </c>
      <c r="F32" s="2">
        <v>0</v>
      </c>
      <c r="G32" s="2">
        <v>-182.22</v>
      </c>
    </row>
    <row r="33" spans="1:7" x14ac:dyDescent="0.25">
      <c r="A33" s="2" t="s">
        <v>79</v>
      </c>
      <c r="B33" s="2">
        <v>-2992.09</v>
      </c>
      <c r="C33" s="2">
        <v>-1619.97</v>
      </c>
      <c r="D33" s="2">
        <v>-29.57</v>
      </c>
      <c r="E33" s="2">
        <v>76.02</v>
      </c>
      <c r="F33" s="2">
        <v>265.3</v>
      </c>
      <c r="G33" s="2">
        <v>489.21</v>
      </c>
    </row>
    <row r="34" spans="1:7" x14ac:dyDescent="0.25">
      <c r="A34" s="2" t="s">
        <v>93</v>
      </c>
      <c r="B34" s="2">
        <v>-246.38</v>
      </c>
      <c r="C34" s="2">
        <v>-168.15</v>
      </c>
      <c r="D34" s="2">
        <v>-155.94</v>
      </c>
      <c r="E34" s="2">
        <v>-63.25</v>
      </c>
      <c r="F34" s="2">
        <v>-92.54</v>
      </c>
      <c r="G34" s="2">
        <v>-182.22</v>
      </c>
    </row>
    <row r="35" spans="1:7" x14ac:dyDescent="0.25">
      <c r="A35" s="2" t="s">
        <v>94</v>
      </c>
      <c r="B35" s="2">
        <v>8661.7099999999991</v>
      </c>
      <c r="C35" s="2">
        <v>4775.43</v>
      </c>
      <c r="D35" s="2">
        <v>5281.93</v>
      </c>
      <c r="E35" s="2">
        <v>6680.32</v>
      </c>
      <c r="F35" s="2">
        <v>-1454.59</v>
      </c>
      <c r="G35" s="2">
        <v>6292.63</v>
      </c>
    </row>
    <row r="36" spans="1:7" x14ac:dyDescent="0.25">
      <c r="A36" s="2" t="s">
        <v>95</v>
      </c>
      <c r="B36" s="2">
        <v>0</v>
      </c>
      <c r="C36" s="2">
        <v>0</v>
      </c>
      <c r="D36" s="2">
        <v>0</v>
      </c>
      <c r="E36" s="2">
        <v>0</v>
      </c>
      <c r="F36" s="2">
        <v>0</v>
      </c>
      <c r="G36" s="2">
        <v>0</v>
      </c>
    </row>
    <row r="37" spans="1:7" x14ac:dyDescent="0.25">
      <c r="A37" s="2" t="s">
        <v>96</v>
      </c>
      <c r="B37" s="2">
        <v>0</v>
      </c>
      <c r="C37" s="2">
        <v>0</v>
      </c>
      <c r="D37" s="2">
        <v>0</v>
      </c>
      <c r="E37" s="2">
        <v>0</v>
      </c>
      <c r="F37" s="2">
        <v>0</v>
      </c>
      <c r="G37" s="2">
        <v>0</v>
      </c>
    </row>
    <row r="38" spans="1:7" x14ac:dyDescent="0.25">
      <c r="A38" s="2" t="s">
        <v>97</v>
      </c>
      <c r="B38" s="2">
        <v>0</v>
      </c>
      <c r="C38" s="2">
        <v>0</v>
      </c>
      <c r="D38" s="2">
        <v>0</v>
      </c>
      <c r="E38" s="2">
        <v>0</v>
      </c>
      <c r="F38" s="2">
        <v>0</v>
      </c>
      <c r="G38" s="2">
        <v>0</v>
      </c>
    </row>
    <row r="39" spans="1:7" x14ac:dyDescent="0.25">
      <c r="A39" s="2" t="s">
        <v>98</v>
      </c>
      <c r="B39" s="2">
        <v>0</v>
      </c>
      <c r="C39" s="2">
        <v>0</v>
      </c>
      <c r="D39" s="2">
        <v>0</v>
      </c>
      <c r="E39" s="2">
        <v>0</v>
      </c>
      <c r="F39" s="2">
        <v>0</v>
      </c>
      <c r="G39" s="2">
        <v>0</v>
      </c>
    </row>
    <row r="40" spans="1:7" x14ac:dyDescent="0.25">
      <c r="A40" s="2" t="s">
        <v>99</v>
      </c>
      <c r="B40" s="2">
        <v>0</v>
      </c>
      <c r="C40" s="2">
        <v>0</v>
      </c>
      <c r="D40" s="2">
        <v>0</v>
      </c>
      <c r="E40" s="2">
        <v>0</v>
      </c>
      <c r="F40" s="2">
        <v>0</v>
      </c>
      <c r="G40" s="2">
        <v>0</v>
      </c>
    </row>
    <row r="41" spans="1:7" x14ac:dyDescent="0.25">
      <c r="A41" s="2" t="s">
        <v>79</v>
      </c>
      <c r="B41" s="2">
        <v>-2992.09</v>
      </c>
      <c r="C41" s="2">
        <v>-1619.97</v>
      </c>
      <c r="D41" s="2">
        <v>-29.57</v>
      </c>
      <c r="E41" s="2">
        <v>76.02</v>
      </c>
      <c r="F41" s="2">
        <v>265.3</v>
      </c>
      <c r="G41" s="2">
        <v>489.21</v>
      </c>
    </row>
    <row r="42" spans="1:7" x14ac:dyDescent="0.25">
      <c r="A42" s="2" t="s">
        <v>4</v>
      </c>
      <c r="B42" s="4">
        <v>1488.19</v>
      </c>
      <c r="C42" s="2">
        <v>922.67</v>
      </c>
      <c r="D42" s="4">
        <v>-3149.49</v>
      </c>
      <c r="E42" s="4">
        <v>-2991.32</v>
      </c>
      <c r="F42" s="4">
        <v>-4718.8599999999997</v>
      </c>
      <c r="G42" s="4">
        <v>-3820.55</v>
      </c>
    </row>
    <row r="43" spans="1:7" x14ac:dyDescent="0.25">
      <c r="A43" s="2" t="s">
        <v>100</v>
      </c>
      <c r="B43" s="2">
        <v>-1991.27</v>
      </c>
      <c r="C43" s="2">
        <v>-1697.36</v>
      </c>
      <c r="D43" s="2">
        <v>-1830.67</v>
      </c>
      <c r="E43" s="2">
        <v>-1856.3</v>
      </c>
      <c r="F43" s="2">
        <v>-4668.58</v>
      </c>
      <c r="G43" s="2">
        <v>-4783.4799999999996</v>
      </c>
    </row>
    <row r="44" spans="1:7" x14ac:dyDescent="0.25">
      <c r="A44" s="2" t="s">
        <v>101</v>
      </c>
      <c r="B44" s="2">
        <v>39.479999999999997</v>
      </c>
      <c r="C44" s="2">
        <v>122.7</v>
      </c>
      <c r="D44" s="2">
        <v>99.57</v>
      </c>
      <c r="E44" s="2">
        <v>178.36</v>
      </c>
      <c r="F44" s="2">
        <v>155.16</v>
      </c>
      <c r="G44" s="2">
        <v>30.25</v>
      </c>
    </row>
    <row r="45" spans="1:7" x14ac:dyDescent="0.25">
      <c r="A45" s="2" t="s">
        <v>102</v>
      </c>
      <c r="B45" s="2">
        <v>0</v>
      </c>
      <c r="C45" s="2">
        <v>0</v>
      </c>
      <c r="D45" s="2">
        <v>0</v>
      </c>
      <c r="E45" s="2">
        <v>0</v>
      </c>
      <c r="F45" s="2">
        <v>0</v>
      </c>
      <c r="G45" s="2">
        <v>0</v>
      </c>
    </row>
    <row r="46" spans="1:7" x14ac:dyDescent="0.25">
      <c r="A46" s="2" t="s">
        <v>103</v>
      </c>
      <c r="B46" s="2">
        <v>0</v>
      </c>
      <c r="C46" s="2">
        <v>0</v>
      </c>
      <c r="D46" s="2">
        <v>0</v>
      </c>
      <c r="E46" s="2">
        <v>0</v>
      </c>
      <c r="F46" s="2">
        <v>0</v>
      </c>
      <c r="G46" s="2">
        <v>0</v>
      </c>
    </row>
    <row r="47" spans="1:7" x14ac:dyDescent="0.25">
      <c r="A47" s="2" t="s">
        <v>104</v>
      </c>
      <c r="B47" s="2">
        <v>-42.45</v>
      </c>
      <c r="C47" s="2">
        <v>0</v>
      </c>
      <c r="D47" s="2">
        <v>-3560.47</v>
      </c>
      <c r="E47" s="2">
        <v>-672.55</v>
      </c>
      <c r="F47" s="2">
        <v>0</v>
      </c>
      <c r="G47" s="2">
        <v>0</v>
      </c>
    </row>
    <row r="48" spans="1:7" x14ac:dyDescent="0.25">
      <c r="A48" s="2" t="s">
        <v>105</v>
      </c>
      <c r="B48" s="2">
        <v>5079.6499999999996</v>
      </c>
      <c r="C48" s="2">
        <v>2078.75</v>
      </c>
      <c r="D48" s="2">
        <v>234.09</v>
      </c>
      <c r="E48" s="2">
        <v>4.3600000000000003</v>
      </c>
      <c r="F48" s="2">
        <v>358.87</v>
      </c>
      <c r="G48" s="2">
        <v>418.92</v>
      </c>
    </row>
    <row r="49" spans="1:7" x14ac:dyDescent="0.25">
      <c r="A49" s="2" t="s">
        <v>106</v>
      </c>
      <c r="B49" s="2">
        <v>0</v>
      </c>
      <c r="C49" s="2">
        <v>0</v>
      </c>
      <c r="D49" s="2">
        <v>0</v>
      </c>
      <c r="E49" s="2">
        <v>0</v>
      </c>
      <c r="F49" s="2">
        <v>0</v>
      </c>
      <c r="G49" s="2">
        <v>0</v>
      </c>
    </row>
    <row r="50" spans="1:7" x14ac:dyDescent="0.25">
      <c r="A50" s="2" t="s">
        <v>107</v>
      </c>
      <c r="B50" s="2">
        <v>108.05</v>
      </c>
      <c r="C50" s="2">
        <v>185.27</v>
      </c>
      <c r="D50" s="2">
        <v>301.49</v>
      </c>
      <c r="E50" s="2">
        <v>153.55000000000001</v>
      </c>
      <c r="F50" s="2">
        <v>471.35</v>
      </c>
      <c r="G50" s="2">
        <v>327.16000000000003</v>
      </c>
    </row>
    <row r="51" spans="1:7" x14ac:dyDescent="0.25">
      <c r="A51" s="2" t="s">
        <v>73</v>
      </c>
      <c r="B51" s="2">
        <v>655.33000000000004</v>
      </c>
      <c r="C51" s="2">
        <v>187.52</v>
      </c>
      <c r="D51" s="2">
        <v>80.08</v>
      </c>
      <c r="E51" s="2">
        <v>20.45</v>
      </c>
      <c r="F51" s="2">
        <v>241.22</v>
      </c>
      <c r="G51" s="2">
        <v>1568.61</v>
      </c>
    </row>
    <row r="52" spans="1:7" x14ac:dyDescent="0.25">
      <c r="A52" s="2" t="s">
        <v>108</v>
      </c>
      <c r="B52" s="2">
        <v>-678.06</v>
      </c>
      <c r="C52" s="2">
        <v>-191.18</v>
      </c>
      <c r="D52" s="2">
        <v>-870.91</v>
      </c>
      <c r="E52" s="2">
        <v>0</v>
      </c>
      <c r="F52" s="2">
        <v>-467</v>
      </c>
      <c r="G52" s="2">
        <v>-305</v>
      </c>
    </row>
    <row r="53" spans="1:7" x14ac:dyDescent="0.25">
      <c r="A53" s="2" t="s">
        <v>109</v>
      </c>
      <c r="B53" s="2">
        <v>0</v>
      </c>
      <c r="C53" s="2">
        <v>0</v>
      </c>
      <c r="D53" s="2">
        <v>0</v>
      </c>
      <c r="E53" s="2">
        <v>0</v>
      </c>
      <c r="F53" s="2">
        <v>0</v>
      </c>
      <c r="G53" s="2">
        <v>-0.5</v>
      </c>
    </row>
    <row r="54" spans="1:7" x14ac:dyDescent="0.25">
      <c r="A54" s="2" t="s">
        <v>110</v>
      </c>
      <c r="B54" s="2">
        <v>0</v>
      </c>
      <c r="C54" s="2">
        <v>0</v>
      </c>
      <c r="D54" s="2">
        <v>0</v>
      </c>
      <c r="E54" s="2">
        <v>-0.02</v>
      </c>
      <c r="F54" s="2">
        <v>0</v>
      </c>
      <c r="G54" s="2">
        <v>0</v>
      </c>
    </row>
    <row r="55" spans="1:7" x14ac:dyDescent="0.25">
      <c r="A55" s="2" t="s">
        <v>111</v>
      </c>
      <c r="B55" s="2">
        <v>0</v>
      </c>
      <c r="C55" s="2">
        <v>0</v>
      </c>
      <c r="D55" s="2">
        <v>0</v>
      </c>
      <c r="E55" s="2">
        <v>0</v>
      </c>
      <c r="F55" s="2">
        <v>0</v>
      </c>
      <c r="G55" s="2">
        <v>0</v>
      </c>
    </row>
    <row r="56" spans="1:7" x14ac:dyDescent="0.25">
      <c r="A56" s="2" t="s">
        <v>112</v>
      </c>
      <c r="B56" s="2">
        <v>0</v>
      </c>
      <c r="C56" s="2">
        <v>131.83000000000001</v>
      </c>
      <c r="D56" s="2">
        <v>0</v>
      </c>
      <c r="E56" s="2">
        <v>10.3</v>
      </c>
      <c r="F56" s="2">
        <v>25.82</v>
      </c>
      <c r="G56" s="2">
        <v>0</v>
      </c>
    </row>
    <row r="57" spans="1:7" x14ac:dyDescent="0.25">
      <c r="A57" s="2" t="s">
        <v>113</v>
      </c>
      <c r="B57" s="2">
        <v>0</v>
      </c>
      <c r="C57" s="2">
        <v>0</v>
      </c>
      <c r="D57" s="2">
        <v>0</v>
      </c>
      <c r="E57" s="2">
        <v>0</v>
      </c>
      <c r="F57" s="2">
        <v>0</v>
      </c>
      <c r="G57" s="2">
        <v>-0.1</v>
      </c>
    </row>
    <row r="58" spans="1:7" x14ac:dyDescent="0.25">
      <c r="A58" s="2" t="s">
        <v>114</v>
      </c>
      <c r="B58" s="2">
        <v>-95.12</v>
      </c>
      <c r="C58" s="2">
        <v>-15</v>
      </c>
      <c r="D58" s="2">
        <v>30</v>
      </c>
      <c r="E58" s="2">
        <v>-30</v>
      </c>
      <c r="F58" s="2">
        <v>-10.07</v>
      </c>
      <c r="G58" s="2">
        <v>-2</v>
      </c>
    </row>
    <row r="59" spans="1:7" x14ac:dyDescent="0.25">
      <c r="A59" s="2" t="s">
        <v>79</v>
      </c>
      <c r="B59" s="2">
        <v>-1587.42</v>
      </c>
      <c r="C59" s="2">
        <v>120.14</v>
      </c>
      <c r="D59" s="2">
        <v>2367.33</v>
      </c>
      <c r="E59" s="2">
        <v>-799.47</v>
      </c>
      <c r="F59" s="2">
        <v>-825.63</v>
      </c>
      <c r="G59" s="2">
        <v>-1074.4100000000001</v>
      </c>
    </row>
    <row r="60" spans="1:7" x14ac:dyDescent="0.25">
      <c r="A60" s="2" t="s">
        <v>5</v>
      </c>
      <c r="B60" s="4">
        <v>-7930.45</v>
      </c>
      <c r="C60" s="4">
        <v>-7021.32</v>
      </c>
      <c r="D60" s="2">
        <v>-515.84</v>
      </c>
      <c r="E60" s="4">
        <v>-3471.91</v>
      </c>
      <c r="F60" s="4">
        <v>7749.21</v>
      </c>
      <c r="G60" s="4">
        <v>-2529.6999999999998</v>
      </c>
    </row>
    <row r="61" spans="1:7" ht="26.25" x14ac:dyDescent="0.25">
      <c r="A61" s="2" t="s">
        <v>115</v>
      </c>
      <c r="B61" s="2">
        <v>81.87</v>
      </c>
      <c r="C61" s="2">
        <v>19.600000000000001</v>
      </c>
      <c r="D61" s="2">
        <v>12.23</v>
      </c>
      <c r="E61" s="2">
        <v>2602.5100000000002</v>
      </c>
      <c r="F61" s="2">
        <v>3888.79</v>
      </c>
      <c r="G61" s="2">
        <v>0</v>
      </c>
    </row>
    <row r="62" spans="1:7" x14ac:dyDescent="0.25">
      <c r="A62" s="2" t="s">
        <v>116</v>
      </c>
      <c r="B62" s="2">
        <v>0</v>
      </c>
      <c r="C62" s="2">
        <v>0</v>
      </c>
      <c r="D62" s="2">
        <v>0</v>
      </c>
      <c r="E62" s="2">
        <v>0</v>
      </c>
      <c r="F62" s="2">
        <v>0</v>
      </c>
      <c r="G62" s="2">
        <v>0</v>
      </c>
    </row>
    <row r="63" spans="1:7" x14ac:dyDescent="0.25">
      <c r="A63" s="2" t="s">
        <v>117</v>
      </c>
      <c r="B63" s="2">
        <v>25.71</v>
      </c>
      <c r="C63" s="2">
        <v>8.99</v>
      </c>
      <c r="D63" s="2">
        <v>1999.79</v>
      </c>
      <c r="E63" s="2">
        <v>4702.66</v>
      </c>
      <c r="F63" s="2">
        <v>4972.45</v>
      </c>
      <c r="G63" s="2">
        <v>3119.71</v>
      </c>
    </row>
    <row r="64" spans="1:7" x14ac:dyDescent="0.25">
      <c r="A64" s="2" t="s">
        <v>118</v>
      </c>
      <c r="B64" s="2">
        <v>0</v>
      </c>
      <c r="C64" s="2">
        <v>0</v>
      </c>
      <c r="D64" s="2">
        <v>0</v>
      </c>
      <c r="E64" s="2">
        <v>0</v>
      </c>
      <c r="F64" s="2">
        <v>0</v>
      </c>
      <c r="G64" s="2">
        <v>0</v>
      </c>
    </row>
    <row r="65" spans="1:7" x14ac:dyDescent="0.25">
      <c r="A65" s="2" t="s">
        <v>119</v>
      </c>
      <c r="B65" s="2">
        <v>756.92</v>
      </c>
      <c r="C65" s="2">
        <v>878.12</v>
      </c>
      <c r="D65" s="2">
        <v>8408.0499999999993</v>
      </c>
      <c r="E65" s="2">
        <v>4068.21</v>
      </c>
      <c r="F65" s="2">
        <v>10489.97</v>
      </c>
      <c r="G65" s="2">
        <v>6274.19</v>
      </c>
    </row>
    <row r="66" spans="1:7" x14ac:dyDescent="0.25">
      <c r="A66" s="2" t="s">
        <v>120</v>
      </c>
      <c r="B66" s="2">
        <v>0</v>
      </c>
      <c r="C66" s="2">
        <v>0</v>
      </c>
      <c r="D66" s="2">
        <v>0</v>
      </c>
      <c r="E66" s="2">
        <v>0</v>
      </c>
      <c r="F66" s="2">
        <v>0</v>
      </c>
      <c r="G66" s="2">
        <v>0</v>
      </c>
    </row>
    <row r="67" spans="1:7" x14ac:dyDescent="0.25">
      <c r="A67" s="2" t="s">
        <v>121</v>
      </c>
      <c r="B67" s="2">
        <v>0</v>
      </c>
      <c r="C67" s="2">
        <v>0</v>
      </c>
      <c r="D67" s="2">
        <v>0</v>
      </c>
      <c r="E67" s="2">
        <v>0</v>
      </c>
      <c r="F67" s="2">
        <v>0</v>
      </c>
      <c r="G67" s="2">
        <v>0</v>
      </c>
    </row>
    <row r="68" spans="1:7" x14ac:dyDescent="0.25">
      <c r="A68" s="2" t="s">
        <v>122</v>
      </c>
      <c r="B68" s="2">
        <v>0</v>
      </c>
      <c r="C68" s="2">
        <v>0</v>
      </c>
      <c r="D68" s="2">
        <v>0</v>
      </c>
      <c r="E68" s="2">
        <v>0</v>
      </c>
      <c r="F68" s="2">
        <v>0</v>
      </c>
      <c r="G68" s="2">
        <v>0</v>
      </c>
    </row>
    <row r="69" spans="1:7" x14ac:dyDescent="0.25">
      <c r="A69" s="2" t="s">
        <v>123</v>
      </c>
      <c r="B69" s="2">
        <v>0</v>
      </c>
      <c r="C69" s="2">
        <v>0</v>
      </c>
      <c r="D69" s="2">
        <v>0</v>
      </c>
      <c r="E69" s="2">
        <v>0</v>
      </c>
      <c r="F69" s="2">
        <v>0</v>
      </c>
      <c r="G69" s="2">
        <v>0</v>
      </c>
    </row>
    <row r="70" spans="1:7" x14ac:dyDescent="0.25">
      <c r="A70" s="2" t="s">
        <v>124</v>
      </c>
      <c r="B70" s="2">
        <v>0</v>
      </c>
      <c r="C70" s="2">
        <v>0</v>
      </c>
      <c r="D70" s="2">
        <v>6.38</v>
      </c>
      <c r="E70" s="2">
        <v>0</v>
      </c>
      <c r="F70" s="2">
        <v>0</v>
      </c>
      <c r="G70" s="2">
        <v>0</v>
      </c>
    </row>
    <row r="71" spans="1:7" x14ac:dyDescent="0.25">
      <c r="A71" s="2" t="s">
        <v>125</v>
      </c>
      <c r="B71" s="2">
        <v>0</v>
      </c>
      <c r="C71" s="2">
        <v>0</v>
      </c>
      <c r="D71" s="2">
        <v>0</v>
      </c>
      <c r="E71" s="2">
        <v>0</v>
      </c>
      <c r="F71" s="2">
        <v>0</v>
      </c>
      <c r="G71" s="2">
        <v>0</v>
      </c>
    </row>
    <row r="72" spans="1:7" x14ac:dyDescent="0.25">
      <c r="A72" s="2" t="s">
        <v>126</v>
      </c>
      <c r="B72" s="2">
        <v>-6031.35</v>
      </c>
      <c r="C72" s="2">
        <v>-4914.84</v>
      </c>
      <c r="D72" s="2">
        <v>-3579.84</v>
      </c>
      <c r="E72" s="2">
        <v>-4562.91</v>
      </c>
      <c r="F72" s="2">
        <v>-1124.93</v>
      </c>
      <c r="G72" s="2">
        <v>-3823.69</v>
      </c>
    </row>
    <row r="73" spans="1:7" x14ac:dyDescent="0.25">
      <c r="A73" s="2" t="s">
        <v>127</v>
      </c>
      <c r="B73" s="2">
        <v>0</v>
      </c>
      <c r="C73" s="2">
        <v>-937.1</v>
      </c>
      <c r="D73" s="2">
        <v>-4936.8</v>
      </c>
      <c r="E73" s="2">
        <v>-7660.67</v>
      </c>
      <c r="F73" s="2">
        <v>-8003.51</v>
      </c>
      <c r="G73" s="2">
        <v>-5742.58</v>
      </c>
    </row>
    <row r="74" spans="1:7" x14ac:dyDescent="0.25">
      <c r="A74" s="2" t="s">
        <v>128</v>
      </c>
      <c r="B74" s="2">
        <v>-309.88</v>
      </c>
      <c r="C74" s="2">
        <v>-136.66</v>
      </c>
      <c r="D74" s="2">
        <v>-303.26</v>
      </c>
      <c r="E74" s="2">
        <v>-384.64</v>
      </c>
      <c r="F74" s="2">
        <v>-387.26</v>
      </c>
      <c r="G74" s="2">
        <v>0</v>
      </c>
    </row>
    <row r="75" spans="1:7" x14ac:dyDescent="0.25">
      <c r="A75" s="2" t="s">
        <v>129</v>
      </c>
      <c r="B75" s="2">
        <v>0</v>
      </c>
      <c r="C75" s="2">
        <v>0</v>
      </c>
      <c r="D75" s="2">
        <v>-1.53</v>
      </c>
      <c r="E75" s="2">
        <v>-1.56</v>
      </c>
      <c r="F75" s="2">
        <v>-3.52</v>
      </c>
      <c r="G75" s="2">
        <v>-2.63</v>
      </c>
    </row>
    <row r="76" spans="1:7" x14ac:dyDescent="0.25">
      <c r="A76" s="2" t="s">
        <v>130</v>
      </c>
      <c r="B76" s="2">
        <v>0</v>
      </c>
      <c r="C76" s="2">
        <v>0</v>
      </c>
      <c r="D76" s="2">
        <v>0</v>
      </c>
      <c r="E76" s="2">
        <v>0</v>
      </c>
      <c r="F76" s="2">
        <v>0</v>
      </c>
      <c r="G76" s="2">
        <v>0</v>
      </c>
    </row>
    <row r="77" spans="1:7" x14ac:dyDescent="0.25">
      <c r="A77" s="2" t="s">
        <v>131</v>
      </c>
      <c r="B77" s="2">
        <v>-1839.62</v>
      </c>
      <c r="C77" s="2">
        <v>-2007.76</v>
      </c>
      <c r="D77" s="2">
        <v>-2272.4899999999998</v>
      </c>
      <c r="E77" s="2">
        <v>-2427.35</v>
      </c>
      <c r="F77" s="2">
        <v>-2269.66</v>
      </c>
      <c r="G77" s="2">
        <v>-2354.6999999999998</v>
      </c>
    </row>
    <row r="78" spans="1:7" x14ac:dyDescent="0.25">
      <c r="A78" s="2" t="s">
        <v>79</v>
      </c>
      <c r="B78" s="2">
        <v>-614.1</v>
      </c>
      <c r="C78" s="2">
        <v>68.33</v>
      </c>
      <c r="D78" s="2">
        <v>151.63</v>
      </c>
      <c r="E78" s="2">
        <v>191.84</v>
      </c>
      <c r="F78" s="2">
        <v>186.88</v>
      </c>
      <c r="G78" s="2">
        <v>0</v>
      </c>
    </row>
    <row r="79" spans="1:7" x14ac:dyDescent="0.25">
      <c r="A79" s="2" t="s">
        <v>6</v>
      </c>
      <c r="B79" s="4">
        <v>2219.4499999999998</v>
      </c>
      <c r="C79" s="4">
        <v>-1323.22</v>
      </c>
      <c r="D79" s="4">
        <v>1616.6</v>
      </c>
      <c r="E79" s="2">
        <v>217.09</v>
      </c>
      <c r="F79" s="4">
        <v>1575.76</v>
      </c>
      <c r="G79" s="2">
        <v>-57.62</v>
      </c>
    </row>
    <row r="80" spans="1:7" ht="26.25" x14ac:dyDescent="0.25">
      <c r="A80" s="2" t="s">
        <v>7</v>
      </c>
      <c r="B80" s="2">
        <v>4.01</v>
      </c>
      <c r="C80" s="2">
        <v>-5.58</v>
      </c>
      <c r="D80" s="2">
        <v>9.3000000000000007</v>
      </c>
      <c r="E80" s="2">
        <v>3.15</v>
      </c>
      <c r="F80" s="2">
        <v>82.14</v>
      </c>
      <c r="G80" s="2">
        <v>-1.8</v>
      </c>
    </row>
    <row r="81" spans="1:7" x14ac:dyDescent="0.25">
      <c r="A81" s="2" t="s">
        <v>8</v>
      </c>
      <c r="B81" s="2">
        <v>0</v>
      </c>
      <c r="C81" s="2">
        <v>0</v>
      </c>
      <c r="D81" s="4">
        <v>-1541.21</v>
      </c>
      <c r="E81" s="2">
        <v>0</v>
      </c>
      <c r="F81" s="2">
        <v>0</v>
      </c>
      <c r="G81" s="2">
        <v>0</v>
      </c>
    </row>
    <row r="82" spans="1:7" ht="26.25" x14ac:dyDescent="0.25">
      <c r="A82" s="2" t="s">
        <v>9</v>
      </c>
      <c r="B82" s="4">
        <v>3344.89</v>
      </c>
      <c r="C82" s="4">
        <v>1121.43</v>
      </c>
      <c r="D82" s="4">
        <v>2450.23</v>
      </c>
      <c r="E82" s="4">
        <v>2365.54</v>
      </c>
      <c r="F82" s="4">
        <v>2145.3000000000002</v>
      </c>
      <c r="G82" s="2">
        <v>487.4</v>
      </c>
    </row>
    <row r="83" spans="1:7" ht="281.25" x14ac:dyDescent="0.25">
      <c r="A83" s="2" t="s">
        <v>10</v>
      </c>
      <c r="B83" s="2" t="s">
        <v>11</v>
      </c>
      <c r="C83" s="20"/>
      <c r="D83" s="20"/>
      <c r="E83" s="20"/>
      <c r="F83" s="20"/>
      <c r="G83" s="2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F775D-7A7F-43F7-A534-A7E811FFEE64}">
  <sheetPr codeName="Sheet5"/>
  <dimension ref="A1:P103"/>
  <sheetViews>
    <sheetView zoomScale="124" workbookViewId="0">
      <selection activeCell="B35" sqref="B35"/>
    </sheetView>
  </sheetViews>
  <sheetFormatPr defaultRowHeight="15" x14ac:dyDescent="0.25"/>
  <cols>
    <col min="1" max="1" width="36.5703125" bestFit="1" customWidth="1"/>
    <col min="2" max="3" width="27.140625" customWidth="1"/>
    <col min="4" max="4" width="15.85546875" customWidth="1"/>
    <col min="5" max="6" width="27.140625" customWidth="1"/>
    <col min="7" max="7" width="15.28515625" customWidth="1"/>
    <col min="8" max="9" width="27.140625" customWidth="1"/>
    <col min="10" max="10" width="22.85546875" customWidth="1"/>
    <col min="11" max="11" width="27.140625" customWidth="1"/>
    <col min="12" max="12" width="7.7109375" bestFit="1" customWidth="1"/>
    <col min="13" max="13" width="6.140625" bestFit="1" customWidth="1"/>
  </cols>
  <sheetData>
    <row r="1" spans="1:16" s="5" customFormat="1" ht="12.75" customHeight="1" x14ac:dyDescent="0.25">
      <c r="A1" s="235" t="s">
        <v>161</v>
      </c>
      <c r="B1" s="236"/>
      <c r="C1" s="236"/>
      <c r="D1" s="236"/>
      <c r="E1" s="236"/>
      <c r="F1" s="236"/>
      <c r="G1" s="236"/>
      <c r="H1" s="236"/>
      <c r="I1" s="236"/>
      <c r="J1" s="237"/>
      <c r="K1" s="22"/>
      <c r="L1" s="22"/>
      <c r="M1" s="22"/>
      <c r="N1" s="22"/>
      <c r="O1" s="22"/>
      <c r="P1" s="23"/>
    </row>
    <row r="2" spans="1:16" x14ac:dyDescent="0.25">
      <c r="A2" s="1" t="s">
        <v>0</v>
      </c>
      <c r="B2" s="1">
        <v>202403</v>
      </c>
      <c r="C2" s="1">
        <v>202303</v>
      </c>
      <c r="D2" s="1">
        <v>202203</v>
      </c>
      <c r="E2" s="1">
        <v>202103</v>
      </c>
      <c r="F2" s="1">
        <v>202003</v>
      </c>
      <c r="G2" s="1">
        <v>201903</v>
      </c>
      <c r="H2" s="1">
        <v>201803</v>
      </c>
      <c r="I2" s="1">
        <v>201703</v>
      </c>
      <c r="J2" s="1">
        <v>201603</v>
      </c>
      <c r="K2" s="1">
        <v>201503</v>
      </c>
      <c r="L2" s="1">
        <v>201403</v>
      </c>
      <c r="M2" s="1">
        <v>201303</v>
      </c>
      <c r="N2" s="1">
        <v>201203</v>
      </c>
      <c r="O2" s="1">
        <v>201103</v>
      </c>
      <c r="P2" s="1">
        <v>201003</v>
      </c>
    </row>
    <row r="3" spans="1:16" x14ac:dyDescent="0.25">
      <c r="A3" s="2" t="s">
        <v>162</v>
      </c>
      <c r="B3" s="2">
        <v>766.5</v>
      </c>
      <c r="C3" s="2">
        <v>766.02</v>
      </c>
      <c r="D3" s="2">
        <v>765.88</v>
      </c>
      <c r="E3" s="2">
        <v>765.81</v>
      </c>
      <c r="F3" s="2">
        <v>719.54</v>
      </c>
      <c r="G3" s="2">
        <v>679.22</v>
      </c>
      <c r="H3" s="2">
        <v>679.22</v>
      </c>
      <c r="I3" s="2">
        <v>679.22</v>
      </c>
      <c r="J3" s="2">
        <v>679.18</v>
      </c>
      <c r="K3" s="2">
        <v>643.78</v>
      </c>
      <c r="L3" s="2">
        <v>643.78</v>
      </c>
      <c r="M3" s="2">
        <v>638.07000000000005</v>
      </c>
      <c r="N3" s="2">
        <v>634.75</v>
      </c>
      <c r="O3" s="2">
        <v>634.65</v>
      </c>
      <c r="P3" s="2">
        <v>570.6</v>
      </c>
    </row>
    <row r="4" spans="1:16" x14ac:dyDescent="0.25">
      <c r="A4" s="2" t="s">
        <v>163</v>
      </c>
      <c r="B4" s="4">
        <v>30143.05</v>
      </c>
      <c r="C4" s="4">
        <v>22469.85</v>
      </c>
      <c r="D4" s="4">
        <v>19944.150000000001</v>
      </c>
      <c r="E4" s="4">
        <v>19055.97</v>
      </c>
      <c r="F4" s="4">
        <v>18387.650000000001</v>
      </c>
      <c r="G4" s="4">
        <v>22162.52</v>
      </c>
      <c r="H4" s="4">
        <v>20170.98</v>
      </c>
      <c r="I4" s="4">
        <v>21162.61</v>
      </c>
      <c r="J4" s="4">
        <v>23262.11</v>
      </c>
      <c r="K4" s="4">
        <v>14839.72</v>
      </c>
      <c r="L4" s="4">
        <v>19153.78</v>
      </c>
      <c r="M4" s="4">
        <v>19111.53</v>
      </c>
      <c r="N4" s="4">
        <v>19343.91</v>
      </c>
      <c r="O4" s="4">
        <v>19989.11</v>
      </c>
      <c r="P4" s="4">
        <v>14940.84</v>
      </c>
    </row>
    <row r="5" spans="1:16" x14ac:dyDescent="0.25">
      <c r="A5" s="2" t="s">
        <v>164</v>
      </c>
      <c r="B5" s="4">
        <v>47366.49</v>
      </c>
      <c r="C5" s="4">
        <v>44443.81</v>
      </c>
      <c r="D5" s="4">
        <v>45921.83</v>
      </c>
      <c r="E5" s="4">
        <v>44060.03</v>
      </c>
      <c r="F5" s="4">
        <v>47332.02</v>
      </c>
      <c r="G5" s="4">
        <v>42482.78</v>
      </c>
      <c r="H5" s="4">
        <v>40146.67</v>
      </c>
      <c r="I5" s="4">
        <v>42863.24</v>
      </c>
      <c r="J5" s="4">
        <v>43776.25</v>
      </c>
      <c r="K5" s="4">
        <v>38365.120000000003</v>
      </c>
      <c r="L5" s="4">
        <v>36177.26</v>
      </c>
      <c r="M5" s="4">
        <v>37840.11</v>
      </c>
      <c r="N5" s="4">
        <v>37869.67</v>
      </c>
      <c r="O5" s="4">
        <v>39454.14</v>
      </c>
      <c r="P5" s="4">
        <v>31535.38</v>
      </c>
    </row>
    <row r="6" spans="1:16" x14ac:dyDescent="0.25">
      <c r="A6" s="2" t="s">
        <v>138</v>
      </c>
      <c r="B6" s="4">
        <v>14190.64</v>
      </c>
      <c r="C6" s="4">
        <v>19278.689999999999</v>
      </c>
      <c r="D6" s="4">
        <v>23529.07</v>
      </c>
      <c r="E6" s="4">
        <v>22438.93</v>
      </c>
      <c r="F6" s="4">
        <v>26050.31</v>
      </c>
      <c r="G6" s="4">
        <v>18639.63</v>
      </c>
      <c r="H6" s="4">
        <v>18463.84</v>
      </c>
      <c r="I6" s="4">
        <v>19356.98</v>
      </c>
      <c r="J6" s="4">
        <v>16473.34</v>
      </c>
      <c r="K6" s="4">
        <v>21134.41</v>
      </c>
      <c r="L6" s="4">
        <v>15052.8</v>
      </c>
      <c r="M6" s="4">
        <v>16798.95</v>
      </c>
      <c r="N6" s="4">
        <v>15880.57</v>
      </c>
      <c r="O6" s="4">
        <v>15990.73</v>
      </c>
      <c r="P6" s="4">
        <v>16594.54</v>
      </c>
    </row>
    <row r="7" spans="1:16" x14ac:dyDescent="0.25">
      <c r="A7" s="2" t="s">
        <v>165</v>
      </c>
      <c r="B7" s="4">
        <v>9039.68</v>
      </c>
      <c r="C7" s="4">
        <v>17864.04</v>
      </c>
      <c r="D7" s="4">
        <v>20923.64</v>
      </c>
      <c r="E7" s="4">
        <v>18119.990000000002</v>
      </c>
      <c r="F7" s="4">
        <v>22518.12</v>
      </c>
      <c r="G7" s="4">
        <v>17333.02</v>
      </c>
      <c r="H7" s="4">
        <v>17668.419999999998</v>
      </c>
      <c r="I7" s="4">
        <v>19030.37</v>
      </c>
      <c r="J7" s="4">
        <v>15684.92</v>
      </c>
      <c r="K7" s="4">
        <v>20189.66</v>
      </c>
      <c r="L7" s="4">
        <v>14826.65</v>
      </c>
      <c r="M7" s="4">
        <v>16336.09</v>
      </c>
      <c r="N7" s="4">
        <v>14039.61</v>
      </c>
      <c r="O7" s="4">
        <v>13561.81</v>
      </c>
      <c r="P7" s="4">
        <v>14841.28</v>
      </c>
    </row>
    <row r="8" spans="1:16" x14ac:dyDescent="0.25">
      <c r="A8" s="2" t="s">
        <v>166</v>
      </c>
      <c r="B8" s="4">
        <v>31352.080000000002</v>
      </c>
      <c r="C8" s="4">
        <v>29658.31</v>
      </c>
      <c r="D8" s="4">
        <v>30438.99</v>
      </c>
      <c r="E8" s="4">
        <v>55235.27</v>
      </c>
      <c r="F8" s="4">
        <v>51749.9</v>
      </c>
      <c r="G8" s="4">
        <v>45396.9</v>
      </c>
      <c r="H8" s="4">
        <v>43165.71</v>
      </c>
      <c r="I8" s="4">
        <v>39885.96</v>
      </c>
      <c r="J8" s="4">
        <v>39305.42</v>
      </c>
      <c r="K8" s="4">
        <v>31791.34</v>
      </c>
      <c r="L8" s="4">
        <v>28768.58</v>
      </c>
      <c r="M8" s="4">
        <v>27043.87</v>
      </c>
      <c r="N8" s="4">
        <v>24961.64</v>
      </c>
      <c r="O8" s="4">
        <v>21859.13</v>
      </c>
      <c r="P8" s="4">
        <v>18392.18</v>
      </c>
    </row>
    <row r="9" spans="1:16" x14ac:dyDescent="0.25">
      <c r="A9" s="2" t="s">
        <v>167</v>
      </c>
      <c r="B9" s="4">
        <v>-3944.43</v>
      </c>
      <c r="C9" s="4">
        <v>-7492.71</v>
      </c>
      <c r="D9" s="4">
        <v>-7501.51</v>
      </c>
      <c r="E9" s="4">
        <v>-6723.3</v>
      </c>
      <c r="F9" s="4">
        <v>-2574.4</v>
      </c>
      <c r="G9" s="4">
        <v>-6630.73</v>
      </c>
      <c r="H9" s="4">
        <v>-6596.75</v>
      </c>
      <c r="I9" s="4">
        <v>-5695.38</v>
      </c>
      <c r="J9" s="4">
        <v>-2783.9</v>
      </c>
      <c r="K9" s="4">
        <v>-3002.43</v>
      </c>
      <c r="L9" s="4">
        <v>-6896.08</v>
      </c>
      <c r="M9" s="4">
        <v>-5949.07</v>
      </c>
      <c r="N9" s="4">
        <v>-5244.85</v>
      </c>
      <c r="O9" s="4">
        <v>-3826.46</v>
      </c>
      <c r="P9" s="4">
        <v>-7374.62</v>
      </c>
    </row>
    <row r="10" spans="1:16" x14ac:dyDescent="0.25">
      <c r="A10" s="2" t="s">
        <v>168</v>
      </c>
      <c r="B10" s="4">
        <v>18749.990000000002</v>
      </c>
      <c r="C10" s="4">
        <v>13557.06</v>
      </c>
      <c r="D10" s="4">
        <v>13468.2</v>
      </c>
      <c r="E10" s="4">
        <v>19337.72</v>
      </c>
      <c r="F10" s="4">
        <v>17519.95</v>
      </c>
      <c r="G10" s="4">
        <v>17034.259999999998</v>
      </c>
      <c r="H10" s="4">
        <v>17398.55</v>
      </c>
      <c r="I10" s="4">
        <v>15703.78</v>
      </c>
      <c r="J10" s="4">
        <v>15301.92</v>
      </c>
      <c r="K10" s="4">
        <v>12713.74</v>
      </c>
      <c r="L10" s="4">
        <v>10561.62</v>
      </c>
      <c r="M10" s="4">
        <v>9972.92</v>
      </c>
      <c r="N10" s="4">
        <v>12113.29</v>
      </c>
      <c r="O10" s="4">
        <v>11570.66</v>
      </c>
      <c r="P10" s="4">
        <v>12298.11</v>
      </c>
    </row>
    <row r="11" spans="1:16" ht="26.25" x14ac:dyDescent="0.25">
      <c r="A11" s="2" t="s">
        <v>169</v>
      </c>
      <c r="B11" s="4">
        <v>22694.42</v>
      </c>
      <c r="C11" s="4">
        <v>21049.77</v>
      </c>
      <c r="D11" s="4">
        <v>20969.71</v>
      </c>
      <c r="E11" s="4">
        <v>26061.02</v>
      </c>
      <c r="F11" s="4">
        <v>20094.349999999999</v>
      </c>
      <c r="G11" s="4">
        <v>23664.99</v>
      </c>
      <c r="H11" s="4">
        <v>23995.3</v>
      </c>
      <c r="I11" s="4">
        <v>21399.16</v>
      </c>
      <c r="J11" s="4">
        <v>18085.82</v>
      </c>
      <c r="K11" s="4">
        <v>15716.17</v>
      </c>
      <c r="L11" s="4">
        <v>17457.7</v>
      </c>
      <c r="M11" s="4">
        <v>15921.99</v>
      </c>
      <c r="N11" s="4">
        <v>17358.14</v>
      </c>
      <c r="O11" s="4">
        <v>15397.12</v>
      </c>
      <c r="P11" s="4">
        <v>19672.73</v>
      </c>
    </row>
    <row r="12" spans="1:16" x14ac:dyDescent="0.25">
      <c r="A12" s="2" t="s">
        <v>170</v>
      </c>
      <c r="B12" s="4">
        <v>70060.91</v>
      </c>
      <c r="C12" s="4">
        <v>65493.58</v>
      </c>
      <c r="D12" s="4">
        <v>66891.539999999994</v>
      </c>
      <c r="E12" s="4">
        <v>70121.05</v>
      </c>
      <c r="F12" s="4">
        <v>67426.37</v>
      </c>
      <c r="G12" s="4">
        <v>66147.77</v>
      </c>
      <c r="H12" s="4">
        <v>64141.97</v>
      </c>
      <c r="I12" s="4">
        <v>64262.400000000001</v>
      </c>
      <c r="J12" s="4">
        <v>61862.07</v>
      </c>
      <c r="K12" s="4">
        <v>54081.29</v>
      </c>
      <c r="L12" s="4">
        <v>53634.96</v>
      </c>
      <c r="M12" s="4">
        <v>53762.1</v>
      </c>
      <c r="N12" s="4">
        <v>55227.81</v>
      </c>
      <c r="O12" s="4">
        <v>54851.26</v>
      </c>
      <c r="P12" s="4">
        <v>51208.11</v>
      </c>
    </row>
    <row r="13" spans="1:16" x14ac:dyDescent="0.25">
      <c r="A13" s="2" t="s">
        <v>23</v>
      </c>
      <c r="B13" s="4">
        <v>73303.08</v>
      </c>
      <c r="C13" s="4">
        <v>65757.33</v>
      </c>
      <c r="D13" s="4">
        <v>47263.68</v>
      </c>
      <c r="E13" s="4">
        <v>30175.03</v>
      </c>
      <c r="F13" s="4">
        <v>43928.17</v>
      </c>
      <c r="G13" s="4">
        <v>69202.759999999995</v>
      </c>
      <c r="H13" s="4">
        <v>58689.81</v>
      </c>
      <c r="I13" s="4">
        <v>49054.49</v>
      </c>
      <c r="J13" s="4">
        <v>47383.61</v>
      </c>
      <c r="K13" s="4">
        <v>39531.230000000003</v>
      </c>
      <c r="L13" s="4">
        <v>37758</v>
      </c>
      <c r="M13" s="4">
        <v>49319.73</v>
      </c>
      <c r="N13" s="4">
        <v>59220.94</v>
      </c>
      <c r="O13" s="4">
        <v>51183.95</v>
      </c>
      <c r="P13" s="4">
        <v>37795.71</v>
      </c>
    </row>
    <row r="14" spans="1:16" x14ac:dyDescent="0.25">
      <c r="A14" s="2" t="s">
        <v>24</v>
      </c>
      <c r="B14" s="4">
        <v>73303.08</v>
      </c>
      <c r="C14" s="4">
        <v>65757.33</v>
      </c>
      <c r="D14" s="4">
        <v>47263.68</v>
      </c>
      <c r="E14" s="4">
        <v>30175.03</v>
      </c>
      <c r="F14" s="4">
        <v>43928.17</v>
      </c>
      <c r="G14" s="4">
        <v>69202.759999999995</v>
      </c>
      <c r="H14" s="4">
        <v>57896.53</v>
      </c>
      <c r="I14" s="4">
        <v>44316.34</v>
      </c>
      <c r="J14" s="4">
        <v>42845.47</v>
      </c>
      <c r="K14" s="4">
        <v>36301.629999999997</v>
      </c>
      <c r="L14" s="4">
        <v>34288.11</v>
      </c>
      <c r="M14" s="4">
        <v>44765.72</v>
      </c>
      <c r="N14" s="4">
        <v>54306.559999999998</v>
      </c>
      <c r="O14" s="4">
        <v>47088.44</v>
      </c>
      <c r="P14" s="4">
        <v>35024.660000000003</v>
      </c>
    </row>
    <row r="15" spans="1:16" x14ac:dyDescent="0.25">
      <c r="A15" s="2" t="s">
        <v>171</v>
      </c>
      <c r="B15" s="4">
        <v>4900.3100000000004</v>
      </c>
      <c r="C15" s="2">
        <v>820.94</v>
      </c>
      <c r="D15" s="4">
        <v>1150.04</v>
      </c>
      <c r="E15" s="2">
        <v>419.99</v>
      </c>
      <c r="F15" s="4">
        <v>1456.08</v>
      </c>
      <c r="G15" s="4">
        <v>2887.61</v>
      </c>
      <c r="H15" s="4">
        <v>2492.48</v>
      </c>
      <c r="I15" s="2">
        <v>981.06</v>
      </c>
      <c r="J15" s="4">
        <v>1402.31</v>
      </c>
      <c r="K15" s="4">
        <v>1881.41</v>
      </c>
      <c r="L15" s="4">
        <v>3833.03</v>
      </c>
      <c r="M15" s="4">
        <v>2180.12</v>
      </c>
      <c r="N15" s="2">
        <v>574.08000000000004</v>
      </c>
      <c r="O15" s="2">
        <v>422.97</v>
      </c>
      <c r="P15" s="4">
        <v>2564.23</v>
      </c>
    </row>
    <row r="16" spans="1:16" x14ac:dyDescent="0.25">
      <c r="A16" s="2" t="s">
        <v>172</v>
      </c>
      <c r="B16" s="4">
        <v>73903.520000000004</v>
      </c>
      <c r="C16" s="4">
        <v>65272.639999999999</v>
      </c>
      <c r="D16" s="4">
        <v>47667.55</v>
      </c>
      <c r="E16" s="4">
        <v>30784.58</v>
      </c>
      <c r="F16" s="4">
        <v>43205.49</v>
      </c>
      <c r="G16" s="4">
        <v>69058.070000000007</v>
      </c>
      <c r="H16" s="4">
        <v>57054.48</v>
      </c>
      <c r="I16" s="4">
        <v>44568.480000000003</v>
      </c>
      <c r="J16" s="4">
        <v>42835.42</v>
      </c>
      <c r="K16" s="4">
        <v>37180.449999999997</v>
      </c>
      <c r="L16" s="4">
        <v>33916.39</v>
      </c>
      <c r="M16" s="4">
        <v>44909.32</v>
      </c>
      <c r="N16" s="4">
        <v>54930.400000000001</v>
      </c>
      <c r="O16" s="4">
        <v>47442.66</v>
      </c>
      <c r="P16" s="4">
        <v>35631.29</v>
      </c>
    </row>
    <row r="17" spans="1:16" x14ac:dyDescent="0.25">
      <c r="A17" s="2" t="s">
        <v>173</v>
      </c>
      <c r="B17" s="4">
        <v>62742.68</v>
      </c>
      <c r="C17" s="4">
        <v>57613.4</v>
      </c>
      <c r="D17" s="4">
        <v>44676.53</v>
      </c>
      <c r="E17" s="4">
        <v>29465.24</v>
      </c>
      <c r="F17" s="4">
        <v>42019.97</v>
      </c>
      <c r="G17" s="4">
        <v>61721.43</v>
      </c>
      <c r="H17" s="4">
        <v>52091.040000000001</v>
      </c>
      <c r="I17" s="4">
        <v>40965.96</v>
      </c>
      <c r="J17" s="4">
        <v>37041.72</v>
      </c>
      <c r="K17" s="4">
        <v>36924.67</v>
      </c>
      <c r="L17" s="4">
        <v>33607.800000000003</v>
      </c>
      <c r="M17" s="4">
        <v>41535.839999999997</v>
      </c>
      <c r="N17" s="4">
        <v>48462.81</v>
      </c>
      <c r="O17" s="4">
        <v>41092.9</v>
      </c>
      <c r="P17" s="4">
        <v>30012.76</v>
      </c>
    </row>
    <row r="18" spans="1:16" x14ac:dyDescent="0.25">
      <c r="A18" s="2" t="s">
        <v>174</v>
      </c>
      <c r="B18" s="4">
        <v>2999.45</v>
      </c>
      <c r="C18" s="4">
        <v>2578.25</v>
      </c>
      <c r="D18" s="4">
        <v>2064.8000000000002</v>
      </c>
      <c r="E18" s="4">
        <v>1168.04</v>
      </c>
      <c r="F18" s="4">
        <v>2462.16</v>
      </c>
      <c r="G18" s="4">
        <v>3601.22</v>
      </c>
      <c r="H18" s="4">
        <v>3189.51</v>
      </c>
      <c r="I18" s="4">
        <v>2878.46</v>
      </c>
      <c r="J18" s="4">
        <v>1966.72</v>
      </c>
      <c r="K18" s="4">
        <v>2224.0500000000002</v>
      </c>
      <c r="L18" s="4">
        <v>1860.97</v>
      </c>
      <c r="M18" s="4">
        <v>2075.35</v>
      </c>
      <c r="N18" s="4">
        <v>2370.44</v>
      </c>
      <c r="O18" s="4">
        <v>1851.23</v>
      </c>
      <c r="P18" s="4">
        <v>1583.24</v>
      </c>
    </row>
    <row r="19" spans="1:16" x14ac:dyDescent="0.25">
      <c r="A19" s="2" t="s">
        <v>25</v>
      </c>
      <c r="B19" s="4">
        <v>11573.4</v>
      </c>
      <c r="C19" s="4">
        <v>5069.17</v>
      </c>
      <c r="D19" s="4">
        <v>2590.62</v>
      </c>
      <c r="E19" s="4">
        <v>1466.82</v>
      </c>
      <c r="F19" s="4">
        <v>-1779.05</v>
      </c>
      <c r="G19" s="4">
        <v>7291.14</v>
      </c>
      <c r="H19" s="4">
        <v>3899.4</v>
      </c>
      <c r="I19" s="4">
        <v>2252.86</v>
      </c>
      <c r="J19" s="4">
        <v>3854.12</v>
      </c>
      <c r="K19" s="2">
        <v>240.18</v>
      </c>
      <c r="L19" s="4">
        <v>2397.6799999999998</v>
      </c>
      <c r="M19" s="4">
        <v>3380.31</v>
      </c>
      <c r="N19" s="4">
        <v>4166.3900000000003</v>
      </c>
      <c r="O19" s="4">
        <v>4940.99</v>
      </c>
      <c r="P19" s="4">
        <v>5109.6400000000003</v>
      </c>
    </row>
    <row r="20" spans="1:16" x14ac:dyDescent="0.25">
      <c r="A20" s="2" t="s">
        <v>29</v>
      </c>
      <c r="B20" s="4">
        <v>6673.09</v>
      </c>
      <c r="C20" s="4">
        <v>4248.2299999999996</v>
      </c>
      <c r="D20" s="4">
        <v>1440.58</v>
      </c>
      <c r="E20" s="4">
        <v>1046.83</v>
      </c>
      <c r="F20" s="4">
        <v>-3235.13</v>
      </c>
      <c r="G20" s="4">
        <v>4403.53</v>
      </c>
      <c r="H20" s="4">
        <v>1406.92</v>
      </c>
      <c r="I20" s="4">
        <v>1271.8</v>
      </c>
      <c r="J20" s="4">
        <v>2451.81</v>
      </c>
      <c r="K20" s="4">
        <v>-1641.23</v>
      </c>
      <c r="L20" s="4">
        <v>-1435.35</v>
      </c>
      <c r="M20" s="4">
        <v>1200.19</v>
      </c>
      <c r="N20" s="4">
        <v>3592.31</v>
      </c>
      <c r="O20" s="4">
        <v>4518.0200000000004</v>
      </c>
      <c r="P20" s="4">
        <v>2545.41</v>
      </c>
    </row>
    <row r="21" spans="1:16" x14ac:dyDescent="0.25">
      <c r="A21" s="2" t="s">
        <v>26</v>
      </c>
      <c r="B21" s="4">
        <v>9867.66</v>
      </c>
      <c r="C21" s="4">
        <v>3021.66</v>
      </c>
      <c r="D21" s="2">
        <v>468.89</v>
      </c>
      <c r="E21" s="2">
        <v>-644.01</v>
      </c>
      <c r="F21" s="4">
        <v>-3752.05</v>
      </c>
      <c r="G21" s="4">
        <v>5497.57</v>
      </c>
      <c r="H21" s="4">
        <v>2154.9699999999998</v>
      </c>
      <c r="I21" s="2">
        <v>683.85</v>
      </c>
      <c r="J21" s="4">
        <v>2262.12</v>
      </c>
      <c r="K21" s="4">
        <v>-1371.5</v>
      </c>
      <c r="L21" s="4">
        <v>1044.5</v>
      </c>
      <c r="M21" s="4">
        <v>1992.55</v>
      </c>
      <c r="N21" s="4">
        <v>2947.77</v>
      </c>
      <c r="O21" s="4">
        <v>3557.29</v>
      </c>
      <c r="P21" s="4">
        <v>3863.41</v>
      </c>
    </row>
    <row r="22" spans="1:16" x14ac:dyDescent="0.25">
      <c r="A22" s="2" t="s">
        <v>175</v>
      </c>
      <c r="B22" s="4">
        <v>9556.56</v>
      </c>
      <c r="C22" s="4">
        <v>3302.31</v>
      </c>
      <c r="D22" s="2">
        <v>830.05</v>
      </c>
      <c r="E22" s="2">
        <v>-263.89</v>
      </c>
      <c r="F22" s="4">
        <v>-5154.34</v>
      </c>
      <c r="G22" s="4">
        <v>4192.5</v>
      </c>
      <c r="H22" s="2">
        <v>797.51</v>
      </c>
      <c r="I22" s="2">
        <v>-784.26</v>
      </c>
      <c r="J22" s="4">
        <v>1524.9</v>
      </c>
      <c r="K22" s="4">
        <v>-2363.04</v>
      </c>
      <c r="L22" s="2">
        <v>327.38</v>
      </c>
      <c r="M22" s="4">
        <v>1562.69</v>
      </c>
      <c r="N22" s="4">
        <v>2559.65</v>
      </c>
      <c r="O22" s="4">
        <v>3580.22</v>
      </c>
      <c r="P22" s="4">
        <v>4075.77</v>
      </c>
    </row>
    <row r="23" spans="1:16" x14ac:dyDescent="0.25">
      <c r="A23" s="2" t="s">
        <v>28</v>
      </c>
      <c r="B23" s="4">
        <v>7850.82</v>
      </c>
      <c r="C23" s="4">
        <v>1254.8</v>
      </c>
      <c r="D23" s="4">
        <v>-1291.68</v>
      </c>
      <c r="E23" s="4">
        <v>-2374.7199999999998</v>
      </c>
      <c r="F23" s="4">
        <v>-7127.34</v>
      </c>
      <c r="G23" s="4">
        <v>2398.9299999999998</v>
      </c>
      <c r="H23" s="2">
        <v>-946.92</v>
      </c>
      <c r="I23" s="4">
        <v>-2353.27</v>
      </c>
      <c r="J23" s="2">
        <v>-67.099999999999994</v>
      </c>
      <c r="K23" s="4">
        <v>-3974.72</v>
      </c>
      <c r="L23" s="4">
        <v>-1025.8</v>
      </c>
      <c r="M23" s="2">
        <v>174.93</v>
      </c>
      <c r="N23" s="4">
        <v>1341.03</v>
      </c>
      <c r="O23" s="4">
        <v>2196.52</v>
      </c>
      <c r="P23" s="4">
        <v>2829.54</v>
      </c>
    </row>
    <row r="24" spans="1:16" x14ac:dyDescent="0.25">
      <c r="A24" s="2" t="s">
        <v>176</v>
      </c>
      <c r="B24" s="4">
        <v>7902.08</v>
      </c>
      <c r="C24" s="4">
        <v>2728.13</v>
      </c>
      <c r="D24" s="4">
        <v>-1390.86</v>
      </c>
      <c r="E24" s="4">
        <v>-2395.44</v>
      </c>
      <c r="F24" s="4">
        <v>-7289.63</v>
      </c>
      <c r="G24" s="4">
        <v>2020.6</v>
      </c>
      <c r="H24" s="4">
        <v>-1034.8499999999999</v>
      </c>
      <c r="I24" s="4">
        <v>-2429.6</v>
      </c>
      <c r="J24" s="2">
        <v>-62.3</v>
      </c>
      <c r="K24" s="4">
        <v>-4738.95</v>
      </c>
      <c r="L24" s="2">
        <v>334.52</v>
      </c>
      <c r="M24" s="2">
        <v>301.81</v>
      </c>
      <c r="N24" s="4">
        <v>1242.23</v>
      </c>
      <c r="O24" s="4">
        <v>1811.82</v>
      </c>
      <c r="P24" s="4">
        <v>2240.08</v>
      </c>
    </row>
    <row r="25" spans="1:16" x14ac:dyDescent="0.25">
      <c r="A25" s="2" t="s">
        <v>177</v>
      </c>
      <c r="B25" s="4">
        <v>5131.05</v>
      </c>
      <c r="C25" s="4">
        <v>2986.19</v>
      </c>
      <c r="D25" s="4">
        <v>-1594.24</v>
      </c>
      <c r="E25" s="4">
        <v>-2162.7399999999998</v>
      </c>
      <c r="F25" s="4">
        <v>-4904.45</v>
      </c>
      <c r="G25" s="4">
        <v>2133.3000000000002</v>
      </c>
      <c r="H25" s="2">
        <v>-255.83</v>
      </c>
      <c r="I25" s="4">
        <v>-2214.85</v>
      </c>
      <c r="J25" s="2">
        <v>-126.54</v>
      </c>
      <c r="K25" s="4">
        <v>-4418.72</v>
      </c>
      <c r="L25" s="4">
        <v>-1177.95</v>
      </c>
      <c r="M25" s="2">
        <v>611.6</v>
      </c>
      <c r="N25" s="4">
        <v>1637.11</v>
      </c>
      <c r="O25" s="4">
        <v>1903.18</v>
      </c>
      <c r="P25" s="4">
        <v>1536.99</v>
      </c>
    </row>
    <row r="26" spans="1:16" x14ac:dyDescent="0.25">
      <c r="A26" s="2" t="s">
        <v>178</v>
      </c>
      <c r="B26" s="4">
        <v>9918.92</v>
      </c>
      <c r="C26" s="4">
        <v>4494.99</v>
      </c>
      <c r="D26" s="2">
        <v>369.71</v>
      </c>
      <c r="E26" s="2">
        <v>-664.73</v>
      </c>
      <c r="F26" s="4">
        <v>-3914.34</v>
      </c>
      <c r="G26" s="4">
        <v>5119.24</v>
      </c>
      <c r="H26" s="4">
        <v>2067.04</v>
      </c>
      <c r="I26" s="2">
        <v>607.52</v>
      </c>
      <c r="J26" s="4">
        <v>2266.92</v>
      </c>
      <c r="K26" s="4">
        <v>-2135.73</v>
      </c>
      <c r="L26" s="4">
        <v>2404.8200000000002</v>
      </c>
      <c r="M26" s="4">
        <v>2119.4299999999998</v>
      </c>
      <c r="N26" s="4">
        <v>2848.97</v>
      </c>
      <c r="O26" s="4">
        <v>3172.59</v>
      </c>
      <c r="P26" s="4">
        <v>3273.95</v>
      </c>
    </row>
    <row r="27" spans="1:16" x14ac:dyDescent="0.25">
      <c r="A27" s="2" t="s">
        <v>179</v>
      </c>
      <c r="B27" s="4">
        <v>3073.96</v>
      </c>
      <c r="C27" s="4">
        <v>2979.25</v>
      </c>
      <c r="D27" s="4">
        <v>4006.6</v>
      </c>
      <c r="E27" s="4">
        <v>2181.66</v>
      </c>
      <c r="F27" s="4">
        <v>3144.88</v>
      </c>
      <c r="G27" s="4">
        <v>6508</v>
      </c>
      <c r="H27" s="4">
        <v>5422.47</v>
      </c>
      <c r="I27" s="4">
        <v>5651.26</v>
      </c>
      <c r="J27" s="4">
        <v>5458.98</v>
      </c>
      <c r="K27" s="4">
        <v>5580.7</v>
      </c>
      <c r="L27" s="4">
        <v>6941.73</v>
      </c>
      <c r="M27" s="4">
        <v>4885.83</v>
      </c>
      <c r="N27" s="4">
        <v>3676.95</v>
      </c>
      <c r="O27" s="4">
        <v>3365.08</v>
      </c>
      <c r="P27" s="4">
        <v>3047.56</v>
      </c>
    </row>
    <row r="28" spans="1:16" x14ac:dyDescent="0.25">
      <c r="A28" s="2" t="s">
        <v>180</v>
      </c>
      <c r="B28" s="4">
        <v>1217.8599999999999</v>
      </c>
      <c r="C28" s="4">
        <v>1297.57</v>
      </c>
      <c r="D28" s="4">
        <v>1983.68</v>
      </c>
      <c r="E28" s="4">
        <v>2159.77</v>
      </c>
      <c r="F28" s="4">
        <v>2946.64</v>
      </c>
      <c r="G28" s="4">
        <v>3958.66</v>
      </c>
      <c r="H28" s="4">
        <v>3079.76</v>
      </c>
      <c r="I28" s="4">
        <v>2784.19</v>
      </c>
      <c r="J28" s="4">
        <v>2416.54</v>
      </c>
      <c r="K28" s="4">
        <v>2674.72</v>
      </c>
      <c r="L28" s="4">
        <v>2332.71</v>
      </c>
      <c r="M28" s="4">
        <v>2443.7399999999998</v>
      </c>
      <c r="N28" s="4">
        <v>2885.86</v>
      </c>
      <c r="O28" s="4">
        <v>2748.47</v>
      </c>
      <c r="P28" s="4">
        <v>1947.89</v>
      </c>
    </row>
    <row r="29" spans="1:16" x14ac:dyDescent="0.25">
      <c r="A29" s="2" t="s">
        <v>181</v>
      </c>
      <c r="B29" s="2">
        <v>0</v>
      </c>
      <c r="C29" s="2">
        <v>0</v>
      </c>
      <c r="D29" s="2">
        <v>0</v>
      </c>
      <c r="E29" s="2">
        <v>0</v>
      </c>
      <c r="F29" s="2">
        <v>0</v>
      </c>
      <c r="G29" s="2">
        <v>0</v>
      </c>
      <c r="H29" s="2">
        <v>0</v>
      </c>
      <c r="I29" s="2">
        <v>0</v>
      </c>
      <c r="J29" s="2">
        <v>0</v>
      </c>
      <c r="K29" s="2">
        <v>0</v>
      </c>
      <c r="L29" s="2">
        <v>0</v>
      </c>
      <c r="M29" s="2">
        <v>0</v>
      </c>
      <c r="N29" s="2">
        <v>0</v>
      </c>
      <c r="O29" s="2">
        <v>0</v>
      </c>
      <c r="P29" s="2">
        <v>0</v>
      </c>
    </row>
    <row r="30" spans="1:16" x14ac:dyDescent="0.25">
      <c r="A30" s="2" t="s">
        <v>182</v>
      </c>
      <c r="B30" s="2">
        <v>0</v>
      </c>
      <c r="C30" s="2">
        <v>0</v>
      </c>
      <c r="D30" s="2">
        <v>0</v>
      </c>
      <c r="E30" s="2">
        <v>0</v>
      </c>
      <c r="F30" s="2">
        <v>0</v>
      </c>
      <c r="G30" s="2">
        <v>0</v>
      </c>
      <c r="H30" s="2">
        <v>0</v>
      </c>
      <c r="I30" s="2">
        <v>0</v>
      </c>
      <c r="J30" s="2">
        <v>354.25</v>
      </c>
      <c r="K30" s="2">
        <v>387.62</v>
      </c>
      <c r="L30" s="2">
        <v>268.37</v>
      </c>
      <c r="M30" s="2">
        <v>275.33999999999997</v>
      </c>
      <c r="N30" s="2">
        <v>362.48</v>
      </c>
      <c r="O30" s="2">
        <v>158.71</v>
      </c>
      <c r="P30" s="2">
        <v>374.16</v>
      </c>
    </row>
    <row r="31" spans="1:16" x14ac:dyDescent="0.25">
      <c r="A31" s="2" t="s">
        <v>183</v>
      </c>
      <c r="B31" s="2">
        <v>78.650000000000006</v>
      </c>
      <c r="C31" s="2">
        <v>58.66</v>
      </c>
      <c r="D31" s="2">
        <v>52.06</v>
      </c>
      <c r="E31" s="2">
        <v>49.77</v>
      </c>
      <c r="F31" s="2">
        <v>48.7</v>
      </c>
      <c r="G31" s="2">
        <v>65.260000000000005</v>
      </c>
      <c r="H31" s="2">
        <v>59.39</v>
      </c>
      <c r="I31" s="2">
        <v>62.31</v>
      </c>
      <c r="J31" s="2">
        <v>68.5</v>
      </c>
      <c r="K31" s="2">
        <v>46.1</v>
      </c>
      <c r="L31" s="2">
        <v>59.5</v>
      </c>
      <c r="M31" s="2">
        <v>59.9</v>
      </c>
      <c r="N31" s="2">
        <v>60.95</v>
      </c>
      <c r="O31" s="2">
        <v>314.91000000000003</v>
      </c>
      <c r="P31" s="2">
        <v>261.83999999999997</v>
      </c>
    </row>
    <row r="32" spans="1:16" x14ac:dyDescent="0.25">
      <c r="A32" s="2" t="s">
        <v>184</v>
      </c>
      <c r="B32" s="2">
        <v>78.650000000000006</v>
      </c>
      <c r="C32" s="2">
        <v>58.66</v>
      </c>
      <c r="D32" s="2">
        <v>52.06</v>
      </c>
      <c r="E32" s="2">
        <v>49.77</v>
      </c>
      <c r="F32" s="2">
        <v>48.7</v>
      </c>
      <c r="G32" s="2">
        <v>65.260000000000005</v>
      </c>
      <c r="H32" s="2">
        <v>59.39</v>
      </c>
      <c r="I32" s="2">
        <v>62.31</v>
      </c>
      <c r="J32" s="2">
        <v>68.5</v>
      </c>
      <c r="K32" s="2">
        <v>45.61</v>
      </c>
      <c r="L32" s="2">
        <v>58.87</v>
      </c>
      <c r="M32" s="2">
        <v>59.27</v>
      </c>
      <c r="N32" s="2">
        <v>60.3</v>
      </c>
      <c r="O32" s="2">
        <v>62.31</v>
      </c>
      <c r="P32" s="2">
        <v>51.81</v>
      </c>
    </row>
    <row r="33" spans="1:16" x14ac:dyDescent="0.25">
      <c r="A33" s="2" t="s">
        <v>185</v>
      </c>
      <c r="B33" s="4">
        <v>396966.26</v>
      </c>
      <c r="C33" s="4">
        <v>160915.56</v>
      </c>
      <c r="D33" s="4">
        <v>164946.78</v>
      </c>
      <c r="E33" s="4">
        <v>113251.33</v>
      </c>
      <c r="F33" s="4">
        <v>25099.88</v>
      </c>
      <c r="G33" s="4">
        <v>59052.37</v>
      </c>
      <c r="H33" s="4">
        <v>113248.91</v>
      </c>
      <c r="I33" s="4">
        <v>163225.64000000001</v>
      </c>
      <c r="J33" s="4">
        <v>140887.71</v>
      </c>
      <c r="K33" s="4">
        <v>182411.2</v>
      </c>
      <c r="L33" s="4">
        <v>128536.29</v>
      </c>
      <c r="M33" s="4">
        <v>87673.65</v>
      </c>
      <c r="N33" s="4">
        <v>89417.85</v>
      </c>
      <c r="O33" s="4">
        <v>80550.490000000005</v>
      </c>
      <c r="P33" s="4">
        <v>44091.4</v>
      </c>
    </row>
    <row r="34" spans="1:16" x14ac:dyDescent="0.25">
      <c r="A34" s="2" t="s">
        <v>186</v>
      </c>
      <c r="B34" s="4">
        <v>247820.89</v>
      </c>
      <c r="C34" s="4">
        <v>152593.54999999999</v>
      </c>
      <c r="D34" s="4">
        <v>139798.45000000001</v>
      </c>
      <c r="E34" s="4">
        <v>55641.54</v>
      </c>
      <c r="F34" s="4">
        <v>49895.12</v>
      </c>
      <c r="G34" s="4">
        <v>74138.45</v>
      </c>
      <c r="H34" s="4">
        <v>133062.98000000001</v>
      </c>
      <c r="I34" s="4">
        <v>154623.56</v>
      </c>
      <c r="J34" s="4">
        <v>127568.44</v>
      </c>
      <c r="K34" s="4">
        <v>151176.73000000001</v>
      </c>
      <c r="L34" s="4">
        <v>100712.25</v>
      </c>
      <c r="M34" s="4">
        <v>81191.75</v>
      </c>
      <c r="N34" s="4">
        <v>61196.4</v>
      </c>
      <c r="O34" s="4">
        <v>59061.46</v>
      </c>
      <c r="P34" s="4">
        <v>27169</v>
      </c>
    </row>
    <row r="35" spans="1:16" x14ac:dyDescent="0.25">
      <c r="A35" s="2" t="s">
        <v>187</v>
      </c>
      <c r="B35" s="293">
        <v>406005.94</v>
      </c>
      <c r="C35" s="4">
        <v>178779.6</v>
      </c>
      <c r="D35" s="4">
        <v>185870.42</v>
      </c>
      <c r="E35" s="4">
        <v>131371.32</v>
      </c>
      <c r="F35" s="4">
        <v>47618</v>
      </c>
      <c r="G35" s="4">
        <v>76385.39</v>
      </c>
      <c r="H35" s="4">
        <v>130917.33</v>
      </c>
      <c r="I35" s="4">
        <v>182256.01</v>
      </c>
      <c r="J35" s="4">
        <v>156572.63</v>
      </c>
      <c r="K35" s="4">
        <v>202600.86</v>
      </c>
      <c r="L35" s="4">
        <v>143362.94</v>
      </c>
      <c r="M35" s="4">
        <v>104009.74</v>
      </c>
      <c r="N35" s="4">
        <v>103457.46</v>
      </c>
      <c r="O35" s="4">
        <v>94112.3</v>
      </c>
      <c r="P35" s="4">
        <v>58932.68</v>
      </c>
    </row>
    <row r="36" spans="1:16" x14ac:dyDescent="0.25">
      <c r="A36" s="2" t="s">
        <v>188</v>
      </c>
      <c r="B36" s="3"/>
      <c r="C36" s="3"/>
      <c r="D36" s="3"/>
      <c r="E36" s="3"/>
      <c r="F36" s="3"/>
      <c r="G36" s="3"/>
      <c r="H36" s="3"/>
      <c r="I36" s="3"/>
      <c r="J36" s="3"/>
      <c r="K36" s="3"/>
      <c r="L36" s="3"/>
      <c r="M36" s="3"/>
      <c r="N36" s="3"/>
      <c r="O36" s="3"/>
      <c r="P36" s="3"/>
    </row>
    <row r="37" spans="1:16" ht="26.25" x14ac:dyDescent="0.25">
      <c r="A37" s="2" t="s">
        <v>189</v>
      </c>
      <c r="B37" s="24">
        <v>45415</v>
      </c>
      <c r="C37" s="2" t="s">
        <v>190</v>
      </c>
      <c r="D37" s="2" t="s">
        <v>191</v>
      </c>
      <c r="E37" s="24">
        <v>44258</v>
      </c>
      <c r="F37" s="2" t="s">
        <v>192</v>
      </c>
      <c r="G37" s="24">
        <v>43224</v>
      </c>
      <c r="H37" s="2" t="s">
        <v>193</v>
      </c>
      <c r="I37" s="24">
        <v>42560</v>
      </c>
      <c r="J37" s="24">
        <v>42159</v>
      </c>
      <c r="K37" s="24">
        <v>42065</v>
      </c>
      <c r="L37" s="24">
        <v>41732</v>
      </c>
      <c r="M37" s="24">
        <v>41548</v>
      </c>
      <c r="N37" s="2" t="s">
        <v>194</v>
      </c>
      <c r="O37" s="24">
        <v>40341</v>
      </c>
      <c r="P37" s="24">
        <v>40299</v>
      </c>
    </row>
    <row r="38" spans="1:16" x14ac:dyDescent="0.25">
      <c r="A38" s="2" t="s">
        <v>195</v>
      </c>
      <c r="B38" s="4">
        <v>1065.5999999999999</v>
      </c>
      <c r="C38" s="2">
        <v>494.5</v>
      </c>
      <c r="D38" s="2">
        <v>536.5</v>
      </c>
      <c r="E38" s="2">
        <v>357</v>
      </c>
      <c r="F38" s="2">
        <v>239.3</v>
      </c>
      <c r="G38" s="2">
        <v>372.4</v>
      </c>
      <c r="H38" s="2">
        <v>487</v>
      </c>
      <c r="I38" s="2">
        <v>598.6</v>
      </c>
      <c r="J38" s="2">
        <v>573.15</v>
      </c>
      <c r="K38" s="2">
        <v>605.57000000000005</v>
      </c>
      <c r="L38" s="2">
        <v>415.85</v>
      </c>
      <c r="M38" s="2">
        <v>333.48</v>
      </c>
      <c r="N38" s="2">
        <v>294.10000000000002</v>
      </c>
      <c r="O38" s="2">
        <v>273.35000000000002</v>
      </c>
      <c r="P38" s="2">
        <v>166.62</v>
      </c>
    </row>
    <row r="39" spans="1:16" ht="26.25" x14ac:dyDescent="0.25">
      <c r="A39" s="2" t="s">
        <v>196</v>
      </c>
      <c r="B39" s="24">
        <v>44989</v>
      </c>
      <c r="C39" s="24">
        <v>44900</v>
      </c>
      <c r="D39" s="2" t="s">
        <v>197</v>
      </c>
      <c r="E39" s="24">
        <v>43894</v>
      </c>
      <c r="F39" s="2" t="s">
        <v>198</v>
      </c>
      <c r="G39" s="24">
        <v>43679</v>
      </c>
      <c r="H39" s="2" t="s">
        <v>199</v>
      </c>
      <c r="I39" s="24">
        <v>42494</v>
      </c>
      <c r="J39" s="24">
        <v>42676</v>
      </c>
      <c r="K39" s="24">
        <v>41643</v>
      </c>
      <c r="L39" s="24">
        <v>41398</v>
      </c>
      <c r="M39" s="2" t="s">
        <v>200</v>
      </c>
      <c r="N39" s="2" t="s">
        <v>201</v>
      </c>
      <c r="O39" s="2" t="s">
        <v>202</v>
      </c>
      <c r="P39" s="24">
        <v>39817</v>
      </c>
    </row>
    <row r="40" spans="1:16" x14ac:dyDescent="0.25">
      <c r="A40" s="2" t="s">
        <v>203</v>
      </c>
      <c r="B40" s="2">
        <v>419.45</v>
      </c>
      <c r="C40" s="2">
        <v>366.05</v>
      </c>
      <c r="D40" s="2">
        <v>268.5</v>
      </c>
      <c r="E40" s="2">
        <v>64.8</v>
      </c>
      <c r="F40" s="2">
        <v>63.6</v>
      </c>
      <c r="G40" s="2">
        <v>141.9</v>
      </c>
      <c r="H40" s="2">
        <v>324.5</v>
      </c>
      <c r="I40" s="2">
        <v>368.4</v>
      </c>
      <c r="J40" s="2">
        <v>266</v>
      </c>
      <c r="K40" s="2">
        <v>395.47</v>
      </c>
      <c r="L40" s="2">
        <v>249.43</v>
      </c>
      <c r="M40" s="2">
        <v>200.8</v>
      </c>
      <c r="N40" s="2">
        <v>136.19</v>
      </c>
      <c r="O40" s="2">
        <v>132.58000000000001</v>
      </c>
      <c r="P40" s="2">
        <v>34.65</v>
      </c>
    </row>
    <row r="41" spans="1:16" ht="26.25" x14ac:dyDescent="0.25">
      <c r="A41" s="2" t="s">
        <v>204</v>
      </c>
      <c r="B41" s="2" t="s">
        <v>205</v>
      </c>
      <c r="C41" s="2" t="s">
        <v>206</v>
      </c>
      <c r="D41" s="2" t="s">
        <v>207</v>
      </c>
      <c r="E41" s="2" t="s">
        <v>208</v>
      </c>
      <c r="F41" s="2" t="s">
        <v>209</v>
      </c>
      <c r="G41" s="2" t="s">
        <v>210</v>
      </c>
      <c r="H41" s="2" t="s">
        <v>211</v>
      </c>
      <c r="I41" s="2" t="s">
        <v>212</v>
      </c>
      <c r="J41" s="2" t="s">
        <v>213</v>
      </c>
      <c r="K41" s="2" t="s">
        <v>214</v>
      </c>
      <c r="L41" s="2" t="s">
        <v>215</v>
      </c>
      <c r="M41" s="2" t="s">
        <v>216</v>
      </c>
      <c r="N41" s="2" t="s">
        <v>217</v>
      </c>
      <c r="O41" s="2" t="s">
        <v>218</v>
      </c>
      <c r="P41" s="2" t="s">
        <v>219</v>
      </c>
    </row>
    <row r="42" spans="1:16" x14ac:dyDescent="0.25">
      <c r="A42" s="2" t="s">
        <v>220</v>
      </c>
      <c r="B42" s="2">
        <v>993</v>
      </c>
      <c r="C42" s="2">
        <v>420.6</v>
      </c>
      <c r="D42" s="2">
        <v>433.5</v>
      </c>
      <c r="E42" s="2">
        <v>301.85000000000002</v>
      </c>
      <c r="F42" s="2">
        <v>71.05</v>
      </c>
      <c r="G42" s="2">
        <v>174.3</v>
      </c>
      <c r="H42" s="2">
        <v>327.45</v>
      </c>
      <c r="I42" s="2">
        <v>465.95</v>
      </c>
      <c r="J42" s="2">
        <v>386.3</v>
      </c>
      <c r="K42" s="2">
        <v>544.13</v>
      </c>
      <c r="L42" s="2">
        <v>394.13</v>
      </c>
      <c r="M42" s="2">
        <v>266.45</v>
      </c>
      <c r="N42" s="2">
        <v>272.77999999999997</v>
      </c>
      <c r="O42" s="2">
        <v>246.86</v>
      </c>
      <c r="P42" s="2">
        <v>149.54</v>
      </c>
    </row>
    <row r="43" spans="1:16" ht="26.25" x14ac:dyDescent="0.25">
      <c r="A43" s="2" t="s">
        <v>221</v>
      </c>
      <c r="B43" s="24">
        <v>45415</v>
      </c>
      <c r="C43" s="2" t="s">
        <v>190</v>
      </c>
      <c r="D43" s="2" t="s">
        <v>191</v>
      </c>
      <c r="E43" s="24">
        <v>44258</v>
      </c>
      <c r="F43" s="2" t="s">
        <v>222</v>
      </c>
      <c r="G43" s="24">
        <v>43224</v>
      </c>
      <c r="H43" s="2" t="s">
        <v>193</v>
      </c>
      <c r="I43" s="24">
        <v>42560</v>
      </c>
      <c r="J43" s="24">
        <v>42159</v>
      </c>
      <c r="K43" s="24">
        <v>42065</v>
      </c>
      <c r="L43" s="24">
        <v>41732</v>
      </c>
      <c r="M43" s="24">
        <v>41548</v>
      </c>
      <c r="N43" s="2" t="s">
        <v>194</v>
      </c>
      <c r="O43" s="24">
        <v>40341</v>
      </c>
      <c r="P43" s="24">
        <v>40299</v>
      </c>
    </row>
    <row r="44" spans="1:16" x14ac:dyDescent="0.25">
      <c r="A44" s="2" t="s">
        <v>223</v>
      </c>
      <c r="B44" s="4">
        <v>1065.5999999999999</v>
      </c>
      <c r="C44" s="2">
        <v>494.4</v>
      </c>
      <c r="D44" s="2">
        <v>536.70000000000005</v>
      </c>
      <c r="E44" s="2">
        <v>357</v>
      </c>
      <c r="F44" s="2">
        <v>239.35</v>
      </c>
      <c r="G44" s="2">
        <v>372.35</v>
      </c>
      <c r="H44" s="2">
        <v>488.25</v>
      </c>
      <c r="I44" s="2">
        <v>598.4</v>
      </c>
      <c r="J44" s="2">
        <v>573.5</v>
      </c>
      <c r="K44" s="2">
        <v>605.9</v>
      </c>
      <c r="L44" s="2">
        <v>416.24</v>
      </c>
      <c r="M44" s="2">
        <v>333.82</v>
      </c>
      <c r="N44" s="2">
        <v>294.69</v>
      </c>
      <c r="O44" s="2">
        <v>273.47000000000003</v>
      </c>
      <c r="P44" s="2">
        <v>167.15</v>
      </c>
    </row>
    <row r="45" spans="1:16" ht="26.25" x14ac:dyDescent="0.25">
      <c r="A45" s="2" t="s">
        <v>224</v>
      </c>
      <c r="B45" s="24">
        <v>44989</v>
      </c>
      <c r="C45" s="24">
        <v>44900</v>
      </c>
      <c r="D45" s="2" t="s">
        <v>197</v>
      </c>
      <c r="E45" s="24">
        <v>43894</v>
      </c>
      <c r="F45" s="2" t="s">
        <v>198</v>
      </c>
      <c r="G45" s="24">
        <v>43679</v>
      </c>
      <c r="H45" s="2" t="s">
        <v>199</v>
      </c>
      <c r="I45" s="24">
        <v>42494</v>
      </c>
      <c r="J45" s="24">
        <v>42676</v>
      </c>
      <c r="K45" s="24">
        <v>41643</v>
      </c>
      <c r="L45" s="24">
        <v>41398</v>
      </c>
      <c r="M45" s="2" t="s">
        <v>200</v>
      </c>
      <c r="N45" s="2" t="s">
        <v>201</v>
      </c>
      <c r="O45" s="2" t="s">
        <v>202</v>
      </c>
      <c r="P45" s="24">
        <v>39817</v>
      </c>
    </row>
    <row r="46" spans="1:16" x14ac:dyDescent="0.25">
      <c r="A46" s="2" t="s">
        <v>225</v>
      </c>
      <c r="B46" s="2">
        <v>419.5</v>
      </c>
      <c r="C46" s="2">
        <v>366.2</v>
      </c>
      <c r="D46" s="2">
        <v>268.45</v>
      </c>
      <c r="E46" s="2">
        <v>64.8</v>
      </c>
      <c r="F46" s="2">
        <v>63.5</v>
      </c>
      <c r="G46" s="2">
        <v>129</v>
      </c>
      <c r="H46" s="2">
        <v>324.3</v>
      </c>
      <c r="I46" s="2">
        <v>369</v>
      </c>
      <c r="J46" s="2">
        <v>265.8</v>
      </c>
      <c r="K46" s="2">
        <v>395.26</v>
      </c>
      <c r="L46" s="2">
        <v>249.13</v>
      </c>
      <c r="M46" s="2">
        <v>200.9</v>
      </c>
      <c r="N46" s="2">
        <v>136.09</v>
      </c>
      <c r="O46" s="2">
        <v>132.58000000000001</v>
      </c>
      <c r="P46" s="2">
        <v>34.67</v>
      </c>
    </row>
    <row r="47" spans="1:16" ht="26.25" x14ac:dyDescent="0.25">
      <c r="A47" s="2" t="s">
        <v>226</v>
      </c>
      <c r="B47" s="2" t="s">
        <v>205</v>
      </c>
      <c r="C47" s="2" t="s">
        <v>206</v>
      </c>
      <c r="D47" s="2" t="s">
        <v>207</v>
      </c>
      <c r="E47" s="2" t="s">
        <v>208</v>
      </c>
      <c r="F47" s="2" t="s">
        <v>209</v>
      </c>
      <c r="G47" s="2" t="s">
        <v>210</v>
      </c>
      <c r="H47" s="2" t="s">
        <v>211</v>
      </c>
      <c r="I47" s="2" t="s">
        <v>212</v>
      </c>
      <c r="J47" s="2" t="s">
        <v>213</v>
      </c>
      <c r="K47" s="2" t="s">
        <v>214</v>
      </c>
      <c r="L47" s="2" t="s">
        <v>215</v>
      </c>
      <c r="M47" s="2" t="s">
        <v>216</v>
      </c>
      <c r="N47" s="2" t="s">
        <v>217</v>
      </c>
      <c r="O47" s="2" t="s">
        <v>218</v>
      </c>
      <c r="P47" s="2" t="s">
        <v>219</v>
      </c>
    </row>
    <row r="48" spans="1:16" x14ac:dyDescent="0.25">
      <c r="A48" s="2" t="s">
        <v>227</v>
      </c>
      <c r="B48" s="2">
        <v>992.8</v>
      </c>
      <c r="C48" s="2">
        <v>420.8</v>
      </c>
      <c r="D48" s="2">
        <v>433.75</v>
      </c>
      <c r="E48" s="2">
        <v>301.8</v>
      </c>
      <c r="F48" s="2">
        <v>71.05</v>
      </c>
      <c r="G48" s="2">
        <v>174.25</v>
      </c>
      <c r="H48" s="2">
        <v>326.85000000000002</v>
      </c>
      <c r="I48" s="2">
        <v>465.85</v>
      </c>
      <c r="J48" s="2">
        <v>386.6</v>
      </c>
      <c r="K48" s="2">
        <v>544.36</v>
      </c>
      <c r="L48" s="2">
        <v>394.42</v>
      </c>
      <c r="M48" s="2">
        <v>266.29000000000002</v>
      </c>
      <c r="N48" s="2">
        <v>272.33</v>
      </c>
      <c r="O48" s="2">
        <v>247.02</v>
      </c>
      <c r="P48" s="2">
        <v>149.93</v>
      </c>
    </row>
    <row r="49" spans="1:16" x14ac:dyDescent="0.25">
      <c r="A49" s="2" t="s">
        <v>228</v>
      </c>
      <c r="B49" s="2">
        <v>25.88</v>
      </c>
      <c r="C49" s="2">
        <v>11.74</v>
      </c>
      <c r="D49" s="2">
        <v>0.97</v>
      </c>
      <c r="E49" s="2">
        <v>-1.74</v>
      </c>
      <c r="F49" s="2">
        <v>-10.88</v>
      </c>
      <c r="G49" s="2">
        <v>15.07</v>
      </c>
      <c r="H49" s="2">
        <v>6.09</v>
      </c>
      <c r="I49" s="2">
        <v>1.79</v>
      </c>
      <c r="J49" s="2">
        <v>6.68</v>
      </c>
      <c r="K49" s="2">
        <v>-6.63</v>
      </c>
      <c r="L49" s="2">
        <v>7.18</v>
      </c>
      <c r="M49" s="2">
        <v>6.4</v>
      </c>
      <c r="N49" s="2">
        <v>8.4</v>
      </c>
      <c r="O49" s="2">
        <v>46.95</v>
      </c>
      <c r="P49" s="2">
        <v>55.05</v>
      </c>
    </row>
    <row r="50" spans="1:16" x14ac:dyDescent="0.25">
      <c r="A50" s="2" t="s">
        <v>229</v>
      </c>
      <c r="B50" s="2">
        <v>20.62</v>
      </c>
      <c r="C50" s="2">
        <v>7.12</v>
      </c>
      <c r="D50" s="2">
        <v>-3.63</v>
      </c>
      <c r="E50" s="2">
        <v>-6.26</v>
      </c>
      <c r="F50" s="2">
        <v>-20.260000000000002</v>
      </c>
      <c r="G50" s="2">
        <v>5.95</v>
      </c>
      <c r="H50" s="2">
        <v>0</v>
      </c>
      <c r="I50" s="2">
        <v>-7.15</v>
      </c>
      <c r="J50" s="2">
        <v>-0.18</v>
      </c>
      <c r="K50" s="2">
        <v>-14.72</v>
      </c>
      <c r="L50" s="2">
        <v>1.04</v>
      </c>
      <c r="M50" s="2">
        <v>0.95</v>
      </c>
      <c r="N50" s="2">
        <v>3.91</v>
      </c>
      <c r="O50" s="2">
        <v>25.51</v>
      </c>
      <c r="P50" s="2">
        <v>36.93</v>
      </c>
    </row>
    <row r="51" spans="1:16" x14ac:dyDescent="0.25">
      <c r="A51" s="2" t="s">
        <v>230</v>
      </c>
      <c r="B51" s="2">
        <v>20.62</v>
      </c>
      <c r="C51" s="2">
        <v>7.12</v>
      </c>
      <c r="D51" s="2">
        <v>-3.63</v>
      </c>
      <c r="E51" s="2">
        <v>-6.26</v>
      </c>
      <c r="F51" s="2">
        <v>-20.260000000000002</v>
      </c>
      <c r="G51" s="2">
        <v>5.95</v>
      </c>
      <c r="H51" s="2">
        <v>0</v>
      </c>
      <c r="I51" s="2">
        <v>-7.15</v>
      </c>
      <c r="J51" s="2">
        <v>-0.18</v>
      </c>
      <c r="K51" s="2">
        <v>-14.56</v>
      </c>
      <c r="L51" s="2">
        <v>1.03</v>
      </c>
      <c r="M51" s="2">
        <v>0.94</v>
      </c>
      <c r="N51" s="2">
        <v>3.87</v>
      </c>
      <c r="O51" s="2">
        <v>5.05</v>
      </c>
      <c r="P51" s="2">
        <v>7.31</v>
      </c>
    </row>
    <row r="52" spans="1:16" x14ac:dyDescent="0.25">
      <c r="A52" s="2" t="s">
        <v>231</v>
      </c>
      <c r="B52" s="2">
        <v>610</v>
      </c>
      <c r="C52" s="2">
        <v>100</v>
      </c>
      <c r="D52" s="2">
        <v>0</v>
      </c>
      <c r="E52" s="2">
        <v>0</v>
      </c>
      <c r="F52" s="2">
        <v>0</v>
      </c>
      <c r="G52" s="2">
        <v>0</v>
      </c>
      <c r="H52" s="2">
        <v>0</v>
      </c>
      <c r="I52" s="2">
        <v>0</v>
      </c>
      <c r="J52" s="2">
        <v>10</v>
      </c>
      <c r="K52" s="2">
        <v>0</v>
      </c>
      <c r="L52" s="2">
        <v>100</v>
      </c>
      <c r="M52" s="2">
        <v>100</v>
      </c>
      <c r="N52" s="2">
        <v>200</v>
      </c>
      <c r="O52" s="2">
        <v>200</v>
      </c>
      <c r="P52" s="2">
        <v>150</v>
      </c>
    </row>
    <row r="53" spans="1:16" x14ac:dyDescent="0.25">
      <c r="A53" s="2" t="s">
        <v>232</v>
      </c>
      <c r="B53" s="2">
        <v>9.76</v>
      </c>
      <c r="C53" s="2">
        <v>0</v>
      </c>
      <c r="D53" s="2">
        <v>0</v>
      </c>
      <c r="E53" s="2">
        <v>0</v>
      </c>
      <c r="F53" s="2">
        <v>0</v>
      </c>
      <c r="G53" s="2">
        <v>0</v>
      </c>
      <c r="H53" s="2">
        <v>0</v>
      </c>
      <c r="I53" s="2">
        <v>-3</v>
      </c>
      <c r="J53" s="2">
        <v>0</v>
      </c>
      <c r="K53" s="2">
        <v>0</v>
      </c>
      <c r="L53" s="2">
        <v>270.36</v>
      </c>
      <c r="M53" s="2">
        <v>289.61</v>
      </c>
      <c r="N53" s="2">
        <v>120.91</v>
      </c>
      <c r="O53" s="2">
        <v>78.7</v>
      </c>
      <c r="P53" s="2">
        <v>40.770000000000003</v>
      </c>
    </row>
    <row r="54" spans="1:16" x14ac:dyDescent="0.25">
      <c r="A54" s="2" t="s">
        <v>233</v>
      </c>
      <c r="B54" s="4">
        <v>8661.7099999999991</v>
      </c>
      <c r="C54" s="4">
        <v>4775.43</v>
      </c>
      <c r="D54" s="4">
        <v>5281.93</v>
      </c>
      <c r="E54" s="4">
        <v>6680.32</v>
      </c>
      <c r="F54" s="4">
        <v>-1454.59</v>
      </c>
      <c r="G54" s="4">
        <v>6292.63</v>
      </c>
      <c r="H54" s="4">
        <v>4133.9399999999996</v>
      </c>
      <c r="I54" s="4">
        <v>1453.45</v>
      </c>
      <c r="J54" s="4">
        <v>2702.98</v>
      </c>
      <c r="K54" s="4">
        <v>-2214.3000000000002</v>
      </c>
      <c r="L54" s="4">
        <v>2463.46</v>
      </c>
      <c r="M54" s="4">
        <v>2258.44</v>
      </c>
      <c r="N54" s="4">
        <v>3653.59</v>
      </c>
      <c r="O54" s="4">
        <v>1505.56</v>
      </c>
      <c r="P54" s="4">
        <v>6400.18</v>
      </c>
    </row>
    <row r="55" spans="1:16" x14ac:dyDescent="0.25">
      <c r="A55" s="2" t="s">
        <v>234</v>
      </c>
      <c r="B55" s="4">
        <v>1492.2</v>
      </c>
      <c r="C55" s="2">
        <v>917.09</v>
      </c>
      <c r="D55" s="4">
        <v>-4681.3999999999996</v>
      </c>
      <c r="E55" s="4">
        <v>-2988.17</v>
      </c>
      <c r="F55" s="4">
        <v>-4636.72</v>
      </c>
      <c r="G55" s="4">
        <v>-3822.35</v>
      </c>
      <c r="H55" s="2">
        <v>-710.43</v>
      </c>
      <c r="I55" s="4">
        <v>-2860.38</v>
      </c>
      <c r="J55" s="4">
        <v>-3263.51</v>
      </c>
      <c r="K55" s="2">
        <v>246.04</v>
      </c>
      <c r="L55" s="4">
        <v>2563.46</v>
      </c>
      <c r="M55" s="4">
        <v>1073.18</v>
      </c>
      <c r="N55" s="2">
        <v>149.5</v>
      </c>
      <c r="O55" s="4">
        <v>-2518.11</v>
      </c>
      <c r="P55" s="4">
        <v>-11886.99</v>
      </c>
    </row>
    <row r="56" spans="1:16" x14ac:dyDescent="0.25">
      <c r="A56" s="2" t="s">
        <v>235</v>
      </c>
      <c r="B56" s="4">
        <v>-7930.45</v>
      </c>
      <c r="C56" s="4">
        <v>-7021.32</v>
      </c>
      <c r="D56" s="2">
        <v>-515.84</v>
      </c>
      <c r="E56" s="4">
        <v>-3471.91</v>
      </c>
      <c r="F56" s="4">
        <v>7749.21</v>
      </c>
      <c r="G56" s="4">
        <v>-2529.6999999999998</v>
      </c>
      <c r="H56" s="4">
        <v>-3105.63</v>
      </c>
      <c r="I56" s="4">
        <v>1208.8</v>
      </c>
      <c r="J56" s="2">
        <v>-78.87</v>
      </c>
      <c r="K56" s="4">
        <v>2631.53</v>
      </c>
      <c r="L56" s="4">
        <v>-5033.8100000000004</v>
      </c>
      <c r="M56" s="4">
        <v>-4045.69</v>
      </c>
      <c r="N56" s="4">
        <v>-4235.59</v>
      </c>
      <c r="O56" s="4">
        <v>1648.42</v>
      </c>
      <c r="P56" s="4">
        <v>5534.34</v>
      </c>
    </row>
    <row r="57" spans="1:16" x14ac:dyDescent="0.25">
      <c r="A57" s="2" t="s">
        <v>236</v>
      </c>
      <c r="B57" s="4">
        <v>1421.72</v>
      </c>
      <c r="C57" s="4">
        <v>-1886.76</v>
      </c>
      <c r="D57" s="4">
        <v>5342.46</v>
      </c>
      <c r="E57" s="4">
        <v>1371.31</v>
      </c>
      <c r="F57" s="2">
        <v>210.81</v>
      </c>
      <c r="G57" s="4">
        <v>1336.78</v>
      </c>
      <c r="H57" s="2">
        <v>306.55</v>
      </c>
      <c r="I57" s="4">
        <v>1153.55</v>
      </c>
      <c r="J57" s="4">
        <v>-6006.83</v>
      </c>
      <c r="K57" s="2">
        <v>633.04</v>
      </c>
      <c r="L57" s="4">
        <v>-2169.02</v>
      </c>
      <c r="M57" s="4">
        <v>1725.61</v>
      </c>
      <c r="N57" s="2">
        <v>656.96</v>
      </c>
      <c r="O57" s="2">
        <v>-304.95</v>
      </c>
      <c r="P57" s="4">
        <v>7707.88</v>
      </c>
    </row>
    <row r="58" spans="1:16" x14ac:dyDescent="0.25">
      <c r="A58" s="2" t="s">
        <v>237</v>
      </c>
      <c r="B58" s="4">
        <v>10378.59</v>
      </c>
      <c r="C58" s="4">
        <v>9227.0300000000007</v>
      </c>
      <c r="D58" s="4">
        <v>7566.57</v>
      </c>
      <c r="E58" s="4">
        <v>8809.57</v>
      </c>
      <c r="F58" s="2">
        <v>563.34</v>
      </c>
      <c r="G58" s="4">
        <v>7803.34</v>
      </c>
      <c r="H58" s="4">
        <v>6040.36</v>
      </c>
      <c r="I58" s="4">
        <v>3073.35</v>
      </c>
      <c r="J58" s="4">
        <v>4181.1000000000004</v>
      </c>
      <c r="K58" s="2">
        <v>-292.74</v>
      </c>
      <c r="L58" s="4">
        <v>2022.18</v>
      </c>
      <c r="M58" s="4">
        <v>4652.7700000000004</v>
      </c>
      <c r="N58" s="4">
        <v>4782.43</v>
      </c>
      <c r="O58" s="2">
        <v>255.8</v>
      </c>
      <c r="P58" s="4">
        <v>5056.41</v>
      </c>
    </row>
    <row r="59" spans="1:16" x14ac:dyDescent="0.25">
      <c r="A59" s="2" t="s">
        <v>238</v>
      </c>
      <c r="B59" s="2">
        <v>279.22000000000003</v>
      </c>
      <c r="C59" s="2">
        <v>-85.29</v>
      </c>
      <c r="D59" s="2">
        <v>30.87</v>
      </c>
      <c r="E59" s="2">
        <v>82.59</v>
      </c>
      <c r="F59" s="2">
        <v>119.06</v>
      </c>
      <c r="G59" s="2">
        <v>44.18</v>
      </c>
      <c r="H59" s="2">
        <v>369.43</v>
      </c>
      <c r="I59" s="2">
        <v>141.5</v>
      </c>
      <c r="J59" s="2">
        <v>-23.45</v>
      </c>
      <c r="K59" s="2">
        <v>288.14999999999998</v>
      </c>
      <c r="L59" s="2">
        <v>-59.26</v>
      </c>
      <c r="M59" s="2">
        <v>50.81</v>
      </c>
      <c r="N59" s="2">
        <v>136.11000000000001</v>
      </c>
      <c r="O59" s="2">
        <v>-264.14</v>
      </c>
      <c r="P59" s="2">
        <v>5.72</v>
      </c>
    </row>
    <row r="60" spans="1:16" x14ac:dyDescent="0.25">
      <c r="A60" s="2" t="s">
        <v>239</v>
      </c>
      <c r="B60" s="2">
        <v>38.25</v>
      </c>
      <c r="C60" s="2">
        <v>17.440000000000001</v>
      </c>
      <c r="D60" s="2">
        <v>21.8</v>
      </c>
      <c r="E60" s="2">
        <v>12.86</v>
      </c>
      <c r="F60" s="2">
        <v>44.56</v>
      </c>
      <c r="G60" s="2">
        <v>7.57</v>
      </c>
      <c r="H60" s="2">
        <v>18.75</v>
      </c>
      <c r="I60" s="2">
        <v>53.11</v>
      </c>
      <c r="J60" s="2">
        <v>33.700000000000003</v>
      </c>
      <c r="K60" s="2">
        <v>-623.12</v>
      </c>
      <c r="L60" s="2">
        <v>63.56</v>
      </c>
      <c r="M60" s="2">
        <v>18.84</v>
      </c>
      <c r="N60" s="2">
        <v>18.7</v>
      </c>
      <c r="O60" s="2">
        <v>314.89999999999998</v>
      </c>
      <c r="P60" s="2">
        <v>8.7200000000000006</v>
      </c>
    </row>
    <row r="61" spans="1:16" x14ac:dyDescent="0.25">
      <c r="A61" s="2" t="s">
        <v>240</v>
      </c>
      <c r="B61" s="3"/>
      <c r="C61" s="3"/>
      <c r="D61" s="3"/>
      <c r="E61" s="3"/>
      <c r="F61" s="3"/>
      <c r="G61" s="3"/>
      <c r="H61" s="3"/>
      <c r="I61" s="3"/>
      <c r="J61" s="3"/>
      <c r="K61" s="3"/>
      <c r="L61" s="3"/>
      <c r="M61" s="3"/>
      <c r="N61" s="3"/>
      <c r="O61" s="3"/>
      <c r="P61" s="3"/>
    </row>
    <row r="62" spans="1:16" x14ac:dyDescent="0.25">
      <c r="A62" s="2" t="s">
        <v>241</v>
      </c>
      <c r="B62" s="2">
        <v>34.15</v>
      </c>
      <c r="C62" s="2">
        <v>12.66</v>
      </c>
      <c r="D62" s="2">
        <v>4.66</v>
      </c>
      <c r="E62" s="2">
        <v>3.63</v>
      </c>
      <c r="F62" s="2">
        <v>-17.03</v>
      </c>
      <c r="G62" s="2">
        <v>9.8699999999999992</v>
      </c>
      <c r="H62" s="2">
        <v>-4.6900000000000004</v>
      </c>
      <c r="I62" s="2">
        <v>-9.0299999999999994</v>
      </c>
      <c r="J62" s="2">
        <v>56.76</v>
      </c>
      <c r="K62" s="2">
        <v>-22.52</v>
      </c>
      <c r="L62" s="2">
        <v>0.22</v>
      </c>
      <c r="M62" s="2">
        <v>-1.2</v>
      </c>
      <c r="N62" s="2">
        <v>-3.23</v>
      </c>
      <c r="O62" s="2">
        <v>33.79</v>
      </c>
      <c r="P62" s="2">
        <v>22.41</v>
      </c>
    </row>
    <row r="63" spans="1:16" x14ac:dyDescent="0.25">
      <c r="A63" s="2" t="s">
        <v>242</v>
      </c>
      <c r="B63" s="2">
        <v>6.58</v>
      </c>
      <c r="C63" s="2">
        <v>-3.22</v>
      </c>
      <c r="D63" s="2">
        <v>4.2300000000000004</v>
      </c>
      <c r="E63" s="2">
        <v>-6.91</v>
      </c>
      <c r="F63" s="2">
        <v>11.41</v>
      </c>
      <c r="G63" s="2">
        <v>5.82</v>
      </c>
      <c r="H63" s="2">
        <v>-6.34</v>
      </c>
      <c r="I63" s="2">
        <v>-2.09</v>
      </c>
      <c r="J63" s="2">
        <v>14.1</v>
      </c>
      <c r="K63" s="2">
        <v>6.05</v>
      </c>
      <c r="L63" s="2">
        <v>-4.3899999999999997</v>
      </c>
      <c r="M63" s="2">
        <v>-0.08</v>
      </c>
      <c r="N63" s="2">
        <v>-4.0199999999999996</v>
      </c>
      <c r="O63" s="2">
        <v>25.11</v>
      </c>
      <c r="P63" s="2">
        <v>24.3</v>
      </c>
    </row>
    <row r="64" spans="1:16" ht="38.25" customHeight="1" x14ac:dyDescent="0.25">
      <c r="A64" s="2" t="s">
        <v>243</v>
      </c>
      <c r="B64" s="2">
        <v>0</v>
      </c>
      <c r="C64" s="2">
        <v>0</v>
      </c>
      <c r="D64" s="2">
        <v>0</v>
      </c>
      <c r="E64" s="2">
        <v>0</v>
      </c>
      <c r="F64" s="2">
        <v>0</v>
      </c>
      <c r="G64" s="2">
        <v>0</v>
      </c>
      <c r="H64" s="2">
        <v>0</v>
      </c>
      <c r="I64" s="2">
        <v>0</v>
      </c>
      <c r="J64" s="2">
        <v>0</v>
      </c>
      <c r="K64" s="2">
        <v>0</v>
      </c>
      <c r="L64" s="2">
        <v>0</v>
      </c>
      <c r="M64" s="2">
        <v>0</v>
      </c>
      <c r="N64" s="2">
        <v>0</v>
      </c>
      <c r="O64" s="2">
        <v>0</v>
      </c>
      <c r="P64" s="2">
        <v>0</v>
      </c>
    </row>
    <row r="65" spans="1:16" x14ac:dyDescent="0.25">
      <c r="A65" s="2" t="s">
        <v>244</v>
      </c>
      <c r="B65" s="2">
        <v>11.48</v>
      </c>
      <c r="C65" s="2">
        <v>39.130000000000003</v>
      </c>
      <c r="D65" s="2">
        <v>56.63</v>
      </c>
      <c r="E65" s="2">
        <v>-31.31</v>
      </c>
      <c r="F65" s="2">
        <v>-36.520000000000003</v>
      </c>
      <c r="G65" s="2">
        <v>17.91</v>
      </c>
      <c r="H65" s="2">
        <v>19.64</v>
      </c>
      <c r="I65" s="2">
        <v>3.53</v>
      </c>
      <c r="J65" s="2">
        <v>19.86</v>
      </c>
      <c r="K65" s="2">
        <v>4.7</v>
      </c>
      <c r="L65" s="2">
        <v>-23.44</v>
      </c>
      <c r="M65" s="2">
        <v>-16.72</v>
      </c>
      <c r="N65" s="2">
        <v>15.7</v>
      </c>
      <c r="O65" s="2">
        <v>35.42</v>
      </c>
      <c r="P65" s="2">
        <v>34.56</v>
      </c>
    </row>
    <row r="66" spans="1:16" x14ac:dyDescent="0.25">
      <c r="A66" s="2" t="s">
        <v>245</v>
      </c>
      <c r="B66" s="2">
        <v>11.48</v>
      </c>
      <c r="C66" s="2">
        <v>39.130000000000003</v>
      </c>
      <c r="D66" s="2">
        <v>56.63</v>
      </c>
      <c r="E66" s="2">
        <v>-31.31</v>
      </c>
      <c r="F66" s="2">
        <v>-36.520000000000003</v>
      </c>
      <c r="G66" s="2">
        <v>19.53</v>
      </c>
      <c r="H66" s="2">
        <v>30.64</v>
      </c>
      <c r="I66" s="2">
        <v>3.43</v>
      </c>
      <c r="J66" s="2">
        <v>18.03</v>
      </c>
      <c r="K66" s="2">
        <v>5.87</v>
      </c>
      <c r="L66" s="2">
        <v>-23.41</v>
      </c>
      <c r="M66" s="2">
        <v>-17.57</v>
      </c>
      <c r="N66" s="2">
        <v>15.33</v>
      </c>
      <c r="O66" s="2">
        <v>34.44</v>
      </c>
      <c r="P66" s="2">
        <v>39.26</v>
      </c>
    </row>
    <row r="67" spans="1:16" x14ac:dyDescent="0.25">
      <c r="A67" s="2" t="s">
        <v>246</v>
      </c>
      <c r="B67" s="2">
        <v>8.91</v>
      </c>
      <c r="C67" s="2">
        <v>28.86</v>
      </c>
      <c r="D67" s="2">
        <v>52.06</v>
      </c>
      <c r="E67" s="2">
        <v>-30.67</v>
      </c>
      <c r="F67" s="2">
        <v>-31.16</v>
      </c>
      <c r="G67" s="2">
        <v>17.72</v>
      </c>
      <c r="H67" s="2">
        <v>26</v>
      </c>
      <c r="I67" s="2">
        <v>11.51</v>
      </c>
      <c r="J67" s="2">
        <v>0.22</v>
      </c>
      <c r="K67" s="2">
        <v>10.14</v>
      </c>
      <c r="L67" s="2">
        <v>-19.04</v>
      </c>
      <c r="M67" s="2">
        <v>-14.37</v>
      </c>
      <c r="N67" s="2">
        <v>17.71</v>
      </c>
      <c r="O67" s="2">
        <v>36.840000000000003</v>
      </c>
      <c r="P67" s="2">
        <v>34.15</v>
      </c>
    </row>
    <row r="68" spans="1:16" x14ac:dyDescent="0.25">
      <c r="A68" s="2" t="s">
        <v>247</v>
      </c>
      <c r="B68" s="2">
        <v>6.97</v>
      </c>
      <c r="C68" s="2">
        <v>-2.09</v>
      </c>
      <c r="D68" s="2">
        <v>-4.6100000000000003</v>
      </c>
      <c r="E68" s="2">
        <v>4</v>
      </c>
      <c r="F68" s="2">
        <v>1.93</v>
      </c>
      <c r="G68" s="2">
        <v>3.13</v>
      </c>
      <c r="H68" s="2">
        <v>-0.19</v>
      </c>
      <c r="I68" s="2">
        <v>3.88</v>
      </c>
      <c r="J68" s="2">
        <v>14.39</v>
      </c>
      <c r="K68" s="2">
        <v>0.83</v>
      </c>
      <c r="L68" s="2">
        <v>-0.24</v>
      </c>
      <c r="M68" s="2">
        <v>-2.65</v>
      </c>
      <c r="N68" s="2">
        <v>0.69</v>
      </c>
      <c r="O68" s="2">
        <v>7.11</v>
      </c>
      <c r="P68" s="2">
        <v>33.979999999999997</v>
      </c>
    </row>
    <row r="69" spans="1:16" x14ac:dyDescent="0.25">
      <c r="A69" s="2" t="s">
        <v>248</v>
      </c>
      <c r="B69" s="2">
        <v>128.31</v>
      </c>
      <c r="C69" s="2">
        <v>95.67</v>
      </c>
      <c r="D69" s="2">
        <v>76.61</v>
      </c>
      <c r="E69" s="2">
        <v>-182.45</v>
      </c>
      <c r="F69" s="2">
        <v>-124.4</v>
      </c>
      <c r="G69" s="2">
        <v>86.98</v>
      </c>
      <c r="H69" s="2">
        <v>73.09</v>
      </c>
      <c r="I69" s="2">
        <v>-41.55</v>
      </c>
      <c r="J69" s="4">
        <v>1504.68</v>
      </c>
      <c r="K69" s="2">
        <v>-89.98</v>
      </c>
      <c r="L69" s="2">
        <v>-29.07</v>
      </c>
      <c r="M69" s="2">
        <v>-18.87</v>
      </c>
      <c r="N69" s="2">
        <v>-15.68</v>
      </c>
      <c r="O69" s="2">
        <v>-3.3</v>
      </c>
      <c r="P69" s="2">
        <v>89.3</v>
      </c>
    </row>
    <row r="70" spans="1:16" x14ac:dyDescent="0.25">
      <c r="A70" s="2" t="s">
        <v>249</v>
      </c>
      <c r="B70" s="2">
        <v>57.08</v>
      </c>
      <c r="C70" s="2">
        <v>194.9</v>
      </c>
      <c r="D70" s="2">
        <v>37.61</v>
      </c>
      <c r="E70" s="2">
        <v>132.36000000000001</v>
      </c>
      <c r="F70" s="2">
        <v>-173.47</v>
      </c>
      <c r="G70" s="2">
        <v>212.99</v>
      </c>
      <c r="H70" s="2">
        <v>10.62</v>
      </c>
      <c r="I70" s="2">
        <v>-48.13</v>
      </c>
      <c r="J70" s="2">
        <v>249.39</v>
      </c>
      <c r="K70" s="2">
        <v>-14.34</v>
      </c>
      <c r="L70" s="2">
        <v>-219.59</v>
      </c>
      <c r="M70" s="2">
        <v>-66.59</v>
      </c>
      <c r="N70" s="2">
        <v>-20.49</v>
      </c>
      <c r="O70" s="2">
        <v>77.5</v>
      </c>
      <c r="P70" s="2">
        <v>120.16</v>
      </c>
    </row>
    <row r="71" spans="1:16" x14ac:dyDescent="0.25">
      <c r="A71" s="2" t="s">
        <v>250</v>
      </c>
      <c r="B71" s="2">
        <v>226.56</v>
      </c>
      <c r="C71" s="2">
        <v>544.42999999999995</v>
      </c>
      <c r="D71" s="2">
        <v>-172.81</v>
      </c>
      <c r="E71" s="2">
        <v>-82.84</v>
      </c>
      <c r="F71" s="2">
        <v>-168.25</v>
      </c>
      <c r="G71" s="2">
        <v>155.11000000000001</v>
      </c>
      <c r="H71" s="2">
        <v>215.12</v>
      </c>
      <c r="I71" s="2">
        <v>-69.77</v>
      </c>
      <c r="J71" s="2">
        <v>-264.94</v>
      </c>
      <c r="K71" s="2">
        <v>-231.31</v>
      </c>
      <c r="L71" s="2">
        <v>-47.58</v>
      </c>
      <c r="M71" s="2">
        <v>-32.4</v>
      </c>
      <c r="N71" s="2">
        <v>-17.13</v>
      </c>
      <c r="O71" s="2">
        <v>-7.92</v>
      </c>
      <c r="P71" s="2">
        <v>104.6</v>
      </c>
    </row>
    <row r="72" spans="1:16" x14ac:dyDescent="0.25">
      <c r="A72" s="2" t="s">
        <v>251</v>
      </c>
      <c r="B72" s="2">
        <v>189.39</v>
      </c>
      <c r="C72" s="2">
        <v>297.83999999999997</v>
      </c>
      <c r="D72" s="2">
        <v>-414.54</v>
      </c>
      <c r="E72" s="2">
        <v>-94.88</v>
      </c>
      <c r="F72" s="2">
        <v>-222.94</v>
      </c>
      <c r="G72" s="2">
        <v>425.7</v>
      </c>
      <c r="H72" s="2">
        <v>-201.69</v>
      </c>
      <c r="I72" s="2">
        <v>-151.43</v>
      </c>
      <c r="J72" s="2">
        <v>-164.53</v>
      </c>
      <c r="K72" s="2">
        <v>-821.8</v>
      </c>
      <c r="L72" s="2">
        <v>-79.05</v>
      </c>
      <c r="M72" s="2">
        <v>-38.950000000000003</v>
      </c>
      <c r="N72" s="2">
        <v>-28.51</v>
      </c>
      <c r="O72" s="2">
        <v>-12.16</v>
      </c>
      <c r="P72" s="2">
        <v>123.37</v>
      </c>
    </row>
    <row r="73" spans="1:16" x14ac:dyDescent="0.25">
      <c r="A73" s="2" t="s">
        <v>252</v>
      </c>
      <c r="B73" s="2">
        <v>525.66</v>
      </c>
      <c r="C73" s="2">
        <v>-197.14</v>
      </c>
      <c r="D73" s="2">
        <v>-45.61</v>
      </c>
      <c r="E73" s="2">
        <v>-66.680000000000007</v>
      </c>
      <c r="F73" s="2">
        <v>-397.1</v>
      </c>
      <c r="G73" s="2">
        <v>-353.34</v>
      </c>
      <c r="H73" s="2">
        <v>-59.76</v>
      </c>
      <c r="I73" s="4">
        <v>3407.11</v>
      </c>
      <c r="J73" s="2">
        <v>-98.31</v>
      </c>
      <c r="K73" s="2">
        <v>287.48</v>
      </c>
      <c r="L73" s="2">
        <v>-686.41</v>
      </c>
      <c r="M73" s="2">
        <v>-86.96</v>
      </c>
      <c r="N73" s="2">
        <v>-38.950000000000003</v>
      </c>
      <c r="O73" s="2">
        <v>-22.37</v>
      </c>
      <c r="P73" s="2">
        <v>179.11</v>
      </c>
    </row>
    <row r="74" spans="1:16" x14ac:dyDescent="0.25">
      <c r="A74" s="2" t="s">
        <v>253</v>
      </c>
      <c r="B74" s="2">
        <v>189.65</v>
      </c>
      <c r="C74" s="2">
        <v>-296.14999999999998</v>
      </c>
      <c r="D74" s="2">
        <v>-41.94</v>
      </c>
      <c r="E74" s="2">
        <v>-67.14</v>
      </c>
      <c r="F74" s="2">
        <v>-460.77</v>
      </c>
      <c r="G74" s="2">
        <v>-295.26</v>
      </c>
      <c r="H74" s="2">
        <v>-57.41</v>
      </c>
      <c r="I74" s="4">
        <v>3799.84</v>
      </c>
      <c r="J74" s="2">
        <v>-98.69</v>
      </c>
      <c r="K74" s="4">
        <v>-1516.64</v>
      </c>
      <c r="L74" s="2">
        <v>10.84</v>
      </c>
      <c r="M74" s="2">
        <v>-75.7</v>
      </c>
      <c r="N74" s="2">
        <v>-31.44</v>
      </c>
      <c r="O74" s="2">
        <v>-19.12</v>
      </c>
      <c r="P74" s="2">
        <v>123.73</v>
      </c>
    </row>
    <row r="75" spans="1:16" x14ac:dyDescent="0.25">
      <c r="A75" s="2" t="s">
        <v>254</v>
      </c>
      <c r="B75" s="2">
        <v>120.67</v>
      </c>
      <c r="C75" s="4">
        <v>1115.82</v>
      </c>
      <c r="D75" s="2">
        <v>-155.62</v>
      </c>
      <c r="E75" s="2">
        <v>-83.02</v>
      </c>
      <c r="F75" s="2">
        <v>-176.46</v>
      </c>
      <c r="G75" s="2">
        <v>147.66</v>
      </c>
      <c r="H75" s="2">
        <v>240.24</v>
      </c>
      <c r="I75" s="2">
        <v>-73.2</v>
      </c>
      <c r="J75" s="2">
        <v>-206.14</v>
      </c>
      <c r="K75" s="2">
        <v>-188.81</v>
      </c>
      <c r="L75" s="2">
        <v>13.47</v>
      </c>
      <c r="M75" s="2">
        <v>-25.61</v>
      </c>
      <c r="N75" s="2">
        <v>-10.199999999999999</v>
      </c>
      <c r="O75" s="2">
        <v>-3.1</v>
      </c>
      <c r="P75" s="2">
        <v>74.540000000000006</v>
      </c>
    </row>
    <row r="76" spans="1:16" x14ac:dyDescent="0.25">
      <c r="A76" s="2" t="s">
        <v>255</v>
      </c>
      <c r="B76" s="2">
        <v>3.18</v>
      </c>
      <c r="C76" s="2">
        <v>-25.64</v>
      </c>
      <c r="D76" s="2">
        <v>83.65</v>
      </c>
      <c r="E76" s="2">
        <v>-30.63</v>
      </c>
      <c r="F76" s="2">
        <v>-51.68</v>
      </c>
      <c r="G76" s="2">
        <v>20.02</v>
      </c>
      <c r="H76" s="2">
        <v>-4.05</v>
      </c>
      <c r="I76" s="2">
        <v>3.52</v>
      </c>
      <c r="J76" s="2">
        <v>-2.1800000000000002</v>
      </c>
      <c r="K76" s="2">
        <v>-19.61</v>
      </c>
      <c r="L76" s="2">
        <v>42.08</v>
      </c>
      <c r="M76" s="2">
        <v>32.880000000000003</v>
      </c>
      <c r="N76" s="2">
        <v>9.27</v>
      </c>
      <c r="O76" s="2">
        <v>10.42</v>
      </c>
      <c r="P76" s="2">
        <v>25.08</v>
      </c>
    </row>
    <row r="77" spans="1:16" x14ac:dyDescent="0.25">
      <c r="A77" s="2" t="s">
        <v>256</v>
      </c>
      <c r="B77" s="2">
        <v>-6.14</v>
      </c>
      <c r="C77" s="2">
        <v>-34.590000000000003</v>
      </c>
      <c r="D77" s="2">
        <v>-8.15</v>
      </c>
      <c r="E77" s="2">
        <v>-26.7</v>
      </c>
      <c r="F77" s="2">
        <v>-25.56</v>
      </c>
      <c r="G77" s="2">
        <v>28.54</v>
      </c>
      <c r="H77" s="2">
        <v>10.62</v>
      </c>
      <c r="I77" s="2">
        <v>15.21</v>
      </c>
      <c r="J77" s="2">
        <v>-9.65</v>
      </c>
      <c r="K77" s="2">
        <v>14.66</v>
      </c>
      <c r="L77" s="2">
        <v>-4.54</v>
      </c>
      <c r="M77" s="2">
        <v>-15.32</v>
      </c>
      <c r="N77" s="2">
        <v>5</v>
      </c>
      <c r="O77" s="2">
        <v>41.1</v>
      </c>
      <c r="P77" s="2">
        <v>3.65</v>
      </c>
    </row>
    <row r="78" spans="1:16" x14ac:dyDescent="0.25">
      <c r="A78" s="2" t="s">
        <v>257</v>
      </c>
      <c r="B78" s="2">
        <v>146.69</v>
      </c>
      <c r="C78" s="2">
        <v>-2.44</v>
      </c>
      <c r="D78" s="2">
        <v>45.65</v>
      </c>
      <c r="E78" s="2">
        <v>351.2</v>
      </c>
      <c r="F78" s="2">
        <v>-57.5</v>
      </c>
      <c r="G78" s="2">
        <v>-47.86</v>
      </c>
      <c r="H78" s="2">
        <v>-30.62</v>
      </c>
      <c r="I78" s="2">
        <v>15.86</v>
      </c>
      <c r="J78" s="2">
        <v>-22.76</v>
      </c>
      <c r="K78" s="2">
        <v>41.91</v>
      </c>
      <c r="L78" s="2">
        <v>46.61</v>
      </c>
      <c r="M78" s="2">
        <v>-1.95</v>
      </c>
      <c r="N78" s="2">
        <v>11.01</v>
      </c>
      <c r="O78" s="2">
        <v>82.69</v>
      </c>
      <c r="P78" s="2">
        <v>351.62</v>
      </c>
    </row>
    <row r="79" spans="1:16" x14ac:dyDescent="0.25">
      <c r="A79" s="2" t="s">
        <v>258</v>
      </c>
      <c r="B79" s="3"/>
      <c r="C79" s="3"/>
      <c r="D79" s="3"/>
      <c r="E79" s="3"/>
      <c r="F79" s="3"/>
      <c r="G79" s="3"/>
      <c r="H79" s="3"/>
      <c r="I79" s="3"/>
      <c r="J79" s="3"/>
      <c r="K79" s="3"/>
      <c r="L79" s="3"/>
      <c r="M79" s="3"/>
      <c r="N79" s="3"/>
      <c r="O79" s="3"/>
      <c r="P79" s="3"/>
    </row>
    <row r="80" spans="1:16" x14ac:dyDescent="0.25">
      <c r="A80" s="2" t="s">
        <v>259</v>
      </c>
      <c r="B80" s="2">
        <v>0.64</v>
      </c>
      <c r="C80" s="2">
        <v>1.01</v>
      </c>
      <c r="D80" s="2">
        <v>1.18</v>
      </c>
      <c r="E80" s="2">
        <v>1.29</v>
      </c>
      <c r="F80" s="2">
        <v>1.1000000000000001</v>
      </c>
      <c r="G80" s="2">
        <v>0.88</v>
      </c>
      <c r="H80" s="2">
        <v>0.92</v>
      </c>
      <c r="I80" s="2">
        <v>0.81</v>
      </c>
      <c r="J80" s="2">
        <v>0.99</v>
      </c>
      <c r="K80" s="2">
        <v>1.06</v>
      </c>
      <c r="L80" s="2">
        <v>0.83</v>
      </c>
      <c r="M80" s="2">
        <v>0.85</v>
      </c>
      <c r="N80" s="2">
        <v>0.81</v>
      </c>
      <c r="O80" s="2">
        <v>0.93</v>
      </c>
      <c r="P80" s="2">
        <v>1.1000000000000001</v>
      </c>
    </row>
    <row r="81" spans="1:16" x14ac:dyDescent="0.25">
      <c r="A81" s="2" t="s">
        <v>260</v>
      </c>
      <c r="B81" s="2">
        <v>0.31</v>
      </c>
      <c r="C81" s="2">
        <v>0.59</v>
      </c>
      <c r="D81" s="2">
        <v>0.8</v>
      </c>
      <c r="E81" s="2">
        <v>0.86</v>
      </c>
      <c r="F81" s="2">
        <v>0.72</v>
      </c>
      <c r="G81" s="2">
        <v>0.64</v>
      </c>
      <c r="H81" s="2">
        <v>0.65</v>
      </c>
      <c r="I81" s="2">
        <v>0.55000000000000004</v>
      </c>
      <c r="J81" s="2">
        <v>0.6</v>
      </c>
      <c r="K81" s="2">
        <v>0.65</v>
      </c>
      <c r="L81" s="2">
        <v>0.47</v>
      </c>
      <c r="M81" s="2">
        <v>0.41</v>
      </c>
      <c r="N81" s="2">
        <v>0.43</v>
      </c>
      <c r="O81" s="2">
        <v>0.6</v>
      </c>
      <c r="P81" s="2">
        <v>0.66</v>
      </c>
    </row>
    <row r="82" spans="1:16" x14ac:dyDescent="0.25">
      <c r="A82" s="2" t="s">
        <v>58</v>
      </c>
      <c r="B82" s="2">
        <v>0.53</v>
      </c>
      <c r="C82" s="2">
        <v>0.45</v>
      </c>
      <c r="D82" s="2">
        <v>0.53</v>
      </c>
      <c r="E82" s="2">
        <v>0.59</v>
      </c>
      <c r="F82" s="2">
        <v>0.57999999999999996</v>
      </c>
      <c r="G82" s="2">
        <v>0.6</v>
      </c>
      <c r="H82" s="2">
        <v>0.59</v>
      </c>
      <c r="I82" s="2">
        <v>0.61</v>
      </c>
      <c r="J82" s="2">
        <v>0.57999999999999996</v>
      </c>
      <c r="K82" s="2">
        <v>0.49</v>
      </c>
      <c r="L82" s="2">
        <v>0.43</v>
      </c>
      <c r="M82" s="2">
        <v>0.44</v>
      </c>
      <c r="N82" s="2">
        <v>0.5</v>
      </c>
      <c r="O82" s="2">
        <v>0.51</v>
      </c>
      <c r="P82" s="2">
        <v>0.52</v>
      </c>
    </row>
    <row r="83" spans="1:16" x14ac:dyDescent="0.25">
      <c r="A83" s="2" t="s">
        <v>261</v>
      </c>
      <c r="B83" s="3"/>
      <c r="C83" s="3"/>
      <c r="D83" s="3"/>
      <c r="E83" s="3"/>
      <c r="F83" s="3"/>
      <c r="G83" s="3"/>
      <c r="H83" s="3"/>
      <c r="I83" s="3"/>
      <c r="J83" s="3"/>
      <c r="K83" s="3"/>
      <c r="L83" s="3"/>
      <c r="M83" s="3"/>
      <c r="N83" s="3"/>
      <c r="O83" s="3"/>
      <c r="P83" s="3"/>
    </row>
    <row r="84" spans="1:16" x14ac:dyDescent="0.25">
      <c r="A84" s="2" t="s">
        <v>262</v>
      </c>
      <c r="B84" s="2">
        <v>2.4</v>
      </c>
      <c r="C84" s="2">
        <v>2.19</v>
      </c>
      <c r="D84" s="2">
        <v>1.1000000000000001</v>
      </c>
      <c r="E84" s="2">
        <v>0.56000000000000005</v>
      </c>
      <c r="F84" s="2">
        <v>0.9</v>
      </c>
      <c r="G84" s="2">
        <v>1.56</v>
      </c>
      <c r="H84" s="2">
        <v>1.41</v>
      </c>
      <c r="I84" s="2">
        <v>1.24</v>
      </c>
      <c r="J84" s="2">
        <v>1.33</v>
      </c>
      <c r="K84" s="2">
        <v>1.31</v>
      </c>
      <c r="L84" s="2">
        <v>1.35</v>
      </c>
      <c r="M84" s="2">
        <v>1.9</v>
      </c>
      <c r="N84" s="2">
        <v>2.5299999999999998</v>
      </c>
      <c r="O84" s="2">
        <v>2.54</v>
      </c>
      <c r="P84" s="2">
        <v>2.34</v>
      </c>
    </row>
    <row r="85" spans="1:16" x14ac:dyDescent="0.25">
      <c r="A85" s="2" t="s">
        <v>263</v>
      </c>
      <c r="B85" s="2">
        <v>22.56</v>
      </c>
      <c r="C85" s="2">
        <v>19.489999999999998</v>
      </c>
      <c r="D85" s="2">
        <v>11.43</v>
      </c>
      <c r="E85" s="2">
        <v>7.2</v>
      </c>
      <c r="F85" s="2">
        <v>10.34</v>
      </c>
      <c r="G85" s="2">
        <v>13.4</v>
      </c>
      <c r="H85" s="2">
        <v>10.46</v>
      </c>
      <c r="I85" s="2">
        <v>9.19</v>
      </c>
      <c r="J85" s="2">
        <v>9.5500000000000007</v>
      </c>
      <c r="K85" s="2">
        <v>9.1199999999999992</v>
      </c>
      <c r="L85" s="2">
        <v>9.08</v>
      </c>
      <c r="M85" s="2">
        <v>10.91</v>
      </c>
      <c r="N85" s="2">
        <v>13.97</v>
      </c>
      <c r="O85" s="2">
        <v>14.99</v>
      </c>
      <c r="P85" s="2">
        <v>14.63</v>
      </c>
    </row>
    <row r="86" spans="1:16" x14ac:dyDescent="0.25">
      <c r="A86" s="2" t="s">
        <v>264</v>
      </c>
      <c r="B86" s="2">
        <v>28.9</v>
      </c>
      <c r="C86" s="2">
        <v>29.76</v>
      </c>
      <c r="D86" s="2">
        <v>22.51</v>
      </c>
      <c r="E86" s="2">
        <v>14.84</v>
      </c>
      <c r="F86" s="2">
        <v>16.8</v>
      </c>
      <c r="G86" s="2">
        <v>20.56</v>
      </c>
      <c r="H86" s="2">
        <v>20.93</v>
      </c>
      <c r="I86" s="2">
        <v>23.51</v>
      </c>
      <c r="J86" s="2">
        <v>29.99</v>
      </c>
      <c r="K86" s="2">
        <v>33.92</v>
      </c>
      <c r="L86" s="2">
        <v>24.88</v>
      </c>
      <c r="M86" s="2">
        <v>21.79</v>
      </c>
      <c r="N86" s="2">
        <v>22.3</v>
      </c>
      <c r="O86" s="2">
        <v>20.49</v>
      </c>
      <c r="P86" s="2">
        <v>21.01</v>
      </c>
    </row>
    <row r="87" spans="1:16" x14ac:dyDescent="0.25">
      <c r="A87" s="2" t="s">
        <v>265</v>
      </c>
      <c r="B87" s="2">
        <v>1.6</v>
      </c>
      <c r="C87" s="2">
        <v>1.46</v>
      </c>
      <c r="D87" s="2">
        <v>1.05</v>
      </c>
      <c r="E87" s="2">
        <v>0.66</v>
      </c>
      <c r="F87" s="2">
        <v>0.98</v>
      </c>
      <c r="G87" s="2">
        <v>1.68</v>
      </c>
      <c r="H87" s="2">
        <v>1.41</v>
      </c>
      <c r="I87" s="2">
        <v>1.1299999999999999</v>
      </c>
      <c r="J87" s="2">
        <v>1.1499999999999999</v>
      </c>
      <c r="K87" s="2">
        <v>1.06</v>
      </c>
      <c r="L87" s="2">
        <v>1.02</v>
      </c>
      <c r="M87" s="2">
        <v>1.3</v>
      </c>
      <c r="N87" s="2">
        <v>1.53</v>
      </c>
      <c r="O87" s="2">
        <v>1.44</v>
      </c>
      <c r="P87" s="2">
        <v>1.33</v>
      </c>
    </row>
    <row r="88" spans="1:16" x14ac:dyDescent="0.25">
      <c r="A88" s="2" t="s">
        <v>266</v>
      </c>
      <c r="B88" s="2">
        <v>3.95</v>
      </c>
      <c r="C88" s="2">
        <v>1.75</v>
      </c>
      <c r="D88" s="2">
        <v>0.13</v>
      </c>
      <c r="E88" s="2">
        <v>-0.13</v>
      </c>
      <c r="F88" s="2">
        <v>-1.38</v>
      </c>
      <c r="G88" s="2">
        <v>2.34</v>
      </c>
      <c r="H88" s="2">
        <v>0.95</v>
      </c>
      <c r="I88" s="2">
        <v>-0.5</v>
      </c>
      <c r="J88" s="2">
        <v>0.92</v>
      </c>
      <c r="K88" s="2">
        <v>-1.47</v>
      </c>
      <c r="L88" s="2">
        <v>-0.88</v>
      </c>
      <c r="M88" s="2">
        <v>1.39</v>
      </c>
      <c r="N88" s="2">
        <v>2.56</v>
      </c>
      <c r="O88" s="2">
        <v>2.59</v>
      </c>
      <c r="P88" s="2">
        <v>2.56</v>
      </c>
    </row>
    <row r="89" spans="1:16" x14ac:dyDescent="0.25">
      <c r="A89" s="2" t="s">
        <v>267</v>
      </c>
      <c r="B89" s="2">
        <v>11.95</v>
      </c>
      <c r="C89" s="2">
        <v>8.1300000000000008</v>
      </c>
      <c r="D89" s="2">
        <v>4.3099999999999996</v>
      </c>
      <c r="E89" s="2">
        <v>4.8600000000000003</v>
      </c>
      <c r="F89" s="2">
        <v>1.51</v>
      </c>
      <c r="G89" s="2">
        <v>10.54</v>
      </c>
      <c r="H89" s="2">
        <v>8.1199999999999992</v>
      </c>
      <c r="I89" s="2">
        <v>4.59</v>
      </c>
      <c r="J89" s="2">
        <v>7.99</v>
      </c>
      <c r="K89" s="2">
        <v>0.61</v>
      </c>
      <c r="L89" s="2">
        <v>2.34</v>
      </c>
      <c r="M89" s="2">
        <v>7.61</v>
      </c>
      <c r="N89" s="2">
        <v>7.97</v>
      </c>
      <c r="O89" s="2">
        <v>9.65</v>
      </c>
      <c r="P89" s="2">
        <v>11.17</v>
      </c>
    </row>
    <row r="90" spans="1:16" x14ac:dyDescent="0.25">
      <c r="A90" s="2" t="s">
        <v>268</v>
      </c>
      <c r="B90" s="2">
        <v>9.1</v>
      </c>
      <c r="C90" s="2">
        <v>6.46</v>
      </c>
      <c r="D90" s="2">
        <v>3.05</v>
      </c>
      <c r="E90" s="2">
        <v>3.47</v>
      </c>
      <c r="F90" s="2">
        <v>-7.36</v>
      </c>
      <c r="G90" s="2">
        <v>6.36</v>
      </c>
      <c r="H90" s="2">
        <v>2.4</v>
      </c>
      <c r="I90" s="2">
        <v>2.59</v>
      </c>
      <c r="J90" s="2">
        <v>5.17</v>
      </c>
      <c r="K90" s="2">
        <v>-4.1500000000000004</v>
      </c>
      <c r="L90" s="2">
        <v>-3.8</v>
      </c>
      <c r="M90" s="2">
        <v>2.4300000000000002</v>
      </c>
      <c r="N90" s="2">
        <v>6.07</v>
      </c>
      <c r="O90" s="2">
        <v>8.83</v>
      </c>
      <c r="P90" s="2">
        <v>6.73</v>
      </c>
    </row>
    <row r="91" spans="1:16" x14ac:dyDescent="0.25">
      <c r="A91" s="2" t="s">
        <v>269</v>
      </c>
      <c r="B91" s="2">
        <v>9.1999999999999993</v>
      </c>
      <c r="C91" s="2">
        <v>5.44</v>
      </c>
      <c r="D91" s="2">
        <v>0.59</v>
      </c>
      <c r="E91" s="2">
        <v>-0.87</v>
      </c>
      <c r="F91" s="2">
        <v>-6.18</v>
      </c>
      <c r="G91" s="2">
        <v>6.06</v>
      </c>
      <c r="H91" s="2">
        <v>2.83</v>
      </c>
      <c r="I91" s="2">
        <v>-1.6</v>
      </c>
      <c r="J91" s="2">
        <v>3.08</v>
      </c>
      <c r="K91" s="2">
        <v>-5.98</v>
      </c>
      <c r="L91" s="2">
        <v>-3.14</v>
      </c>
      <c r="M91" s="2">
        <v>3.92</v>
      </c>
      <c r="N91" s="2">
        <v>5.26</v>
      </c>
      <c r="O91" s="2">
        <v>6.99</v>
      </c>
      <c r="P91" s="2">
        <v>8.43</v>
      </c>
    </row>
    <row r="92" spans="1:16" x14ac:dyDescent="0.25">
      <c r="A92" s="2" t="s">
        <v>270</v>
      </c>
      <c r="B92" s="2">
        <v>9.6300000000000008</v>
      </c>
      <c r="C92" s="2">
        <v>5.01</v>
      </c>
      <c r="D92" s="2">
        <v>-0.18</v>
      </c>
      <c r="E92" s="2">
        <v>-2.13</v>
      </c>
      <c r="F92" s="2">
        <v>-2.99</v>
      </c>
      <c r="G92" s="2">
        <v>7.94</v>
      </c>
      <c r="H92" s="2">
        <v>5.14</v>
      </c>
      <c r="I92" s="2">
        <v>1.39</v>
      </c>
      <c r="J92" s="2">
        <v>4.63</v>
      </c>
      <c r="K92" s="2">
        <v>-3.47</v>
      </c>
      <c r="L92" s="2">
        <v>-1.24</v>
      </c>
      <c r="M92" s="2">
        <v>4.79</v>
      </c>
      <c r="N92" s="2">
        <v>5.92</v>
      </c>
      <c r="O92" s="2">
        <v>6.95</v>
      </c>
      <c r="P92" s="2">
        <v>7.87</v>
      </c>
    </row>
    <row r="93" spans="1:16" x14ac:dyDescent="0.25">
      <c r="A93" s="2" t="s">
        <v>271</v>
      </c>
      <c r="B93" s="2">
        <v>9.75</v>
      </c>
      <c r="C93" s="2">
        <v>7.23</v>
      </c>
      <c r="D93" s="2">
        <v>0.35</v>
      </c>
      <c r="E93" s="2">
        <v>-2.2000000000000002</v>
      </c>
      <c r="F93" s="2">
        <v>-3.48</v>
      </c>
      <c r="G93" s="2">
        <v>7.4</v>
      </c>
      <c r="H93" s="2">
        <v>4.8499999999999996</v>
      </c>
      <c r="I93" s="2">
        <v>1.24</v>
      </c>
      <c r="J93" s="2">
        <v>4.6500000000000004</v>
      </c>
      <c r="K93" s="2">
        <v>-5.4</v>
      </c>
      <c r="L93" s="2">
        <v>2.36</v>
      </c>
      <c r="M93" s="2">
        <v>4.93</v>
      </c>
      <c r="N93" s="2">
        <v>5.48</v>
      </c>
      <c r="O93" s="2">
        <v>6.2</v>
      </c>
      <c r="P93" s="2">
        <v>6.8</v>
      </c>
    </row>
    <row r="94" spans="1:16" x14ac:dyDescent="0.25">
      <c r="A94" s="2" t="s">
        <v>272</v>
      </c>
      <c r="B94" s="2">
        <v>7</v>
      </c>
      <c r="C94" s="2">
        <v>4.54</v>
      </c>
      <c r="D94" s="2">
        <v>-3.37</v>
      </c>
      <c r="E94" s="2">
        <v>-7.94</v>
      </c>
      <c r="F94" s="2">
        <v>-11.16</v>
      </c>
      <c r="G94" s="2">
        <v>2.92</v>
      </c>
      <c r="H94" s="2">
        <v>-0.44</v>
      </c>
      <c r="I94" s="2">
        <v>-4.95</v>
      </c>
      <c r="J94" s="2">
        <v>-0.27</v>
      </c>
      <c r="K94" s="2">
        <v>-11.99</v>
      </c>
      <c r="L94" s="2">
        <v>-3.12</v>
      </c>
      <c r="M94" s="2">
        <v>1.24</v>
      </c>
      <c r="N94" s="2">
        <v>2.76</v>
      </c>
      <c r="O94" s="2">
        <v>3.54</v>
      </c>
      <c r="P94" s="2">
        <v>4.07</v>
      </c>
    </row>
    <row r="95" spans="1:16" x14ac:dyDescent="0.25">
      <c r="A95" s="2" t="s">
        <v>273</v>
      </c>
      <c r="B95" s="2">
        <v>14.69</v>
      </c>
      <c r="C95" s="2">
        <v>7.92</v>
      </c>
      <c r="D95" s="2">
        <v>0.62</v>
      </c>
      <c r="E95" s="2">
        <v>0</v>
      </c>
      <c r="F95" s="2">
        <v>0</v>
      </c>
      <c r="G95" s="2">
        <v>10.15</v>
      </c>
      <c r="H95" s="2">
        <v>0</v>
      </c>
      <c r="I95" s="2">
        <v>-1.81</v>
      </c>
      <c r="J95" s="2">
        <v>3.55</v>
      </c>
      <c r="K95" s="2">
        <v>0</v>
      </c>
      <c r="L95" s="2">
        <v>-3.2</v>
      </c>
      <c r="M95" s="2">
        <v>5.1100000000000003</v>
      </c>
      <c r="N95" s="2">
        <v>8.06</v>
      </c>
      <c r="O95" s="2">
        <v>10.09</v>
      </c>
      <c r="P95" s="2">
        <v>11.2</v>
      </c>
    </row>
    <row r="96" spans="1:16" x14ac:dyDescent="0.25">
      <c r="A96" s="2" t="s">
        <v>274</v>
      </c>
      <c r="B96" s="2">
        <v>19.5</v>
      </c>
      <c r="C96" s="2">
        <v>14.08</v>
      </c>
      <c r="D96" s="2">
        <v>-8.18</v>
      </c>
      <c r="E96" s="2">
        <v>0</v>
      </c>
      <c r="F96" s="2">
        <v>0</v>
      </c>
      <c r="G96" s="2">
        <v>9.5500000000000007</v>
      </c>
      <c r="H96" s="2">
        <v>0</v>
      </c>
      <c r="I96" s="2">
        <v>-10.94</v>
      </c>
      <c r="J96" s="2">
        <v>-0.66</v>
      </c>
      <c r="K96" s="2">
        <v>0</v>
      </c>
      <c r="L96" s="2">
        <v>-6.16</v>
      </c>
      <c r="M96" s="2">
        <v>3.18</v>
      </c>
      <c r="N96" s="2">
        <v>8.32</v>
      </c>
      <c r="O96" s="2">
        <v>10.37</v>
      </c>
      <c r="P96" s="2">
        <v>11.32</v>
      </c>
    </row>
    <row r="97" spans="1:16" x14ac:dyDescent="0.25">
      <c r="A97" s="2" t="s">
        <v>275</v>
      </c>
      <c r="B97" s="2">
        <v>13</v>
      </c>
      <c r="C97" s="2">
        <v>12</v>
      </c>
      <c r="D97" s="2">
        <v>16</v>
      </c>
      <c r="E97" s="2">
        <v>25</v>
      </c>
      <c r="F97" s="2">
        <v>22</v>
      </c>
      <c r="G97" s="2">
        <v>18</v>
      </c>
      <c r="H97" s="2">
        <v>17</v>
      </c>
      <c r="I97" s="2">
        <v>16</v>
      </c>
      <c r="J97" s="2">
        <v>12</v>
      </c>
      <c r="K97" s="2">
        <v>11</v>
      </c>
      <c r="L97" s="2">
        <v>15</v>
      </c>
      <c r="M97" s="2">
        <v>17</v>
      </c>
      <c r="N97" s="2">
        <v>16</v>
      </c>
      <c r="O97" s="2">
        <v>18</v>
      </c>
      <c r="P97" s="2">
        <v>17</v>
      </c>
    </row>
    <row r="98" spans="1:16" x14ac:dyDescent="0.25">
      <c r="A98" s="2" t="s">
        <v>276</v>
      </c>
      <c r="B98" s="2">
        <v>46</v>
      </c>
      <c r="C98" s="2">
        <v>42</v>
      </c>
      <c r="D98" s="2">
        <v>57</v>
      </c>
      <c r="E98" s="2">
        <v>98</v>
      </c>
      <c r="F98" s="2">
        <v>79</v>
      </c>
      <c r="G98" s="2">
        <v>56</v>
      </c>
      <c r="H98" s="2">
        <v>56</v>
      </c>
      <c r="I98" s="2">
        <v>52</v>
      </c>
      <c r="J98" s="2">
        <v>48</v>
      </c>
      <c r="K98" s="2">
        <v>45</v>
      </c>
      <c r="L98" s="2">
        <v>48</v>
      </c>
      <c r="M98" s="2">
        <v>39</v>
      </c>
      <c r="N98" s="2">
        <v>31</v>
      </c>
      <c r="O98" s="2">
        <v>38</v>
      </c>
      <c r="P98" s="2">
        <v>55</v>
      </c>
    </row>
    <row r="99" spans="1:16" x14ac:dyDescent="0.25">
      <c r="A99" s="2" t="s">
        <v>277</v>
      </c>
      <c r="B99" s="2">
        <v>0</v>
      </c>
      <c r="C99" s="2">
        <v>0</v>
      </c>
      <c r="D99" s="2">
        <v>0</v>
      </c>
      <c r="E99" s="2">
        <v>0</v>
      </c>
      <c r="F99" s="2">
        <v>0</v>
      </c>
      <c r="G99" s="2">
        <v>0</v>
      </c>
      <c r="H99" s="2">
        <v>0</v>
      </c>
      <c r="I99" s="2">
        <v>0</v>
      </c>
      <c r="J99" s="2">
        <v>0</v>
      </c>
      <c r="K99" s="2">
        <v>0</v>
      </c>
      <c r="L99" s="2">
        <v>0</v>
      </c>
      <c r="M99" s="2">
        <v>0</v>
      </c>
      <c r="N99" s="2">
        <v>0</v>
      </c>
      <c r="O99" s="2">
        <v>0</v>
      </c>
      <c r="P99" s="2">
        <v>0</v>
      </c>
    </row>
    <row r="100" spans="1:16" x14ac:dyDescent="0.25">
      <c r="A100" s="2" t="s">
        <v>278</v>
      </c>
      <c r="B100" s="3"/>
      <c r="C100" s="3"/>
      <c r="D100" s="3"/>
      <c r="E100" s="3"/>
      <c r="F100" s="3"/>
      <c r="G100" s="3"/>
      <c r="H100" s="3"/>
      <c r="I100" s="3"/>
      <c r="J100" s="3"/>
      <c r="K100" s="3"/>
      <c r="L100" s="3"/>
      <c r="M100" s="3"/>
      <c r="N100" s="3"/>
      <c r="O100" s="3"/>
      <c r="P100" s="3"/>
    </row>
    <row r="101" spans="1:16" x14ac:dyDescent="0.25">
      <c r="A101" s="2" t="s">
        <v>279</v>
      </c>
      <c r="B101" s="2">
        <v>1.0900000000000001</v>
      </c>
      <c r="C101" s="2">
        <v>1.08</v>
      </c>
      <c r="D101" s="2">
        <v>1.05</v>
      </c>
      <c r="E101" s="2">
        <v>1.08</v>
      </c>
      <c r="F101" s="2">
        <v>1.0900000000000001</v>
      </c>
      <c r="G101" s="2">
        <v>1.1000000000000001</v>
      </c>
      <c r="H101" s="2">
        <v>1.1000000000000001</v>
      </c>
      <c r="I101" s="2">
        <v>1.1200000000000001</v>
      </c>
      <c r="J101" s="2">
        <v>1.19</v>
      </c>
      <c r="K101" s="2">
        <v>1.19</v>
      </c>
      <c r="L101" s="2">
        <v>1.19</v>
      </c>
      <c r="M101" s="2">
        <v>1.18</v>
      </c>
      <c r="N101" s="2">
        <v>1.18</v>
      </c>
      <c r="O101" s="2">
        <v>1.22</v>
      </c>
      <c r="P101" s="2">
        <v>1.37</v>
      </c>
    </row>
    <row r="102" spans="1:16" x14ac:dyDescent="0.25">
      <c r="A102" s="2" t="s">
        <v>280</v>
      </c>
      <c r="B102" s="2">
        <v>0</v>
      </c>
      <c r="C102" s="2">
        <v>0</v>
      </c>
      <c r="D102" s="2">
        <v>0</v>
      </c>
      <c r="E102" s="2">
        <v>0</v>
      </c>
      <c r="F102" s="2">
        <v>0</v>
      </c>
      <c r="G102" s="2">
        <v>0</v>
      </c>
      <c r="H102" s="2">
        <v>0</v>
      </c>
      <c r="I102" s="2">
        <v>0</v>
      </c>
      <c r="J102" s="2">
        <v>0</v>
      </c>
      <c r="K102" s="2">
        <v>0</v>
      </c>
      <c r="L102" s="2">
        <v>0</v>
      </c>
      <c r="M102" s="2">
        <v>0</v>
      </c>
      <c r="N102" s="2">
        <v>0</v>
      </c>
      <c r="O102" s="2">
        <v>0</v>
      </c>
      <c r="P102" s="2">
        <v>0</v>
      </c>
    </row>
    <row r="103" spans="1:16" ht="396" x14ac:dyDescent="0.25">
      <c r="A103" s="2" t="s">
        <v>10</v>
      </c>
      <c r="B103" s="2" t="s">
        <v>11</v>
      </c>
      <c r="C103" s="20"/>
      <c r="D103" s="20"/>
      <c r="E103" s="20"/>
      <c r="F103" s="20"/>
      <c r="G103" s="20"/>
      <c r="H103" s="20"/>
      <c r="I103" s="20"/>
      <c r="J103" s="20"/>
      <c r="K103" s="20"/>
      <c r="L103" s="20"/>
      <c r="M103" s="20"/>
      <c r="N103" s="20"/>
      <c r="O103" s="20"/>
      <c r="P103" s="21"/>
    </row>
  </sheetData>
  <mergeCells count="1">
    <mergeCell ref="A1:J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CCB27-5715-4679-ABD6-DF65F69B8097}">
  <sheetPr codeName="Sheet6"/>
  <dimension ref="A1:P63"/>
  <sheetViews>
    <sheetView topLeftCell="A18" workbookViewId="0">
      <selection activeCell="B38" sqref="B38"/>
    </sheetView>
  </sheetViews>
  <sheetFormatPr defaultColWidth="21.42578125" defaultRowHeight="15" x14ac:dyDescent="0.25"/>
  <cols>
    <col min="1" max="1" width="29" customWidth="1"/>
  </cols>
  <sheetData>
    <row r="1" spans="1:16" x14ac:dyDescent="0.25">
      <c r="A1" s="235" t="s">
        <v>132</v>
      </c>
      <c r="B1" s="236"/>
      <c r="C1" s="236"/>
      <c r="D1" s="236"/>
      <c r="E1" s="236"/>
      <c r="F1" s="236"/>
      <c r="G1" s="236"/>
      <c r="H1" s="236"/>
      <c r="I1" s="236"/>
      <c r="J1" s="237"/>
      <c r="K1" s="22"/>
      <c r="L1" s="22"/>
      <c r="M1" s="22"/>
      <c r="N1" s="22"/>
      <c r="O1" s="22"/>
      <c r="P1" s="23"/>
    </row>
    <row r="2" spans="1:16" ht="15" customHeight="1" x14ac:dyDescent="0.25">
      <c r="A2" s="1" t="s">
        <v>0</v>
      </c>
      <c r="B2" s="1">
        <v>202403</v>
      </c>
      <c r="C2" s="1">
        <v>202303</v>
      </c>
      <c r="D2" s="1">
        <v>202203</v>
      </c>
      <c r="E2" s="1">
        <v>202103</v>
      </c>
      <c r="F2" s="1">
        <v>202003</v>
      </c>
      <c r="G2" s="1">
        <v>201903</v>
      </c>
      <c r="H2" s="1">
        <v>201803</v>
      </c>
      <c r="I2" s="1">
        <v>201703</v>
      </c>
      <c r="J2" s="1">
        <v>201603</v>
      </c>
      <c r="K2" s="1">
        <v>201503</v>
      </c>
      <c r="L2" s="1">
        <v>201403</v>
      </c>
      <c r="M2" s="1">
        <v>201303</v>
      </c>
      <c r="N2" s="1">
        <v>201203</v>
      </c>
      <c r="O2" s="1">
        <v>201103</v>
      </c>
      <c r="P2" s="1">
        <v>201003</v>
      </c>
    </row>
    <row r="3" spans="1:16" x14ac:dyDescent="0.25">
      <c r="A3" s="2" t="s">
        <v>133</v>
      </c>
      <c r="B3" s="3"/>
      <c r="C3" s="3"/>
      <c r="D3" s="3"/>
      <c r="E3" s="3"/>
      <c r="F3" s="3"/>
      <c r="G3" s="3"/>
      <c r="H3" s="3"/>
      <c r="I3" s="3"/>
      <c r="J3" s="3"/>
      <c r="K3" s="3"/>
      <c r="L3" s="3"/>
      <c r="M3" s="3"/>
      <c r="N3" s="3"/>
      <c r="O3" s="3"/>
      <c r="P3" s="3"/>
    </row>
    <row r="4" spans="1:16" x14ac:dyDescent="0.25">
      <c r="A4" s="2" t="s">
        <v>134</v>
      </c>
      <c r="B4" s="2">
        <v>766.5</v>
      </c>
      <c r="C4" s="2">
        <v>766.02</v>
      </c>
      <c r="D4" s="2">
        <v>765.88</v>
      </c>
      <c r="E4" s="2">
        <v>765.81</v>
      </c>
      <c r="F4" s="2">
        <v>719.54</v>
      </c>
      <c r="G4" s="2">
        <v>679.22</v>
      </c>
      <c r="H4" s="2">
        <v>679.22</v>
      </c>
      <c r="I4" s="2">
        <v>679.22</v>
      </c>
      <c r="J4" s="2">
        <v>679.18</v>
      </c>
      <c r="K4" s="2">
        <v>643.78</v>
      </c>
      <c r="L4" s="2">
        <v>643.78</v>
      </c>
      <c r="M4" s="2">
        <v>638.07000000000005</v>
      </c>
      <c r="N4" s="2">
        <v>634.75</v>
      </c>
      <c r="O4" s="2">
        <v>634.65</v>
      </c>
      <c r="P4" s="2">
        <v>570.6</v>
      </c>
    </row>
    <row r="5" spans="1:16" x14ac:dyDescent="0.25">
      <c r="A5" s="2" t="s">
        <v>135</v>
      </c>
      <c r="B5" s="4">
        <v>29374.83</v>
      </c>
      <c r="C5" s="4">
        <v>21701.37</v>
      </c>
      <c r="D5" s="4">
        <v>19171.88</v>
      </c>
      <c r="E5" s="4">
        <v>18290.16</v>
      </c>
      <c r="F5" s="4">
        <v>16800.61</v>
      </c>
      <c r="G5" s="4">
        <v>21483.3</v>
      </c>
      <c r="H5" s="4">
        <v>19491.759999999998</v>
      </c>
      <c r="I5" s="4">
        <v>20483.39</v>
      </c>
      <c r="J5" s="4">
        <v>22582.93</v>
      </c>
      <c r="K5" s="4">
        <v>14218.81</v>
      </c>
      <c r="L5" s="4">
        <v>18532.87</v>
      </c>
      <c r="M5" s="4">
        <v>18496.77</v>
      </c>
      <c r="N5" s="4">
        <v>18732.91</v>
      </c>
      <c r="O5" s="4">
        <v>19375.59</v>
      </c>
      <c r="P5" s="4">
        <v>14394.87</v>
      </c>
    </row>
    <row r="6" spans="1:16" x14ac:dyDescent="0.25">
      <c r="A6" s="2" t="s">
        <v>12</v>
      </c>
      <c r="B6" s="2">
        <v>0</v>
      </c>
      <c r="C6" s="2">
        <v>0</v>
      </c>
      <c r="D6" s="2">
        <v>0</v>
      </c>
      <c r="E6" s="2">
        <v>0</v>
      </c>
      <c r="F6" s="2">
        <v>867.5</v>
      </c>
      <c r="G6" s="2">
        <v>0</v>
      </c>
      <c r="H6" s="2">
        <v>0</v>
      </c>
      <c r="I6" s="2">
        <v>0</v>
      </c>
      <c r="J6" s="2">
        <v>0</v>
      </c>
      <c r="K6" s="2">
        <v>0</v>
      </c>
      <c r="L6" s="2">
        <v>0</v>
      </c>
      <c r="M6" s="2">
        <v>0</v>
      </c>
      <c r="N6" s="2">
        <v>0</v>
      </c>
      <c r="O6" s="2">
        <v>0</v>
      </c>
      <c r="P6" s="2">
        <v>0</v>
      </c>
    </row>
    <row r="7" spans="1:16" x14ac:dyDescent="0.25">
      <c r="A7" s="2" t="s">
        <v>13</v>
      </c>
      <c r="B7" s="2">
        <v>1.72</v>
      </c>
      <c r="C7" s="2">
        <v>2.46</v>
      </c>
      <c r="D7" s="2">
        <v>6.39</v>
      </c>
      <c r="E7" s="2">
        <v>0</v>
      </c>
      <c r="F7" s="2">
        <v>0</v>
      </c>
      <c r="G7" s="2">
        <v>0</v>
      </c>
      <c r="H7" s="2">
        <v>0</v>
      </c>
      <c r="I7" s="2">
        <v>0</v>
      </c>
      <c r="J7" s="2">
        <v>0</v>
      </c>
      <c r="K7" s="2">
        <v>0</v>
      </c>
      <c r="L7" s="2">
        <v>0</v>
      </c>
      <c r="M7" s="2">
        <v>0</v>
      </c>
      <c r="N7" s="2">
        <v>0</v>
      </c>
      <c r="O7" s="2">
        <v>3.06</v>
      </c>
      <c r="P7" s="2">
        <v>0</v>
      </c>
    </row>
    <row r="8" spans="1:16" x14ac:dyDescent="0.25">
      <c r="A8" s="2" t="s">
        <v>30</v>
      </c>
      <c r="B8" s="4">
        <v>30143.05</v>
      </c>
      <c r="C8" s="4">
        <v>22469.85</v>
      </c>
      <c r="D8" s="4">
        <v>19944.150000000001</v>
      </c>
      <c r="E8" s="4">
        <v>19055.97</v>
      </c>
      <c r="F8" s="4">
        <v>18387.650000000001</v>
      </c>
      <c r="G8" s="4">
        <v>22162.52</v>
      </c>
      <c r="H8" s="4">
        <v>20170.98</v>
      </c>
      <c r="I8" s="4">
        <v>21162.61</v>
      </c>
      <c r="J8" s="4">
        <v>23262.11</v>
      </c>
      <c r="K8" s="4">
        <v>14862.59</v>
      </c>
      <c r="L8" s="4">
        <v>19176.650000000001</v>
      </c>
      <c r="M8" s="4">
        <v>19134.84</v>
      </c>
      <c r="N8" s="4">
        <v>19367.66</v>
      </c>
      <c r="O8" s="4">
        <v>20013.3</v>
      </c>
      <c r="P8" s="4">
        <v>14965.47</v>
      </c>
    </row>
    <row r="9" spans="1:16" x14ac:dyDescent="0.25">
      <c r="A9" s="2" t="s">
        <v>136</v>
      </c>
      <c r="B9" s="2">
        <v>64.989999999999995</v>
      </c>
      <c r="C9" s="4">
        <v>1046.1300000000001</v>
      </c>
      <c r="D9" s="4">
        <v>4002.53</v>
      </c>
      <c r="E9" s="4">
        <v>6027.08</v>
      </c>
      <c r="F9" s="4">
        <v>4288.45</v>
      </c>
      <c r="G9" s="4">
        <v>3061.53</v>
      </c>
      <c r="H9" s="4">
        <v>2950.14</v>
      </c>
      <c r="I9" s="4">
        <v>3132.48</v>
      </c>
      <c r="J9" s="4">
        <v>3937.71</v>
      </c>
      <c r="K9" s="4">
        <v>4818.4799999999996</v>
      </c>
      <c r="L9" s="4">
        <v>4471.9399999999996</v>
      </c>
      <c r="M9" s="4">
        <v>8093.84</v>
      </c>
      <c r="N9" s="4">
        <v>6915.77</v>
      </c>
      <c r="O9" s="4">
        <v>7708.52</v>
      </c>
      <c r="P9" s="4">
        <v>7742.6</v>
      </c>
    </row>
    <row r="10" spans="1:16" x14ac:dyDescent="0.25">
      <c r="A10" s="2" t="s">
        <v>137</v>
      </c>
      <c r="B10" s="4">
        <v>14125.65</v>
      </c>
      <c r="C10" s="4">
        <v>18232.560000000001</v>
      </c>
      <c r="D10" s="4">
        <v>19526.54</v>
      </c>
      <c r="E10" s="4">
        <v>16411.849999999999</v>
      </c>
      <c r="F10" s="4">
        <v>21761.86</v>
      </c>
      <c r="G10" s="4">
        <v>15578.1</v>
      </c>
      <c r="H10" s="4">
        <v>15513.7</v>
      </c>
      <c r="I10" s="4">
        <v>16224.5</v>
      </c>
      <c r="J10" s="4">
        <v>12535.63</v>
      </c>
      <c r="K10" s="4">
        <v>16315.93</v>
      </c>
      <c r="L10" s="4">
        <v>10580.86</v>
      </c>
      <c r="M10" s="4">
        <v>8705.11</v>
      </c>
      <c r="N10" s="4">
        <v>8964.7999999999993</v>
      </c>
      <c r="O10" s="4">
        <v>8282.2099999999991</v>
      </c>
      <c r="P10" s="4">
        <v>8851.94</v>
      </c>
    </row>
    <row r="11" spans="1:16" x14ac:dyDescent="0.25">
      <c r="A11" s="2" t="s">
        <v>138</v>
      </c>
      <c r="B11" s="4">
        <v>14190.64</v>
      </c>
      <c r="C11" s="4">
        <v>19278.689999999999</v>
      </c>
      <c r="D11" s="4">
        <v>23529.07</v>
      </c>
      <c r="E11" s="4">
        <v>22438.93</v>
      </c>
      <c r="F11" s="4">
        <v>26050.31</v>
      </c>
      <c r="G11" s="4">
        <v>18639.63</v>
      </c>
      <c r="H11" s="4">
        <v>18463.84</v>
      </c>
      <c r="I11" s="4">
        <v>19356.98</v>
      </c>
      <c r="J11" s="4">
        <v>16473.34</v>
      </c>
      <c r="K11" s="4">
        <v>21134.41</v>
      </c>
      <c r="L11" s="4">
        <v>15052.8</v>
      </c>
      <c r="M11" s="4">
        <v>16798.95</v>
      </c>
      <c r="N11" s="4">
        <v>15880.57</v>
      </c>
      <c r="O11" s="4">
        <v>15990.73</v>
      </c>
      <c r="P11" s="4">
        <v>16594.54</v>
      </c>
    </row>
    <row r="12" spans="1:16" x14ac:dyDescent="0.25">
      <c r="A12" s="2" t="s">
        <v>139</v>
      </c>
      <c r="B12" s="4">
        <v>3032.8</v>
      </c>
      <c r="C12" s="4">
        <v>2695.27</v>
      </c>
      <c r="D12" s="4">
        <v>2448.61</v>
      </c>
      <c r="E12" s="4">
        <v>2565.13</v>
      </c>
      <c r="F12" s="4">
        <v>2894.06</v>
      </c>
      <c r="G12" s="4">
        <v>1680.63</v>
      </c>
      <c r="H12" s="4">
        <v>1511.85</v>
      </c>
      <c r="I12" s="4">
        <v>2343.65</v>
      </c>
      <c r="J12" s="4">
        <v>4040.8</v>
      </c>
      <c r="K12" s="4">
        <v>2390.9899999999998</v>
      </c>
      <c r="L12" s="4">
        <v>1970.68</v>
      </c>
      <c r="M12" s="4">
        <v>1929.63</v>
      </c>
      <c r="N12" s="4">
        <v>2645.19</v>
      </c>
      <c r="O12" s="4">
        <v>3474.3</v>
      </c>
      <c r="P12" s="2">
        <v>0</v>
      </c>
    </row>
    <row r="13" spans="1:16" x14ac:dyDescent="0.25">
      <c r="A13" s="2" t="s">
        <v>15</v>
      </c>
      <c r="B13" s="4">
        <v>47366.49</v>
      </c>
      <c r="C13" s="4">
        <v>44443.81</v>
      </c>
      <c r="D13" s="4">
        <v>45921.83</v>
      </c>
      <c r="E13" s="4">
        <v>44060.03</v>
      </c>
      <c r="F13" s="4">
        <v>47332.02</v>
      </c>
      <c r="G13" s="4">
        <v>42482.78</v>
      </c>
      <c r="H13" s="4">
        <v>40146.67</v>
      </c>
      <c r="I13" s="4">
        <v>42863.24</v>
      </c>
      <c r="J13" s="4">
        <v>43776.25</v>
      </c>
      <c r="K13" s="4">
        <v>38387.99</v>
      </c>
      <c r="L13" s="4">
        <v>36200.129999999997</v>
      </c>
      <c r="M13" s="4">
        <v>37863.42</v>
      </c>
      <c r="N13" s="4">
        <v>37893.42</v>
      </c>
      <c r="O13" s="4">
        <v>39478.33</v>
      </c>
      <c r="P13" s="4">
        <v>31560.01</v>
      </c>
    </row>
    <row r="14" spans="1:16" x14ac:dyDescent="0.25">
      <c r="A14" s="2" t="s">
        <v>140</v>
      </c>
      <c r="B14" s="3"/>
      <c r="C14" s="3"/>
      <c r="D14" s="3"/>
      <c r="E14" s="3"/>
      <c r="F14" s="3"/>
      <c r="G14" s="3"/>
      <c r="H14" s="3"/>
      <c r="I14" s="3"/>
      <c r="J14" s="3"/>
      <c r="K14" s="3"/>
      <c r="L14" s="3"/>
      <c r="M14" s="3"/>
      <c r="N14" s="3"/>
      <c r="O14" s="3"/>
      <c r="P14" s="3"/>
    </row>
    <row r="15" spans="1:16" x14ac:dyDescent="0.25">
      <c r="A15" s="2" t="s">
        <v>141</v>
      </c>
      <c r="B15" s="4">
        <v>31352.080000000002</v>
      </c>
      <c r="C15" s="4">
        <v>29658.31</v>
      </c>
      <c r="D15" s="4">
        <v>30438.99</v>
      </c>
      <c r="E15" s="4">
        <v>55235.27</v>
      </c>
      <c r="F15" s="4">
        <v>51749.9</v>
      </c>
      <c r="G15" s="4">
        <v>45396.9</v>
      </c>
      <c r="H15" s="4">
        <v>43165.71</v>
      </c>
      <c r="I15" s="4">
        <v>39885.96</v>
      </c>
      <c r="J15" s="4">
        <v>39305.42</v>
      </c>
      <c r="K15" s="4">
        <v>31814.21</v>
      </c>
      <c r="L15" s="4">
        <v>28791.45</v>
      </c>
      <c r="M15" s="4">
        <v>27067.18</v>
      </c>
      <c r="N15" s="4">
        <v>24985.39</v>
      </c>
      <c r="O15" s="4">
        <v>21883.32</v>
      </c>
      <c r="P15" s="4">
        <v>18416.810000000001</v>
      </c>
    </row>
    <row r="16" spans="1:16" x14ac:dyDescent="0.25">
      <c r="A16" s="2" t="s">
        <v>142</v>
      </c>
      <c r="B16" s="4">
        <v>17008.03</v>
      </c>
      <c r="C16" s="4">
        <v>15115.99</v>
      </c>
      <c r="D16" s="4">
        <v>16363.23</v>
      </c>
      <c r="E16" s="4">
        <v>28812.17</v>
      </c>
      <c r="F16" s="4">
        <v>26541.919999999998</v>
      </c>
      <c r="G16" s="4">
        <v>23110.07</v>
      </c>
      <c r="H16" s="4">
        <v>21561.96</v>
      </c>
      <c r="I16" s="4">
        <v>19113.04</v>
      </c>
      <c r="J16" s="4">
        <v>18229.61</v>
      </c>
      <c r="K16" s="4">
        <v>16030.98</v>
      </c>
      <c r="L16" s="4">
        <v>13550.88</v>
      </c>
      <c r="M16" s="4">
        <v>11611.44</v>
      </c>
      <c r="N16" s="4">
        <v>9965.8700000000008</v>
      </c>
      <c r="O16" s="4">
        <v>8466.25</v>
      </c>
      <c r="P16" s="4">
        <v>7212.92</v>
      </c>
    </row>
    <row r="17" spans="1:16" x14ac:dyDescent="0.25">
      <c r="A17" s="2" t="s">
        <v>143</v>
      </c>
      <c r="B17" s="2">
        <v>0</v>
      </c>
      <c r="C17" s="2">
        <v>0</v>
      </c>
      <c r="D17" s="2">
        <v>0</v>
      </c>
      <c r="E17" s="2">
        <v>0</v>
      </c>
      <c r="F17" s="2">
        <v>0</v>
      </c>
      <c r="G17" s="2">
        <v>0</v>
      </c>
      <c r="H17" s="2">
        <v>0</v>
      </c>
      <c r="I17" s="2">
        <v>0</v>
      </c>
      <c r="J17" s="2">
        <v>0</v>
      </c>
      <c r="K17" s="2">
        <v>0</v>
      </c>
      <c r="L17" s="2">
        <v>0</v>
      </c>
      <c r="M17" s="2">
        <v>0</v>
      </c>
      <c r="N17" s="2">
        <v>0</v>
      </c>
      <c r="O17" s="2">
        <v>0</v>
      </c>
      <c r="P17" s="2">
        <v>0</v>
      </c>
    </row>
    <row r="18" spans="1:16" x14ac:dyDescent="0.25">
      <c r="A18" s="2" t="s">
        <v>144</v>
      </c>
      <c r="B18" s="4">
        <v>14344.05</v>
      </c>
      <c r="C18" s="4">
        <v>14542.32</v>
      </c>
      <c r="D18" s="4">
        <v>14075.76</v>
      </c>
      <c r="E18" s="4">
        <v>26423.1</v>
      </c>
      <c r="F18" s="4">
        <v>25207.98</v>
      </c>
      <c r="G18" s="4">
        <v>22286.83</v>
      </c>
      <c r="H18" s="4">
        <v>21603.75</v>
      </c>
      <c r="I18" s="4">
        <v>20772.919999999998</v>
      </c>
      <c r="J18" s="4">
        <v>21075.81</v>
      </c>
      <c r="K18" s="4">
        <v>15783.23</v>
      </c>
      <c r="L18" s="4">
        <v>15240.57</v>
      </c>
      <c r="M18" s="4">
        <v>15455.74</v>
      </c>
      <c r="N18" s="4">
        <v>15019.52</v>
      </c>
      <c r="O18" s="4">
        <v>13417.07</v>
      </c>
      <c r="P18" s="4">
        <v>11203.89</v>
      </c>
    </row>
    <row r="19" spans="1:16" x14ac:dyDescent="0.25">
      <c r="A19" s="2" t="s">
        <v>145</v>
      </c>
      <c r="B19" s="2">
        <v>0</v>
      </c>
      <c r="C19" s="2">
        <v>0</v>
      </c>
      <c r="D19" s="2">
        <v>0</v>
      </c>
      <c r="E19" s="2">
        <v>0</v>
      </c>
      <c r="F19" s="2">
        <v>0</v>
      </c>
      <c r="G19" s="2">
        <v>0</v>
      </c>
      <c r="H19" s="2">
        <v>0</v>
      </c>
      <c r="I19" s="2">
        <v>0</v>
      </c>
      <c r="J19" s="2">
        <v>0</v>
      </c>
      <c r="K19" s="2">
        <v>0</v>
      </c>
      <c r="L19" s="2">
        <v>0</v>
      </c>
      <c r="M19" s="2">
        <v>0</v>
      </c>
      <c r="N19" s="2">
        <v>0</v>
      </c>
      <c r="O19" s="2">
        <v>0</v>
      </c>
      <c r="P19" s="2">
        <v>0</v>
      </c>
    </row>
    <row r="20" spans="1:16" x14ac:dyDescent="0.25">
      <c r="A20" s="2" t="s">
        <v>146</v>
      </c>
      <c r="B20" s="2">
        <v>0</v>
      </c>
      <c r="C20" s="2">
        <v>0</v>
      </c>
      <c r="D20" s="2">
        <v>0</v>
      </c>
      <c r="E20" s="2">
        <v>0</v>
      </c>
      <c r="F20" s="2">
        <v>0</v>
      </c>
      <c r="G20" s="2">
        <v>0</v>
      </c>
      <c r="H20" s="2">
        <v>0</v>
      </c>
      <c r="I20" s="2">
        <v>0</v>
      </c>
      <c r="J20" s="2">
        <v>0</v>
      </c>
      <c r="K20" s="2">
        <v>0</v>
      </c>
      <c r="L20" s="2">
        <v>0</v>
      </c>
      <c r="M20" s="2">
        <v>0</v>
      </c>
      <c r="N20" s="2">
        <v>0</v>
      </c>
      <c r="O20" s="2">
        <v>0</v>
      </c>
      <c r="P20" s="2">
        <v>0</v>
      </c>
    </row>
    <row r="21" spans="1:16" x14ac:dyDescent="0.25">
      <c r="A21" s="2" t="s">
        <v>147</v>
      </c>
      <c r="B21" s="4">
        <v>1233.95</v>
      </c>
      <c r="C21" s="4">
        <v>1084.95</v>
      </c>
      <c r="D21" s="4">
        <v>1467.24</v>
      </c>
      <c r="E21" s="4">
        <v>3006.46</v>
      </c>
      <c r="F21" s="4">
        <v>4494.8</v>
      </c>
      <c r="G21" s="4">
        <v>6286.59</v>
      </c>
      <c r="H21" s="4">
        <v>5196.6000000000004</v>
      </c>
      <c r="I21" s="4">
        <v>7270.99</v>
      </c>
      <c r="J21" s="4">
        <v>5686.53</v>
      </c>
      <c r="K21" s="4">
        <v>6040.79</v>
      </c>
      <c r="L21" s="4">
        <v>6355.07</v>
      </c>
      <c r="M21" s="4">
        <v>4752.8</v>
      </c>
      <c r="N21" s="4">
        <v>4036.67</v>
      </c>
      <c r="O21" s="4">
        <v>3799.03</v>
      </c>
      <c r="P21" s="4">
        <v>5232.1499999999996</v>
      </c>
    </row>
    <row r="22" spans="1:16" x14ac:dyDescent="0.25">
      <c r="A22" s="2" t="s">
        <v>148</v>
      </c>
      <c r="B22" s="2">
        <v>0</v>
      </c>
      <c r="C22" s="2">
        <v>0</v>
      </c>
      <c r="D22" s="2">
        <v>0</v>
      </c>
      <c r="E22" s="2">
        <v>0</v>
      </c>
      <c r="F22" s="2">
        <v>0</v>
      </c>
      <c r="G22" s="2">
        <v>0</v>
      </c>
      <c r="H22" s="2">
        <v>0</v>
      </c>
      <c r="I22" s="2">
        <v>0</v>
      </c>
      <c r="J22" s="2">
        <v>0</v>
      </c>
      <c r="K22" s="2">
        <v>0</v>
      </c>
      <c r="L22" s="2">
        <v>0</v>
      </c>
      <c r="M22" s="2">
        <v>0</v>
      </c>
      <c r="N22" s="2">
        <v>0</v>
      </c>
      <c r="O22" s="2">
        <v>0</v>
      </c>
      <c r="P22" s="2">
        <v>0</v>
      </c>
    </row>
    <row r="23" spans="1:16" x14ac:dyDescent="0.25">
      <c r="A23" s="2" t="s">
        <v>149</v>
      </c>
      <c r="B23" s="4">
        <v>32309.07</v>
      </c>
      <c r="C23" s="4">
        <v>32324.58</v>
      </c>
      <c r="D23" s="4">
        <v>34399.47</v>
      </c>
      <c r="E23" s="4">
        <v>17693.169999999998</v>
      </c>
      <c r="F23" s="4">
        <v>16616.169999999998</v>
      </c>
      <c r="G23" s="4">
        <v>16867.37</v>
      </c>
      <c r="H23" s="4">
        <v>16763.57</v>
      </c>
      <c r="I23" s="4">
        <v>17295.810000000001</v>
      </c>
      <c r="J23" s="4">
        <v>16963.32</v>
      </c>
      <c r="K23" s="4">
        <v>16987.169999999998</v>
      </c>
      <c r="L23" s="4">
        <v>18458.419999999998</v>
      </c>
      <c r="M23" s="4">
        <v>19934.39</v>
      </c>
      <c r="N23" s="4">
        <v>20493.55</v>
      </c>
      <c r="O23" s="4">
        <v>22624.21</v>
      </c>
      <c r="P23" s="4">
        <v>22336.9</v>
      </c>
    </row>
    <row r="24" spans="1:16" x14ac:dyDescent="0.25">
      <c r="A24" s="2" t="s">
        <v>17</v>
      </c>
      <c r="B24" s="3"/>
      <c r="C24" s="3"/>
      <c r="D24" s="3"/>
      <c r="E24" s="3"/>
      <c r="F24" s="3"/>
      <c r="G24" s="3"/>
      <c r="H24" s="3"/>
      <c r="I24" s="3"/>
      <c r="J24" s="3"/>
      <c r="K24" s="3"/>
      <c r="L24" s="3"/>
      <c r="M24" s="3"/>
      <c r="N24" s="3"/>
      <c r="O24" s="3"/>
      <c r="P24" s="3"/>
    </row>
    <row r="25" spans="1:16" x14ac:dyDescent="0.25">
      <c r="A25" s="2" t="s">
        <v>150</v>
      </c>
      <c r="B25" s="4">
        <v>3470.38</v>
      </c>
      <c r="C25" s="4">
        <v>3027.9</v>
      </c>
      <c r="D25" s="4">
        <v>3718.49</v>
      </c>
      <c r="E25" s="4">
        <v>4551.71</v>
      </c>
      <c r="F25" s="4">
        <v>3831.92</v>
      </c>
      <c r="G25" s="4">
        <v>4662</v>
      </c>
      <c r="H25" s="4">
        <v>5670.13</v>
      </c>
      <c r="I25" s="4">
        <v>5553.01</v>
      </c>
      <c r="J25" s="4">
        <v>5117.92</v>
      </c>
      <c r="K25" s="4">
        <v>4802.08</v>
      </c>
      <c r="L25" s="4">
        <v>3862.53</v>
      </c>
      <c r="M25" s="4">
        <v>4455.03</v>
      </c>
      <c r="N25" s="4">
        <v>4588.2299999999996</v>
      </c>
      <c r="O25" s="4">
        <v>3891.39</v>
      </c>
      <c r="P25" s="4">
        <v>2935.59</v>
      </c>
    </row>
    <row r="26" spans="1:16" x14ac:dyDescent="0.25">
      <c r="A26" s="2" t="s">
        <v>151</v>
      </c>
      <c r="B26" s="4">
        <v>2765.16</v>
      </c>
      <c r="C26" s="4">
        <v>2307.7199999999998</v>
      </c>
      <c r="D26" s="4">
        <v>2111.7800000000002</v>
      </c>
      <c r="E26" s="4">
        <v>2087.5100000000002</v>
      </c>
      <c r="F26" s="4">
        <v>1978.06</v>
      </c>
      <c r="G26" s="4">
        <v>3250.64</v>
      </c>
      <c r="H26" s="4">
        <v>3479.81</v>
      </c>
      <c r="I26" s="4">
        <v>2128</v>
      </c>
      <c r="J26" s="4">
        <v>2045.58</v>
      </c>
      <c r="K26" s="4">
        <v>1114.48</v>
      </c>
      <c r="L26" s="4">
        <v>1216.7</v>
      </c>
      <c r="M26" s="4">
        <v>1818.04</v>
      </c>
      <c r="N26" s="4">
        <v>2708.32</v>
      </c>
      <c r="O26" s="4">
        <v>2602.88</v>
      </c>
      <c r="P26" s="4">
        <v>2391.92</v>
      </c>
    </row>
    <row r="27" spans="1:16" x14ac:dyDescent="0.25">
      <c r="A27" s="2" t="s">
        <v>152</v>
      </c>
      <c r="B27" s="4">
        <v>5150.96</v>
      </c>
      <c r="C27" s="4">
        <v>1414.65</v>
      </c>
      <c r="D27" s="4">
        <v>2605.4299999999998</v>
      </c>
      <c r="E27" s="4">
        <v>4318.9399999999996</v>
      </c>
      <c r="F27" s="4">
        <v>3532.19</v>
      </c>
      <c r="G27" s="4">
        <v>1306.6099999999999</v>
      </c>
      <c r="H27" s="2">
        <v>795.42</v>
      </c>
      <c r="I27" s="2">
        <v>326.61</v>
      </c>
      <c r="J27" s="2">
        <v>788.42</v>
      </c>
      <c r="K27" s="2">
        <v>944.75</v>
      </c>
      <c r="L27" s="2">
        <v>226.15</v>
      </c>
      <c r="M27" s="2">
        <v>462.86</v>
      </c>
      <c r="N27" s="4">
        <v>1840.96</v>
      </c>
      <c r="O27" s="4">
        <v>2428.92</v>
      </c>
      <c r="P27" s="4">
        <v>1753.26</v>
      </c>
    </row>
    <row r="28" spans="1:16" x14ac:dyDescent="0.25">
      <c r="A28" s="2" t="s">
        <v>153</v>
      </c>
      <c r="B28" s="4">
        <v>1827.67</v>
      </c>
      <c r="C28" s="4">
        <v>1606.72</v>
      </c>
      <c r="D28" s="4">
        <v>2040.83</v>
      </c>
      <c r="E28" s="4">
        <v>3318.17</v>
      </c>
      <c r="F28" s="4">
        <v>3341.28</v>
      </c>
      <c r="G28" s="4">
        <v>2576.87</v>
      </c>
      <c r="H28" s="4">
        <v>2523.52</v>
      </c>
      <c r="I28" s="4">
        <v>2312.04</v>
      </c>
      <c r="J28" s="4">
        <v>2163.9299999999998</v>
      </c>
      <c r="K28" s="4">
        <v>1691.44</v>
      </c>
      <c r="L28" s="4">
        <v>1332.83</v>
      </c>
      <c r="M28" s="4">
        <v>1636.35</v>
      </c>
      <c r="N28" s="4">
        <v>1985.15</v>
      </c>
      <c r="O28" s="4">
        <v>1962.47</v>
      </c>
      <c r="P28" s="4">
        <v>4425.84</v>
      </c>
    </row>
    <row r="29" spans="1:16" x14ac:dyDescent="0.25">
      <c r="A29" s="2" t="s">
        <v>33</v>
      </c>
      <c r="B29" s="4">
        <v>13214.17</v>
      </c>
      <c r="C29" s="4">
        <v>8356.99</v>
      </c>
      <c r="D29" s="4">
        <v>10476.530000000001</v>
      </c>
      <c r="E29" s="4">
        <v>14276.33</v>
      </c>
      <c r="F29" s="4">
        <v>12683.45</v>
      </c>
      <c r="G29" s="4">
        <v>11796.12</v>
      </c>
      <c r="H29" s="4">
        <v>12468.88</v>
      </c>
      <c r="I29" s="4">
        <v>10319.66</v>
      </c>
      <c r="J29" s="4">
        <v>10115.85</v>
      </c>
      <c r="K29" s="4">
        <v>8552.75</v>
      </c>
      <c r="L29" s="4">
        <v>6638.21</v>
      </c>
      <c r="M29" s="4">
        <v>8372.2800000000007</v>
      </c>
      <c r="N29" s="4">
        <v>11122.66</v>
      </c>
      <c r="O29" s="4">
        <v>10885.66</v>
      </c>
      <c r="P29" s="4">
        <v>11506.61</v>
      </c>
    </row>
    <row r="30" spans="1:16" ht="26.25" x14ac:dyDescent="0.25">
      <c r="A30" s="2" t="s">
        <v>154</v>
      </c>
      <c r="B30" s="3"/>
      <c r="C30" s="3"/>
      <c r="D30" s="3"/>
      <c r="E30" s="3"/>
      <c r="F30" s="3"/>
      <c r="G30" s="3"/>
      <c r="H30" s="3"/>
      <c r="I30" s="3"/>
      <c r="J30" s="3"/>
      <c r="K30" s="3"/>
      <c r="L30" s="3"/>
      <c r="M30" s="3"/>
      <c r="N30" s="3"/>
      <c r="O30" s="3"/>
      <c r="P30" s="3"/>
    </row>
    <row r="31" spans="1:16" x14ac:dyDescent="0.25">
      <c r="A31" s="2" t="s">
        <v>155</v>
      </c>
      <c r="B31" s="4">
        <v>17459.939999999999</v>
      </c>
      <c r="C31" s="4">
        <v>16813.25</v>
      </c>
      <c r="D31" s="4">
        <v>17146.59</v>
      </c>
      <c r="E31" s="4">
        <v>19651.75</v>
      </c>
      <c r="F31" s="4">
        <v>13621.02</v>
      </c>
      <c r="G31" s="4">
        <v>16994</v>
      </c>
      <c r="H31" s="4">
        <v>18026.330000000002</v>
      </c>
      <c r="I31" s="4">
        <v>15306.61</v>
      </c>
      <c r="J31" s="4">
        <v>12298.82</v>
      </c>
      <c r="K31" s="4">
        <v>10942.09</v>
      </c>
      <c r="L31" s="4">
        <v>11598.27</v>
      </c>
      <c r="M31" s="4">
        <v>10847.86</v>
      </c>
      <c r="N31" s="4">
        <v>11307.54</v>
      </c>
      <c r="O31" s="4">
        <v>10675.1</v>
      </c>
      <c r="P31" s="4">
        <v>14609.16</v>
      </c>
    </row>
    <row r="32" spans="1:16" x14ac:dyDescent="0.25">
      <c r="A32" s="2" t="s">
        <v>156</v>
      </c>
      <c r="B32" s="4">
        <v>1207.53</v>
      </c>
      <c r="C32" s="2">
        <v>462.55</v>
      </c>
      <c r="D32" s="2">
        <v>657.73</v>
      </c>
      <c r="E32" s="4">
        <v>1081.3800000000001</v>
      </c>
      <c r="F32" s="4">
        <v>1438.24</v>
      </c>
      <c r="G32" s="4">
        <v>1226.99</v>
      </c>
      <c r="H32" s="2">
        <v>884.69</v>
      </c>
      <c r="I32" s="2">
        <v>560.85</v>
      </c>
      <c r="J32" s="2">
        <v>529.54</v>
      </c>
      <c r="K32" s="2">
        <v>613.09</v>
      </c>
      <c r="L32" s="4">
        <v>1892.91</v>
      </c>
      <c r="M32" s="4">
        <v>1509.58</v>
      </c>
      <c r="N32" s="4">
        <v>2954.56</v>
      </c>
      <c r="O32" s="4">
        <v>2013.86</v>
      </c>
      <c r="P32" s="4">
        <v>2763.43</v>
      </c>
    </row>
    <row r="33" spans="1:16" x14ac:dyDescent="0.25">
      <c r="A33" s="2" t="s">
        <v>32</v>
      </c>
      <c r="B33" s="4">
        <v>18667.47</v>
      </c>
      <c r="C33" s="4">
        <v>17275.8</v>
      </c>
      <c r="D33" s="4">
        <v>17804.32</v>
      </c>
      <c r="E33" s="4">
        <v>20733.13</v>
      </c>
      <c r="F33" s="4">
        <v>15059.26</v>
      </c>
      <c r="G33" s="4">
        <v>18220.990000000002</v>
      </c>
      <c r="H33" s="4">
        <v>18911.02</v>
      </c>
      <c r="I33" s="4">
        <v>15867.46</v>
      </c>
      <c r="J33" s="4">
        <v>12828.36</v>
      </c>
      <c r="K33" s="4">
        <v>11555.18</v>
      </c>
      <c r="L33" s="4">
        <v>13491.18</v>
      </c>
      <c r="M33" s="4">
        <v>12357.44</v>
      </c>
      <c r="N33" s="4">
        <v>14262.1</v>
      </c>
      <c r="O33" s="4">
        <v>12688.96</v>
      </c>
      <c r="P33" s="4">
        <v>17372.59</v>
      </c>
    </row>
    <row r="34" spans="1:16" x14ac:dyDescent="0.25">
      <c r="A34" s="2" t="s">
        <v>20</v>
      </c>
      <c r="B34" s="4">
        <v>-5453.3</v>
      </c>
      <c r="C34" s="4">
        <v>-8918.81</v>
      </c>
      <c r="D34" s="4">
        <v>-7327.79</v>
      </c>
      <c r="E34" s="4">
        <v>-6456.8</v>
      </c>
      <c r="F34" s="4">
        <v>-2375.81</v>
      </c>
      <c r="G34" s="4">
        <v>-6424.87</v>
      </c>
      <c r="H34" s="4">
        <v>-6442.14</v>
      </c>
      <c r="I34" s="4">
        <v>-5547.8</v>
      </c>
      <c r="J34" s="4">
        <v>-2712.51</v>
      </c>
      <c r="K34" s="4">
        <v>-3002.43</v>
      </c>
      <c r="L34" s="4">
        <v>-6852.97</v>
      </c>
      <c r="M34" s="4">
        <v>-3985.16</v>
      </c>
      <c r="N34" s="4">
        <v>-3139.44</v>
      </c>
      <c r="O34" s="4">
        <v>-1803.3</v>
      </c>
      <c r="P34" s="4">
        <v>-5865.98</v>
      </c>
    </row>
    <row r="35" spans="1:16" ht="26.25" x14ac:dyDescent="0.25">
      <c r="A35" s="2" t="s">
        <v>157</v>
      </c>
      <c r="B35" s="2">
        <v>0</v>
      </c>
      <c r="C35" s="2">
        <v>0</v>
      </c>
      <c r="D35" s="2">
        <v>0</v>
      </c>
      <c r="E35" s="2">
        <v>0</v>
      </c>
      <c r="F35" s="2">
        <v>0</v>
      </c>
      <c r="G35" s="2">
        <v>0</v>
      </c>
      <c r="H35" s="2">
        <v>0</v>
      </c>
      <c r="I35" s="2">
        <v>0</v>
      </c>
      <c r="J35" s="2">
        <v>0</v>
      </c>
      <c r="K35" s="2">
        <v>0</v>
      </c>
      <c r="L35" s="2">
        <v>0</v>
      </c>
      <c r="M35" s="2">
        <v>0</v>
      </c>
      <c r="N35" s="2">
        <v>0</v>
      </c>
      <c r="O35" s="2">
        <v>0</v>
      </c>
      <c r="P35" s="2">
        <v>0</v>
      </c>
    </row>
    <row r="36" spans="1:16" x14ac:dyDescent="0.25">
      <c r="A36" s="2" t="s">
        <v>21</v>
      </c>
      <c r="B36" s="4">
        <v>5535.82</v>
      </c>
      <c r="C36" s="4">
        <v>5200.07</v>
      </c>
      <c r="D36" s="4">
        <v>2991.67</v>
      </c>
      <c r="E36" s="4">
        <v>5061.3900000000003</v>
      </c>
      <c r="F36" s="4">
        <v>4836.5</v>
      </c>
      <c r="G36" s="4">
        <v>5238.1400000000003</v>
      </c>
      <c r="H36" s="4">
        <v>4929.67</v>
      </c>
      <c r="I36" s="4">
        <v>5384.12</v>
      </c>
      <c r="J36" s="4">
        <v>5186.07</v>
      </c>
      <c r="K36" s="4">
        <v>4160.99</v>
      </c>
      <c r="L36" s="4">
        <v>3923.41</v>
      </c>
      <c r="M36" s="4">
        <v>1600.64</v>
      </c>
      <c r="N36" s="2">
        <v>990.63</v>
      </c>
      <c r="O36" s="2">
        <v>685</v>
      </c>
      <c r="P36" s="2">
        <v>791.5</v>
      </c>
    </row>
    <row r="37" spans="1:16" x14ac:dyDescent="0.25">
      <c r="A37" s="2" t="s">
        <v>14</v>
      </c>
      <c r="B37" s="4">
        <v>4026.95</v>
      </c>
      <c r="C37" s="4">
        <v>3773.97</v>
      </c>
      <c r="D37" s="4">
        <v>3165.39</v>
      </c>
      <c r="E37" s="4">
        <v>5327.89</v>
      </c>
      <c r="F37" s="4">
        <v>5035.09</v>
      </c>
      <c r="G37" s="4">
        <v>5444</v>
      </c>
      <c r="H37" s="4">
        <v>5084.28</v>
      </c>
      <c r="I37" s="4">
        <v>5531.7</v>
      </c>
      <c r="J37" s="4">
        <v>5257.46</v>
      </c>
      <c r="K37" s="4">
        <v>4160.99</v>
      </c>
      <c r="L37" s="4">
        <v>3966.52</v>
      </c>
      <c r="M37" s="4">
        <v>3564.55</v>
      </c>
      <c r="N37" s="4">
        <v>3096.04</v>
      </c>
      <c r="O37" s="4">
        <v>2708.16</v>
      </c>
      <c r="P37" s="4">
        <v>2300.14</v>
      </c>
    </row>
    <row r="38" spans="1:16" x14ac:dyDescent="0.25">
      <c r="A38" s="2" t="s">
        <v>158</v>
      </c>
      <c r="B38" s="4">
        <v>1508.87</v>
      </c>
      <c r="C38" s="4">
        <v>1426.1</v>
      </c>
      <c r="D38" s="2">
        <v>-173.72</v>
      </c>
      <c r="E38" s="2">
        <v>-266.5</v>
      </c>
      <c r="F38" s="2">
        <v>-198.59</v>
      </c>
      <c r="G38" s="2">
        <v>-205.86</v>
      </c>
      <c r="H38" s="2">
        <v>-154.61000000000001</v>
      </c>
      <c r="I38" s="2">
        <v>-147.58000000000001</v>
      </c>
      <c r="J38" s="2">
        <v>-71.39</v>
      </c>
      <c r="K38" s="2">
        <v>0</v>
      </c>
      <c r="L38" s="2">
        <v>-43.11</v>
      </c>
      <c r="M38" s="4">
        <v>-1963.91</v>
      </c>
      <c r="N38" s="4">
        <v>-2105.41</v>
      </c>
      <c r="O38" s="4">
        <v>-2023.16</v>
      </c>
      <c r="P38" s="4">
        <v>-1508.64</v>
      </c>
    </row>
    <row r="39" spans="1:16" x14ac:dyDescent="0.25">
      <c r="A39" s="2" t="s">
        <v>159</v>
      </c>
      <c r="B39" s="4">
        <v>3423.85</v>
      </c>
      <c r="C39" s="4">
        <v>3984.67</v>
      </c>
      <c r="D39" s="4">
        <v>3480.87</v>
      </c>
      <c r="E39" s="4">
        <v>3660.6</v>
      </c>
      <c r="F39" s="4">
        <v>3587.47</v>
      </c>
      <c r="G39" s="4">
        <v>3672.72</v>
      </c>
      <c r="H39" s="4">
        <v>3179.5</v>
      </c>
      <c r="I39" s="4">
        <v>3218.9</v>
      </c>
      <c r="J39" s="4">
        <v>2834.49</v>
      </c>
      <c r="K39" s="4">
        <v>2579.23</v>
      </c>
      <c r="L39" s="4">
        <v>3042.15</v>
      </c>
      <c r="M39" s="4">
        <v>3669.56</v>
      </c>
      <c r="N39" s="4">
        <v>3588.53</v>
      </c>
      <c r="O39" s="4">
        <v>3464.48</v>
      </c>
      <c r="P39" s="2">
        <v>161.69</v>
      </c>
    </row>
    <row r="40" spans="1:16" x14ac:dyDescent="0.25">
      <c r="A40" s="2" t="s">
        <v>22</v>
      </c>
      <c r="B40" s="4">
        <v>47366.49</v>
      </c>
      <c r="C40" s="4">
        <v>44443.81</v>
      </c>
      <c r="D40" s="4">
        <v>45921.83</v>
      </c>
      <c r="E40" s="4">
        <v>44060.03</v>
      </c>
      <c r="F40" s="4">
        <v>47332.02</v>
      </c>
      <c r="G40" s="4">
        <v>42482.78</v>
      </c>
      <c r="H40" s="4">
        <v>40146.67</v>
      </c>
      <c r="I40" s="4">
        <v>42863.24</v>
      </c>
      <c r="J40" s="4">
        <v>43776.25</v>
      </c>
      <c r="K40" s="4">
        <v>38387.99</v>
      </c>
      <c r="L40" s="4">
        <v>36200.129999999997</v>
      </c>
      <c r="M40" s="4">
        <v>37863.42</v>
      </c>
      <c r="N40" s="4">
        <v>37893.42</v>
      </c>
      <c r="O40" s="4">
        <v>39478.33</v>
      </c>
      <c r="P40" s="4">
        <v>31560.01</v>
      </c>
    </row>
    <row r="41" spans="1:16" x14ac:dyDescent="0.25">
      <c r="A41" s="2" t="s">
        <v>160</v>
      </c>
      <c r="B41" s="4">
        <v>3496.28</v>
      </c>
      <c r="C41" s="4">
        <v>3143.47</v>
      </c>
      <c r="D41" s="4">
        <v>3504.35</v>
      </c>
      <c r="E41" s="4">
        <v>3669.37</v>
      </c>
      <c r="F41" s="4">
        <v>2808.86</v>
      </c>
      <c r="G41" s="4">
        <v>3613.84</v>
      </c>
      <c r="H41" s="4">
        <v>4884.17</v>
      </c>
      <c r="I41" s="4">
        <v>4499.49</v>
      </c>
      <c r="J41" s="4">
        <v>8581.58</v>
      </c>
      <c r="K41" s="4">
        <v>2872.4</v>
      </c>
      <c r="L41" s="4">
        <v>2488.9</v>
      </c>
      <c r="M41" s="4">
        <v>1765.09</v>
      </c>
      <c r="N41" s="4">
        <v>1747.87</v>
      </c>
      <c r="O41" s="4">
        <v>3076.6</v>
      </c>
      <c r="P41" s="4">
        <v>3034.83</v>
      </c>
    </row>
    <row r="42" spans="1:16" ht="15" customHeight="1" x14ac:dyDescent="0.25">
      <c r="A42" s="2" t="s">
        <v>10</v>
      </c>
      <c r="B42" s="2" t="s">
        <v>11</v>
      </c>
      <c r="C42" s="20"/>
      <c r="D42" s="20"/>
      <c r="E42" s="20"/>
      <c r="F42" s="20"/>
      <c r="G42" s="20"/>
      <c r="H42" s="20"/>
      <c r="I42" s="20"/>
      <c r="J42" s="20"/>
      <c r="K42" s="20"/>
      <c r="L42" s="20"/>
      <c r="M42" s="20"/>
      <c r="N42" s="20"/>
      <c r="O42" s="20"/>
      <c r="P42" s="21"/>
    </row>
    <row r="43" spans="1:16" x14ac:dyDescent="0.25">
      <c r="A43" s="241" t="s">
        <v>34</v>
      </c>
      <c r="B43" s="241"/>
      <c r="C43" s="9"/>
      <c r="D43" s="9"/>
      <c r="E43" s="9"/>
      <c r="F43" s="9"/>
    </row>
    <row r="44" spans="1:16" x14ac:dyDescent="0.25">
      <c r="A44" s="10" t="s">
        <v>35</v>
      </c>
      <c r="B44" s="11">
        <v>432</v>
      </c>
      <c r="C44" s="11">
        <v>0</v>
      </c>
      <c r="D44" s="11">
        <v>97.1</v>
      </c>
      <c r="E44" s="11">
        <v>92.94</v>
      </c>
      <c r="F44" s="11">
        <v>2</v>
      </c>
    </row>
    <row r="45" spans="1:16" x14ac:dyDescent="0.25">
      <c r="A45" s="241" t="s">
        <v>36</v>
      </c>
      <c r="B45" s="241"/>
      <c r="C45" s="9"/>
      <c r="D45" s="9"/>
      <c r="E45" s="9"/>
      <c r="F45" s="9"/>
    </row>
    <row r="46" spans="1:16" x14ac:dyDescent="0.25">
      <c r="A46" s="241" t="s">
        <v>37</v>
      </c>
      <c r="B46" s="241"/>
      <c r="C46" s="9"/>
      <c r="D46" s="9"/>
      <c r="E46" s="9"/>
      <c r="F46" s="9"/>
    </row>
    <row r="47" spans="1:16" x14ac:dyDescent="0.25">
      <c r="A47" s="241" t="s">
        <v>38</v>
      </c>
      <c r="B47" s="241"/>
      <c r="C47" s="9"/>
      <c r="D47" s="9"/>
      <c r="E47" s="9"/>
      <c r="F47" s="9"/>
    </row>
    <row r="48" spans="1:16" ht="24" x14ac:dyDescent="0.25">
      <c r="A48" s="10" t="s">
        <v>39</v>
      </c>
      <c r="B48" s="11" t="s">
        <v>40</v>
      </c>
      <c r="C48" s="11" t="s">
        <v>40</v>
      </c>
      <c r="D48" s="11" t="s">
        <v>40</v>
      </c>
      <c r="E48" s="11" t="s">
        <v>40</v>
      </c>
      <c r="F48" s="11" t="s">
        <v>40</v>
      </c>
    </row>
    <row r="49" spans="1:6" x14ac:dyDescent="0.25">
      <c r="A49" s="241" t="s">
        <v>41</v>
      </c>
      <c r="B49" s="241"/>
      <c r="C49" s="9"/>
      <c r="D49" s="9"/>
      <c r="E49" s="9"/>
      <c r="F49" s="9"/>
    </row>
    <row r="50" spans="1:6" x14ac:dyDescent="0.25">
      <c r="A50" s="10" t="s">
        <v>42</v>
      </c>
      <c r="B50" s="11" t="s">
        <v>40</v>
      </c>
      <c r="C50" s="11" t="s">
        <v>40</v>
      </c>
      <c r="D50" s="11" t="s">
        <v>40</v>
      </c>
      <c r="E50" s="11" t="s">
        <v>40</v>
      </c>
      <c r="F50" s="11" t="s">
        <v>40</v>
      </c>
    </row>
    <row r="51" spans="1:6" x14ac:dyDescent="0.25">
      <c r="A51" s="10" t="s">
        <v>43</v>
      </c>
      <c r="B51" s="11" t="s">
        <v>40</v>
      </c>
      <c r="C51" s="11" t="s">
        <v>40</v>
      </c>
      <c r="D51" s="11" t="s">
        <v>40</v>
      </c>
      <c r="E51" s="11" t="s">
        <v>40</v>
      </c>
      <c r="F51" s="11" t="s">
        <v>40</v>
      </c>
    </row>
    <row r="52" spans="1:6" x14ac:dyDescent="0.25">
      <c r="A52" s="241" t="s">
        <v>44</v>
      </c>
      <c r="B52" s="241"/>
      <c r="C52" s="9"/>
      <c r="D52" s="9"/>
      <c r="E52" s="9"/>
      <c r="F52" s="9"/>
    </row>
    <row r="53" spans="1:6" x14ac:dyDescent="0.25">
      <c r="A53" s="10" t="s">
        <v>45</v>
      </c>
      <c r="B53" s="11">
        <v>214.5</v>
      </c>
      <c r="C53" s="11">
        <v>211.5</v>
      </c>
      <c r="D53" s="11">
        <v>210.2</v>
      </c>
      <c r="E53" s="11" t="s">
        <v>40</v>
      </c>
      <c r="F53" s="11" t="s">
        <v>40</v>
      </c>
    </row>
    <row r="54" spans="1:6" x14ac:dyDescent="0.25">
      <c r="A54" s="241" t="s">
        <v>46</v>
      </c>
      <c r="B54" s="241"/>
      <c r="C54" s="9"/>
      <c r="D54" s="9"/>
      <c r="E54" s="9"/>
      <c r="F54" s="9"/>
    </row>
    <row r="55" spans="1:6" ht="24" x14ac:dyDescent="0.25">
      <c r="A55" s="10" t="s">
        <v>47</v>
      </c>
      <c r="B55" s="11" t="s">
        <v>40</v>
      </c>
      <c r="C55" s="11" t="s">
        <v>40</v>
      </c>
      <c r="D55" s="11" t="s">
        <v>40</v>
      </c>
      <c r="E55" s="11" t="s">
        <v>40</v>
      </c>
      <c r="F55" s="11" t="s">
        <v>40</v>
      </c>
    </row>
    <row r="56" spans="1:6" ht="24" x14ac:dyDescent="0.25">
      <c r="A56" s="10" t="s">
        <v>48</v>
      </c>
      <c r="B56" s="12">
        <v>18445</v>
      </c>
      <c r="C56" s="11" t="s">
        <v>40</v>
      </c>
      <c r="D56" s="12">
        <v>3066.7</v>
      </c>
      <c r="E56" s="11">
        <v>311.74</v>
      </c>
      <c r="F56" s="11">
        <v>200.31</v>
      </c>
    </row>
    <row r="57" spans="1:6" x14ac:dyDescent="0.25">
      <c r="A57" s="241" t="s">
        <v>49</v>
      </c>
      <c r="B57" s="241"/>
      <c r="C57" s="9"/>
      <c r="D57" s="9"/>
      <c r="E57" s="9"/>
      <c r="F57" s="9"/>
    </row>
    <row r="58" spans="1:6" ht="24" x14ac:dyDescent="0.25">
      <c r="A58" s="10" t="s">
        <v>50</v>
      </c>
      <c r="B58" s="11">
        <v>814</v>
      </c>
      <c r="C58" s="11" t="s">
        <v>40</v>
      </c>
      <c r="D58" s="11" t="s">
        <v>40</v>
      </c>
      <c r="E58" s="11" t="s">
        <v>40</v>
      </c>
      <c r="F58" s="11" t="s">
        <v>40</v>
      </c>
    </row>
    <row r="59" spans="1:6" ht="24" x14ac:dyDescent="0.25">
      <c r="A59" s="10" t="s">
        <v>51</v>
      </c>
      <c r="B59" s="11">
        <v>113</v>
      </c>
      <c r="C59" s="12">
        <v>3832.5</v>
      </c>
      <c r="D59" s="12">
        <v>1600.8</v>
      </c>
      <c r="E59" s="12">
        <v>2194.11</v>
      </c>
      <c r="F59" s="11">
        <v>323.92</v>
      </c>
    </row>
    <row r="60" spans="1:6" x14ac:dyDescent="0.25">
      <c r="A60" s="7"/>
      <c r="B60" s="8"/>
      <c r="C60" s="6"/>
      <c r="D60" s="6"/>
      <c r="E60" s="6"/>
      <c r="F60" s="6"/>
    </row>
    <row r="61" spans="1:6" x14ac:dyDescent="0.25">
      <c r="A61" s="238"/>
      <c r="B61" s="238"/>
      <c r="C61" s="238"/>
      <c r="D61" s="238"/>
      <c r="E61" s="238"/>
      <c r="F61" s="238"/>
    </row>
    <row r="62" spans="1:6" x14ac:dyDescent="0.25">
      <c r="A62" s="239"/>
      <c r="B62" s="239"/>
      <c r="C62" s="239"/>
      <c r="D62" s="239"/>
      <c r="E62" s="239"/>
      <c r="F62" s="239"/>
    </row>
    <row r="63" spans="1:6" x14ac:dyDescent="0.25">
      <c r="A63" s="240" t="s">
        <v>52</v>
      </c>
      <c r="B63" s="240"/>
      <c r="C63" s="240"/>
      <c r="D63" s="240"/>
      <c r="E63" s="240"/>
      <c r="F63" s="240"/>
    </row>
  </sheetData>
  <mergeCells count="12">
    <mergeCell ref="A61:F61"/>
    <mergeCell ref="A62:F62"/>
    <mergeCell ref="A63:F63"/>
    <mergeCell ref="A1:J1"/>
    <mergeCell ref="A46:B46"/>
    <mergeCell ref="A47:B47"/>
    <mergeCell ref="A49:B49"/>
    <mergeCell ref="A52:B52"/>
    <mergeCell ref="A54:B54"/>
    <mergeCell ref="A57:B57"/>
    <mergeCell ref="A43:B43"/>
    <mergeCell ref="A45:B45"/>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F08AA-6149-4A27-979E-116FA9952872}">
  <sheetPr codeName="Sheet7"/>
  <dimension ref="B1:Z57"/>
  <sheetViews>
    <sheetView showGridLines="0" topLeftCell="A24" zoomScale="104" zoomScaleNormal="66" workbookViewId="0">
      <selection activeCell="J35" sqref="J35"/>
    </sheetView>
  </sheetViews>
  <sheetFormatPr defaultRowHeight="15" x14ac:dyDescent="0.25"/>
  <cols>
    <col min="2" max="2" width="21.42578125" bestFit="1" customWidth="1"/>
    <col min="3" max="3" width="20.140625" bestFit="1" customWidth="1"/>
    <col min="4" max="4" width="15" customWidth="1"/>
    <col min="5" max="5" width="16.7109375" bestFit="1" customWidth="1"/>
    <col min="6" max="6" width="24.42578125" bestFit="1" customWidth="1"/>
    <col min="7" max="7" width="12" customWidth="1"/>
    <col min="8" max="8" width="12.28515625" customWidth="1"/>
    <col min="9" max="9" width="23" bestFit="1" customWidth="1"/>
    <col min="10" max="10" width="14.28515625" bestFit="1" customWidth="1"/>
    <col min="11" max="11" width="6.85546875" bestFit="1" customWidth="1"/>
    <col min="12" max="12" width="3.140625" customWidth="1"/>
    <col min="13" max="13" width="9.7109375" customWidth="1"/>
    <col min="14" max="14" width="12" customWidth="1"/>
    <col min="15" max="15" width="9.140625" customWidth="1"/>
    <col min="16" max="16" width="19.140625" bestFit="1" customWidth="1"/>
    <col min="17" max="17" width="12" bestFit="1" customWidth="1"/>
    <col min="18" max="18" width="12.42578125" customWidth="1"/>
    <col min="19" max="19" width="11.7109375" bestFit="1" customWidth="1"/>
    <col min="20" max="20" width="4.42578125" customWidth="1"/>
    <col min="22" max="22" width="13.140625" customWidth="1"/>
    <col min="23" max="24" width="12.42578125" customWidth="1"/>
    <col min="25" max="25" width="11.7109375" customWidth="1"/>
    <col min="26" max="26" width="14.42578125" customWidth="1"/>
  </cols>
  <sheetData>
    <row r="1" spans="2:26" ht="15.75" thickBot="1" x14ac:dyDescent="0.3"/>
    <row r="2" spans="2:26" ht="15.75" thickBot="1" x14ac:dyDescent="0.3">
      <c r="N2" s="220"/>
      <c r="O2" s="221"/>
      <c r="P2" s="221"/>
      <c r="Q2" s="221"/>
      <c r="R2" s="221"/>
      <c r="S2" s="221"/>
      <c r="T2" s="221"/>
      <c r="U2" s="221"/>
      <c r="V2" s="221"/>
      <c r="W2" s="221"/>
      <c r="X2" s="221"/>
      <c r="Y2" s="221"/>
      <c r="Z2" s="222"/>
    </row>
    <row r="3" spans="2:26" x14ac:dyDescent="0.25">
      <c r="B3" s="266" t="s">
        <v>365</v>
      </c>
      <c r="C3" s="267"/>
      <c r="D3" s="267"/>
      <c r="E3" s="267"/>
      <c r="F3" s="267"/>
      <c r="G3" s="267"/>
      <c r="H3" s="267"/>
      <c r="I3" s="267"/>
      <c r="J3" s="267"/>
      <c r="K3" s="268"/>
      <c r="L3" s="206"/>
      <c r="N3" s="207"/>
      <c r="Z3" s="208"/>
    </row>
    <row r="4" spans="2:26" x14ac:dyDescent="0.25">
      <c r="B4" s="89"/>
      <c r="C4" s="90"/>
      <c r="D4" s="90"/>
      <c r="E4" s="90"/>
      <c r="F4" s="90"/>
      <c r="G4" s="90"/>
      <c r="H4" s="90"/>
      <c r="I4" s="90"/>
      <c r="J4" s="90"/>
      <c r="K4" s="91"/>
      <c r="N4" s="269" t="s">
        <v>365</v>
      </c>
      <c r="O4" s="270"/>
      <c r="P4" s="270"/>
      <c r="Q4" s="270"/>
      <c r="R4" s="270"/>
      <c r="S4" s="270"/>
      <c r="U4" s="262" t="s">
        <v>365</v>
      </c>
      <c r="V4" s="262"/>
      <c r="W4" s="262"/>
      <c r="X4" s="262"/>
      <c r="Y4" s="262"/>
      <c r="Z4" s="263"/>
    </row>
    <row r="5" spans="2:26" ht="15.75" thickBot="1" x14ac:dyDescent="0.3">
      <c r="B5" s="92" t="str">
        <f>'RATIO ANALYSIS'!B2</f>
        <v>Profitability Ratios</v>
      </c>
      <c r="C5" s="97">
        <f>1/3</f>
        <v>0.33333333333333331</v>
      </c>
      <c r="F5" s="77" t="str">
        <f>'RATIO ANALYSIS'!E2</f>
        <v>Leverage Ratios</v>
      </c>
      <c r="G5" s="97">
        <f>1/3</f>
        <v>0.33333333333333331</v>
      </c>
      <c r="I5" s="77" t="str">
        <f>'RATIO ANALYSIS'!H2</f>
        <v>Market Ratios</v>
      </c>
      <c r="J5" s="98">
        <f>1/COUNT(J8:J13)</f>
        <v>0.16666666666666666</v>
      </c>
      <c r="K5" s="29"/>
      <c r="N5" s="207"/>
      <c r="S5" s="29"/>
      <c r="U5" s="28"/>
      <c r="Z5" s="208"/>
    </row>
    <row r="6" spans="2:26" ht="15.75" thickTop="1" x14ac:dyDescent="0.25">
      <c r="B6" s="93"/>
      <c r="I6" s="13"/>
      <c r="K6" s="29"/>
      <c r="N6" s="264" t="str">
        <f>'KPI VARIABLES'!B4</f>
        <v>Profitability Ratios</v>
      </c>
      <c r="O6" s="265"/>
      <c r="P6" s="163" t="s">
        <v>394</v>
      </c>
      <c r="Q6" s="163" t="s">
        <v>330</v>
      </c>
      <c r="R6" s="163" t="s">
        <v>350</v>
      </c>
      <c r="S6" s="163" t="s">
        <v>390</v>
      </c>
      <c r="U6" s="18" t="s">
        <v>54</v>
      </c>
      <c r="V6" s="14"/>
      <c r="W6" s="163" t="s">
        <v>394</v>
      </c>
      <c r="X6" s="163" t="s">
        <v>330</v>
      </c>
      <c r="Y6" s="163" t="s">
        <v>350</v>
      </c>
      <c r="Z6" s="209" t="s">
        <v>390</v>
      </c>
    </row>
    <row r="7" spans="2:26" x14ac:dyDescent="0.25">
      <c r="B7" s="81" t="s">
        <v>346</v>
      </c>
      <c r="C7" s="81" t="s">
        <v>330</v>
      </c>
      <c r="D7" s="84"/>
      <c r="E7" s="80"/>
      <c r="F7" s="81" t="s">
        <v>346</v>
      </c>
      <c r="G7" s="81" t="s">
        <v>330</v>
      </c>
      <c r="H7" s="80"/>
      <c r="I7" s="81" t="s">
        <v>346</v>
      </c>
      <c r="J7" s="81" t="s">
        <v>330</v>
      </c>
      <c r="K7" s="29"/>
      <c r="N7" s="253" t="str">
        <f>'KPI VARIABLES'!B5</f>
        <v>Return on Equity</v>
      </c>
      <c r="O7" s="248"/>
      <c r="P7" s="164">
        <v>0.4</v>
      </c>
      <c r="Q7" s="165">
        <f>P7*'KPI VARIABLES'!C11</f>
        <v>4</v>
      </c>
      <c r="R7" s="165">
        <f>P7*'KPI VARIABLES'!C11</f>
        <v>4</v>
      </c>
      <c r="S7" s="164">
        <f>Q7/R7</f>
        <v>1</v>
      </c>
      <c r="U7" s="14" t="s">
        <v>53</v>
      </c>
      <c r="V7" s="14"/>
      <c r="W7" s="160">
        <v>0.4</v>
      </c>
      <c r="X7" s="170">
        <f>W7*'REQUIREMENTS KPIS'!C11</f>
        <v>2</v>
      </c>
      <c r="Y7" s="170">
        <f>W7*'REQUIREMENTS KPIS'!C12</f>
        <v>4</v>
      </c>
      <c r="Z7" s="210">
        <f>X7/Y7</f>
        <v>0.5</v>
      </c>
    </row>
    <row r="8" spans="2:26" x14ac:dyDescent="0.25">
      <c r="B8" s="16" t="str">
        <f>'RATIO ANALYSIS'!B4</f>
        <v>Return on Equity</v>
      </c>
      <c r="C8" s="16">
        <f>'RATIO ANALYSIS'!C4</f>
        <v>0.26215263551631307</v>
      </c>
      <c r="D8" s="80"/>
      <c r="E8" s="80"/>
      <c r="F8" s="16" t="str">
        <f>'RATIO ANALYSIS'!E4</f>
        <v>Debt Ratio</v>
      </c>
      <c r="G8" s="16">
        <f>'RATIO ANALYSIS'!F4</f>
        <v>1</v>
      </c>
      <c r="H8" s="80"/>
      <c r="I8" s="16" t="str">
        <f>'RATIO ANALYSIS'!H4</f>
        <v>Dividend Per share</v>
      </c>
      <c r="J8" s="16">
        <f>'RATIO ANALYSIS'!I4</f>
        <v>5</v>
      </c>
      <c r="K8" s="29"/>
      <c r="N8" s="253" t="str">
        <f>'KPI VARIABLES'!F5</f>
        <v>Return on Assets</v>
      </c>
      <c r="O8" s="248"/>
      <c r="P8" s="164">
        <v>0.2</v>
      </c>
      <c r="Q8" s="165">
        <f>P8*'KPI VARIABLES'!G11</f>
        <v>2</v>
      </c>
      <c r="R8" s="165">
        <f>P8*'KPI VARIABLES'!G11</f>
        <v>2</v>
      </c>
      <c r="S8" s="164">
        <f>Q8/R8</f>
        <v>1</v>
      </c>
      <c r="U8" s="14" t="s">
        <v>55</v>
      </c>
      <c r="V8" s="14"/>
      <c r="W8" s="160">
        <v>0.2</v>
      </c>
      <c r="X8" s="170">
        <f>W8*'REQUIREMENTS KPIS'!G11</f>
        <v>2</v>
      </c>
      <c r="Y8" s="170">
        <f>W8*'REQUIREMENTS KPIS'!G12</f>
        <v>2</v>
      </c>
      <c r="Z8" s="210">
        <f>X8/Y8</f>
        <v>1</v>
      </c>
    </row>
    <row r="9" spans="2:26" x14ac:dyDescent="0.25">
      <c r="B9" s="16" t="str">
        <f>'RATIO ANALYSIS'!B5</f>
        <v>Return on Assets</v>
      </c>
      <c r="C9" s="16">
        <f>'RATIO ANALYSIS'!C5</f>
        <v>0.16682848993032839</v>
      </c>
      <c r="D9" s="80"/>
      <c r="E9" s="80"/>
      <c r="F9" s="16" t="str">
        <f>'RATIO ANALYSIS'!E5</f>
        <v>Debt to Equity Ratio</v>
      </c>
      <c r="G9" s="16">
        <f>'RATIO ANALYSIS'!F5</f>
        <v>0.47077651398912851</v>
      </c>
      <c r="H9" s="80"/>
      <c r="I9" s="16" t="str">
        <f>'RATIO ANALYSIS'!H5</f>
        <v>Dividend Yield Ratio</v>
      </c>
      <c r="J9" s="16">
        <f>'RATIO ANALYSIS'!I5</f>
        <v>5.0505050505050509E-3</v>
      </c>
      <c r="K9" s="29"/>
      <c r="N9" s="253" t="str">
        <f>'KPI VARIABLES'!B15</f>
        <v>Gross Profit Margin</v>
      </c>
      <c r="O9" s="248"/>
      <c r="P9" s="164">
        <v>0.4</v>
      </c>
      <c r="Q9" s="165">
        <f>P9*'KPI VARIABLES'!C21</f>
        <v>4</v>
      </c>
      <c r="R9" s="165">
        <f>P9*'KPI VARIABLES'!C21</f>
        <v>4</v>
      </c>
      <c r="S9" s="164">
        <f>IFERROR(Q9/R9,0)</f>
        <v>1</v>
      </c>
      <c r="U9" s="14" t="s">
        <v>56</v>
      </c>
      <c r="V9" s="14"/>
      <c r="W9" s="160">
        <v>0.4</v>
      </c>
      <c r="X9" s="170">
        <f>W9*'REQUIREMENTS KPIS'!C21</f>
        <v>2</v>
      </c>
      <c r="Y9" s="170">
        <f>'REQUIREMENTS KPIS'!C22*W9</f>
        <v>4</v>
      </c>
      <c r="Z9" s="210">
        <f>X9/Y9</f>
        <v>0.5</v>
      </c>
    </row>
    <row r="10" spans="2:26" ht="15.75" thickBot="1" x14ac:dyDescent="0.3">
      <c r="B10" s="82" t="str">
        <f>'RATIO ANALYSIS'!B6</f>
        <v>Gross Profit Margin</v>
      </c>
      <c r="C10" s="82">
        <f>'RATIO ANALYSIS'!C6</f>
        <v>0.15788422532859464</v>
      </c>
      <c r="D10" s="80"/>
      <c r="E10" s="80"/>
      <c r="F10" s="82" t="str">
        <f>'RATIO ANALYSIS'!E6</f>
        <v>Intrest Coverage ratio</v>
      </c>
      <c r="G10" s="82">
        <f>'RATIO ANALYSIS'!F6</f>
        <v>0.32392413972356338</v>
      </c>
      <c r="H10" s="80"/>
      <c r="I10" s="16" t="str">
        <f>'RATIO ANALYSIS'!H6</f>
        <v>Earnings Per share</v>
      </c>
      <c r="J10" s="16">
        <f>'RATIO ANALYSIS'!I6</f>
        <v>20.794947368421052</v>
      </c>
      <c r="K10" s="29"/>
      <c r="N10" s="254"/>
      <c r="O10" s="255"/>
      <c r="P10" s="164"/>
      <c r="Q10" s="165" t="s">
        <v>395</v>
      </c>
      <c r="R10" s="165"/>
      <c r="S10" s="164"/>
      <c r="U10" s="247"/>
      <c r="V10" s="248"/>
      <c r="W10" s="160"/>
      <c r="X10" s="170" t="s">
        <v>395</v>
      </c>
      <c r="Y10" s="170"/>
      <c r="Z10" s="210"/>
    </row>
    <row r="11" spans="2:26" ht="16.5" thickTop="1" thickBot="1" x14ac:dyDescent="0.3">
      <c r="B11" s="94" t="s">
        <v>347</v>
      </c>
      <c r="C11" s="83">
        <f>SUM(C8:C10)</f>
        <v>0.58686535077523616</v>
      </c>
      <c r="D11" s="85"/>
      <c r="E11" s="80"/>
      <c r="F11" s="86" t="s">
        <v>347</v>
      </c>
      <c r="G11" s="86">
        <f>SUM(G8:G10)</f>
        <v>1.7947006537126917</v>
      </c>
      <c r="H11" s="80"/>
      <c r="I11" s="16" t="str">
        <f>'RATIO ANALYSIS'!H7</f>
        <v>P/E Ratio</v>
      </c>
      <c r="J11" s="16">
        <f>'RATIO ANALYSIS'!I7</f>
        <v>47.607718474123267</v>
      </c>
      <c r="K11" s="29"/>
      <c r="N11" s="256" t="s">
        <v>396</v>
      </c>
      <c r="O11" s="257"/>
      <c r="P11" s="40">
        <f>SUM(P7:P9)</f>
        <v>1</v>
      </c>
      <c r="Q11" s="166">
        <f>IFERROR(SUM(Q7:Q10),0)</f>
        <v>10</v>
      </c>
      <c r="R11" s="167">
        <f>SUM(R7:R10)</f>
        <v>10</v>
      </c>
      <c r="S11" s="40">
        <f>IFERROR(Q11/R11,0)</f>
        <v>1</v>
      </c>
      <c r="U11" s="245" t="s">
        <v>396</v>
      </c>
      <c r="V11" s="246"/>
      <c r="W11" s="174">
        <f>SUM(W7:W10)</f>
        <v>1</v>
      </c>
      <c r="X11" s="175">
        <f>SUM(X7:X10)</f>
        <v>6</v>
      </c>
      <c r="Y11" s="177">
        <f>SUM(Y7:Y9)</f>
        <v>10</v>
      </c>
      <c r="Z11" s="211">
        <f>X11/Y11</f>
        <v>0.6</v>
      </c>
    </row>
    <row r="12" spans="2:26" ht="15.75" thickTop="1" x14ac:dyDescent="0.25">
      <c r="B12" s="95"/>
      <c r="C12" s="80"/>
      <c r="D12" s="80"/>
      <c r="E12" s="80"/>
      <c r="H12" s="80"/>
      <c r="I12" s="16" t="str">
        <f>'RATIO ANALYSIS'!H8</f>
        <v>Book Value</v>
      </c>
      <c r="J12" s="16">
        <f>'RATIO ANALYSIS'!I8</f>
        <v>78.650000000000006</v>
      </c>
      <c r="K12" s="29"/>
      <c r="N12" s="207"/>
      <c r="S12" s="29"/>
      <c r="U12" s="28"/>
      <c r="Z12" s="208"/>
    </row>
    <row r="13" spans="2:26" ht="15.75" thickBot="1" x14ac:dyDescent="0.3">
      <c r="B13" s="94" t="str">
        <f>'RATIO ANALYSIS'!B8</f>
        <v>Liquidity Ratios</v>
      </c>
      <c r="C13" s="97">
        <f>1/3</f>
        <v>0.33333333333333331</v>
      </c>
      <c r="D13" s="80"/>
      <c r="E13" s="80"/>
      <c r="H13" s="80"/>
      <c r="I13" s="82" t="str">
        <f>'RATIO ANALYSIS'!H9</f>
        <v>P/B Ratio</v>
      </c>
      <c r="J13" s="82">
        <f>'RATIO ANALYSIS'!I9</f>
        <v>12.587412587412587</v>
      </c>
      <c r="K13" s="29"/>
      <c r="N13" s="264" t="s">
        <v>57</v>
      </c>
      <c r="O13" s="265"/>
      <c r="P13" s="163" t="s">
        <v>394</v>
      </c>
      <c r="Q13" s="163" t="s">
        <v>330</v>
      </c>
      <c r="R13" s="163" t="s">
        <v>350</v>
      </c>
      <c r="S13" s="163" t="s">
        <v>390</v>
      </c>
      <c r="U13" s="18" t="s">
        <v>57</v>
      </c>
      <c r="V13" s="14"/>
      <c r="W13" s="172" t="s">
        <v>394</v>
      </c>
      <c r="X13" s="172" t="s">
        <v>330</v>
      </c>
      <c r="Y13" s="172" t="s">
        <v>350</v>
      </c>
      <c r="Z13" s="212" t="s">
        <v>390</v>
      </c>
    </row>
    <row r="14" spans="2:26" ht="16.5" thickTop="1" thickBot="1" x14ac:dyDescent="0.3">
      <c r="B14" s="96"/>
      <c r="C14" s="80"/>
      <c r="D14" s="80"/>
      <c r="E14" s="80"/>
      <c r="F14" s="83" t="str">
        <f>'RATIO ANALYSIS'!E8</f>
        <v>Efficiency Ratios</v>
      </c>
      <c r="G14" s="97">
        <f>1/2</f>
        <v>0.5</v>
      </c>
      <c r="H14" s="80"/>
      <c r="I14" s="83" t="s">
        <v>347</v>
      </c>
      <c r="J14" s="83">
        <f>SUM(J8:J13)</f>
        <v>164.64512893500742</v>
      </c>
      <c r="K14" s="29"/>
      <c r="N14" s="253" t="s">
        <v>58</v>
      </c>
      <c r="O14" s="248"/>
      <c r="P14" s="164">
        <v>0.4</v>
      </c>
      <c r="Q14" s="165">
        <f>P14*'KPI VARIABLES'!K11</f>
        <v>2</v>
      </c>
      <c r="R14" s="165">
        <f>P14*'KPI VARIABLES'!K12</f>
        <v>4</v>
      </c>
      <c r="S14" s="164">
        <f>Q14/R14</f>
        <v>0.5</v>
      </c>
      <c r="U14" s="14" t="s">
        <v>58</v>
      </c>
      <c r="V14" s="14"/>
      <c r="W14" s="160">
        <v>0.4</v>
      </c>
      <c r="X14" s="170">
        <f>W14*'REQUIREMENTS KPIS'!K11</f>
        <v>2</v>
      </c>
      <c r="Y14" s="170">
        <f>W14*'REQUIREMENTS KPIS'!K12</f>
        <v>4</v>
      </c>
      <c r="Z14" s="210">
        <f>X14/Y14</f>
        <v>0.5</v>
      </c>
    </row>
    <row r="15" spans="2:26" ht="15.75" thickTop="1" x14ac:dyDescent="0.25">
      <c r="B15" s="81" t="s">
        <v>346</v>
      </c>
      <c r="C15" s="81" t="s">
        <v>330</v>
      </c>
      <c r="D15" s="84"/>
      <c r="E15" s="80"/>
      <c r="F15" s="81" t="s">
        <v>346</v>
      </c>
      <c r="G15" s="81" t="s">
        <v>330</v>
      </c>
      <c r="H15" s="80"/>
      <c r="I15" s="80"/>
      <c r="J15" s="80"/>
      <c r="K15" s="29"/>
      <c r="N15" s="253" t="s">
        <v>59</v>
      </c>
      <c r="O15" s="248"/>
      <c r="P15" s="164">
        <v>0.2</v>
      </c>
      <c r="Q15" s="165">
        <f>P15*'KPI VARIABLES'!K21</f>
        <v>1</v>
      </c>
      <c r="R15" s="165">
        <f>P15*'KPI VARIABLES'!K22</f>
        <v>2</v>
      </c>
      <c r="S15" s="164">
        <f>Q15/R15</f>
        <v>0.5</v>
      </c>
      <c r="U15" s="14" t="s">
        <v>59</v>
      </c>
      <c r="V15" s="14"/>
      <c r="W15" s="160">
        <v>0.2</v>
      </c>
      <c r="X15" s="170">
        <f>W15*'REQUIREMENTS KPIS'!K21</f>
        <v>1</v>
      </c>
      <c r="Y15" s="170">
        <f>W15*'REQUIREMENTS KPIS'!K22</f>
        <v>2</v>
      </c>
      <c r="Z15" s="210">
        <f>X15/Y15</f>
        <v>0.5</v>
      </c>
    </row>
    <row r="16" spans="2:26" x14ac:dyDescent="0.25">
      <c r="B16" s="16" t="str">
        <f>'RATIO ANALYSIS'!B10</f>
        <v>Current Ratio</v>
      </c>
      <c r="C16" s="16">
        <f>'RATIO ANALYSIS'!C10</f>
        <v>0.70787150053006642</v>
      </c>
      <c r="D16" s="80"/>
      <c r="E16" s="80"/>
      <c r="F16" s="16" t="str">
        <f>'RATIO ANALYSIS'!E10</f>
        <v>Asset Turnover ratio</v>
      </c>
      <c r="G16" s="16">
        <f>'RATIO ANALYSIS'!F10</f>
        <v>1.59683782756401</v>
      </c>
      <c r="H16" s="80"/>
      <c r="I16" s="80"/>
      <c r="J16" s="80"/>
      <c r="K16" s="118"/>
      <c r="L16" s="80"/>
      <c r="N16" s="253" t="s">
        <v>60</v>
      </c>
      <c r="O16" s="248"/>
      <c r="P16" s="164">
        <v>0.4</v>
      </c>
      <c r="Q16" s="165">
        <f>P16*'KPI VARIABLES'!O11</f>
        <v>4</v>
      </c>
      <c r="R16" s="165">
        <f>P16*'KPI VARIABLES'!O12</f>
        <v>4</v>
      </c>
      <c r="S16" s="164">
        <f>IFERROR(Q16/R16,0)</f>
        <v>1</v>
      </c>
      <c r="U16" s="14" t="s">
        <v>60</v>
      </c>
      <c r="V16" s="14"/>
      <c r="W16" s="160">
        <v>0.4</v>
      </c>
      <c r="X16" s="170">
        <f>W16*'REQUIREMENTS KPIS'!O11</f>
        <v>4</v>
      </c>
      <c r="Y16" s="170">
        <f>'REQUIREMENTS KPIS'!O12*W16</f>
        <v>4</v>
      </c>
      <c r="Z16" s="210">
        <f>X16/Y16</f>
        <v>1</v>
      </c>
    </row>
    <row r="17" spans="2:26" ht="15.75" thickBot="1" x14ac:dyDescent="0.3">
      <c r="B17" s="16" t="str">
        <f>'RATIO ANALYSIS'!B11</f>
        <v>Quick Ratio</v>
      </c>
      <c r="C17" s="16">
        <f>'RATIO ANALYSIS'!C11</f>
        <v>0.52196628680801416</v>
      </c>
      <c r="D17" s="80"/>
      <c r="E17" s="80"/>
      <c r="F17" s="82" t="str">
        <f>'RATIO ANALYSIS'!E11</f>
        <v>Inventory Turnover ratio</v>
      </c>
      <c r="G17" s="82">
        <f>'RATIO ANALYSIS'!F11</f>
        <v>20.233701841102569</v>
      </c>
      <c r="H17" s="80"/>
      <c r="I17" s="80"/>
      <c r="J17" s="80"/>
      <c r="K17" s="118"/>
      <c r="L17" s="80"/>
      <c r="N17" s="254"/>
      <c r="O17" s="255"/>
      <c r="P17" s="164"/>
      <c r="Q17" s="165" t="s">
        <v>395</v>
      </c>
      <c r="R17" s="165"/>
      <c r="S17" s="164"/>
      <c r="U17" s="247"/>
      <c r="V17" s="248"/>
      <c r="W17" s="160"/>
      <c r="X17" s="170" t="s">
        <v>395</v>
      </c>
      <c r="Y17" s="170"/>
      <c r="Z17" s="210"/>
    </row>
    <row r="18" spans="2:26" ht="16.5" thickTop="1" thickBot="1" x14ac:dyDescent="0.3">
      <c r="B18" s="82" t="str">
        <f>'RATIO ANALYSIS'!B12</f>
        <v>Cash Ratio</v>
      </c>
      <c r="C18" s="82">
        <f>'RATIO ANALYSIS'!C12</f>
        <v>0.1791828244534476</v>
      </c>
      <c r="D18" s="80"/>
      <c r="F18" s="86" t="s">
        <v>347</v>
      </c>
      <c r="G18" s="86">
        <f>SUM(G15:G17)</f>
        <v>21.830539668666578</v>
      </c>
      <c r="K18" s="29"/>
      <c r="N18" s="256" t="s">
        <v>396</v>
      </c>
      <c r="O18" s="257"/>
      <c r="P18" s="40">
        <f>SUM(P14:P16)</f>
        <v>1</v>
      </c>
      <c r="Q18" s="166">
        <f>IFERROR(SUM(Q14:Q17),0)</f>
        <v>7</v>
      </c>
      <c r="R18" s="167">
        <f>SUM(R14:R17)</f>
        <v>10</v>
      </c>
      <c r="S18" s="40">
        <f>IFERROR(Q18/R18,0)</f>
        <v>0.7</v>
      </c>
      <c r="U18" s="245" t="s">
        <v>396</v>
      </c>
      <c r="V18" s="246"/>
      <c r="W18" s="174">
        <v>1</v>
      </c>
      <c r="X18" s="175">
        <v>7</v>
      </c>
      <c r="Y18" s="177">
        <v>10</v>
      </c>
      <c r="Z18" s="211">
        <v>0.7</v>
      </c>
    </row>
    <row r="19" spans="2:26" ht="16.5" thickTop="1" thickBot="1" x14ac:dyDescent="0.3">
      <c r="B19" s="94" t="s">
        <v>347</v>
      </c>
      <c r="C19" s="83">
        <f>SUM(C16:C18)</f>
        <v>1.4090206117915283</v>
      </c>
      <c r="K19" s="29"/>
      <c r="N19" s="207"/>
      <c r="S19" s="29"/>
      <c r="U19" s="28"/>
      <c r="Z19" s="208"/>
    </row>
    <row r="20" spans="2:26" ht="15.75" thickTop="1" x14ac:dyDescent="0.25">
      <c r="B20" s="31"/>
      <c r="C20" s="32"/>
      <c r="D20" s="32"/>
      <c r="E20" s="32"/>
      <c r="F20" s="32"/>
      <c r="G20" s="32"/>
      <c r="H20" s="32"/>
      <c r="I20" s="32"/>
      <c r="J20" s="32"/>
      <c r="K20" s="33"/>
      <c r="N20" s="264" t="s">
        <v>61</v>
      </c>
      <c r="O20" s="265"/>
      <c r="P20" s="163" t="s">
        <v>394</v>
      </c>
      <c r="Q20" s="163" t="s">
        <v>330</v>
      </c>
      <c r="R20" s="163" t="s">
        <v>350</v>
      </c>
      <c r="S20" s="163" t="s">
        <v>390</v>
      </c>
      <c r="U20" s="18" t="s">
        <v>61</v>
      </c>
      <c r="V20" s="14"/>
      <c r="W20" s="172" t="s">
        <v>394</v>
      </c>
      <c r="X20" s="172" t="s">
        <v>330</v>
      </c>
      <c r="Y20" s="172" t="s">
        <v>350</v>
      </c>
      <c r="Z20" s="212" t="s">
        <v>390</v>
      </c>
    </row>
    <row r="21" spans="2:26" x14ac:dyDescent="0.25">
      <c r="N21" s="253" t="s">
        <v>62</v>
      </c>
      <c r="O21" s="248"/>
      <c r="P21" s="164">
        <v>0.1</v>
      </c>
      <c r="Q21" s="165">
        <f>P21*'KPI VARIABLES'!S11</f>
        <v>0.5</v>
      </c>
      <c r="R21" s="165">
        <f>P21*'KPI VARIABLES'!S12</f>
        <v>1</v>
      </c>
      <c r="S21" s="164">
        <f>Q21/R21</f>
        <v>0.5</v>
      </c>
      <c r="U21" s="14" t="s">
        <v>62</v>
      </c>
      <c r="V21" s="14"/>
      <c r="W21" s="160">
        <v>0.1</v>
      </c>
      <c r="X21" s="170">
        <f>W21*'REQUIREMENTS KPIS'!S11</f>
        <v>0.5</v>
      </c>
      <c r="Y21" s="170">
        <f>W21*'REQUIREMENTS KPIS'!S12</f>
        <v>1</v>
      </c>
      <c r="Z21" s="210">
        <f>X21/Y21</f>
        <v>0.5</v>
      </c>
    </row>
    <row r="22" spans="2:26" x14ac:dyDescent="0.25">
      <c r="B22" s="249" t="s">
        <v>349</v>
      </c>
      <c r="C22" s="250"/>
      <c r="D22" s="250"/>
      <c r="E22" s="250"/>
      <c r="F22" s="250"/>
      <c r="G22" s="250"/>
      <c r="H22" s="251"/>
      <c r="N22" s="253" t="s">
        <v>64</v>
      </c>
      <c r="O22" s="248"/>
      <c r="P22" s="164">
        <v>0.6</v>
      </c>
      <c r="Q22" s="165">
        <f>P22*'KPI VARIABLES'!W11</f>
        <v>6</v>
      </c>
      <c r="R22" s="165">
        <f>P22*'KPI VARIABLES'!W12</f>
        <v>6</v>
      </c>
      <c r="S22" s="164">
        <f>Q22/R22</f>
        <v>1</v>
      </c>
      <c r="U22" s="14" t="s">
        <v>64</v>
      </c>
      <c r="V22" s="14"/>
      <c r="W22" s="160">
        <v>0.6</v>
      </c>
      <c r="X22" s="170">
        <f>W22*'REQUIREMENTS KPIS'!W11</f>
        <v>6</v>
      </c>
      <c r="Y22" s="170">
        <f>W22*'REQUIREMENTS KPIS'!W12</f>
        <v>6</v>
      </c>
      <c r="Z22" s="210">
        <f>X22/Y22</f>
        <v>1</v>
      </c>
    </row>
    <row r="23" spans="2:26" x14ac:dyDescent="0.25">
      <c r="B23" s="114">
        <f>1/COUNT(C25:C29)</f>
        <v>0.2</v>
      </c>
      <c r="C23" s="252" t="s">
        <v>362</v>
      </c>
      <c r="D23" s="252"/>
      <c r="E23" s="252"/>
      <c r="F23" s="252" t="s">
        <v>363</v>
      </c>
      <c r="G23" s="252"/>
      <c r="H23" s="64" t="s">
        <v>330</v>
      </c>
      <c r="N23" s="253" t="s">
        <v>63</v>
      </c>
      <c r="O23" s="248"/>
      <c r="P23" s="164">
        <v>0.3</v>
      </c>
      <c r="Q23" s="165">
        <f>P23*'KPI VARIABLES'!S21</f>
        <v>1.5</v>
      </c>
      <c r="R23" s="165">
        <f>P23*'KPI VARIABLES'!S22</f>
        <v>3</v>
      </c>
      <c r="S23" s="164">
        <f>IFERROR(Q23/R23,0)</f>
        <v>0.5</v>
      </c>
      <c r="U23" s="14" t="s">
        <v>63</v>
      </c>
      <c r="V23" s="14"/>
      <c r="W23" s="160">
        <v>0.3</v>
      </c>
      <c r="X23" s="170">
        <f>W23*'REQUIREMENTS KPIS'!S21</f>
        <v>1.5</v>
      </c>
      <c r="Y23" s="170">
        <f>'REQUIREMENTS KPIS'!S22*W23</f>
        <v>3</v>
      </c>
      <c r="Z23" s="210">
        <f>X23/Y23</f>
        <v>0.5</v>
      </c>
    </row>
    <row r="24" spans="2:26" ht="15.75" thickBot="1" x14ac:dyDescent="0.3">
      <c r="B24" s="140" t="s">
        <v>360</v>
      </c>
      <c r="C24" s="140" t="s">
        <v>330</v>
      </c>
      <c r="D24" s="141" t="s">
        <v>350</v>
      </c>
      <c r="E24" s="141" t="s">
        <v>330</v>
      </c>
      <c r="F24" s="141" t="s">
        <v>348</v>
      </c>
      <c r="G24" s="141" t="s">
        <v>330</v>
      </c>
      <c r="H24" s="141" t="s">
        <v>350</v>
      </c>
      <c r="I24" s="79"/>
      <c r="J24" s="79"/>
      <c r="K24" s="79"/>
      <c r="L24" s="79"/>
      <c r="N24" s="254"/>
      <c r="O24" s="255"/>
      <c r="P24" s="164"/>
      <c r="Q24" s="165" t="s">
        <v>395</v>
      </c>
      <c r="R24" s="165"/>
      <c r="S24" s="164"/>
      <c r="U24" s="247"/>
      <c r="V24" s="248"/>
      <c r="W24" s="160"/>
      <c r="X24" s="170" t="s">
        <v>395</v>
      </c>
      <c r="Y24" s="170"/>
      <c r="Z24" s="210"/>
    </row>
    <row r="25" spans="2:26" x14ac:dyDescent="0.25">
      <c r="B25" s="134" t="s">
        <v>325</v>
      </c>
      <c r="C25" s="135">
        <f>Q11</f>
        <v>10</v>
      </c>
      <c r="D25" s="136">
        <f>R11</f>
        <v>10</v>
      </c>
      <c r="E25" s="138">
        <f t="shared" ref="E25:E30" si="0">C25/D25</f>
        <v>1</v>
      </c>
      <c r="F25" s="138">
        <v>0.23456730074340407</v>
      </c>
      <c r="G25" s="139">
        <f>C25*F25</f>
        <v>2.3456730074340406</v>
      </c>
      <c r="H25" s="137">
        <f>D25*F25</f>
        <v>2.3456730074340406</v>
      </c>
      <c r="M25" s="79"/>
      <c r="N25" s="256" t="s">
        <v>396</v>
      </c>
      <c r="O25" s="257"/>
      <c r="P25" s="40">
        <f>SUM(P21:P23)</f>
        <v>1</v>
      </c>
      <c r="Q25" s="166">
        <f>IFERROR(SUM(Q21:Q24),0)</f>
        <v>8</v>
      </c>
      <c r="R25" s="167">
        <f>SUM(R21:R24)</f>
        <v>10</v>
      </c>
      <c r="S25" s="40">
        <f>IFERROR(Q25/R25,0)</f>
        <v>0.8</v>
      </c>
      <c r="U25" s="245" t="s">
        <v>396</v>
      </c>
      <c r="V25" s="246"/>
      <c r="W25" s="176">
        <f>SUM(W21:W24)</f>
        <v>1</v>
      </c>
      <c r="X25" s="177">
        <f>SUM(X21:X24)</f>
        <v>8</v>
      </c>
      <c r="Y25" s="177">
        <f>SUM(Y21:Y24)</f>
        <v>10</v>
      </c>
      <c r="Z25" s="213">
        <f>X25/Y25</f>
        <v>0.8</v>
      </c>
    </row>
    <row r="26" spans="2:26" s="79" customFormat="1" x14ac:dyDescent="0.25">
      <c r="B26" s="62" t="s">
        <v>326</v>
      </c>
      <c r="C26" s="125">
        <f>Q18</f>
        <v>7</v>
      </c>
      <c r="D26" s="127">
        <f>R18</f>
        <v>10</v>
      </c>
      <c r="E26" s="126">
        <f t="shared" si="0"/>
        <v>0.7</v>
      </c>
      <c r="F26" s="126">
        <v>0.14444422775434329</v>
      </c>
      <c r="G26" s="71">
        <f t="shared" ref="G26:G29" si="1">C26*F26</f>
        <v>1.0111095942804029</v>
      </c>
      <c r="H26" s="128">
        <f t="shared" ref="H26:H29" si="2">D26*F26</f>
        <v>1.4444422775434329</v>
      </c>
      <c r="I26"/>
      <c r="J26"/>
      <c r="K26"/>
      <c r="L26"/>
      <c r="M26"/>
      <c r="N26" s="207"/>
      <c r="O26"/>
      <c r="P26"/>
      <c r="Q26"/>
      <c r="R26"/>
      <c r="S26" s="29"/>
      <c r="U26" s="28"/>
      <c r="V26"/>
      <c r="W26"/>
      <c r="X26"/>
      <c r="Y26"/>
      <c r="Z26" s="208"/>
    </row>
    <row r="27" spans="2:26" x14ac:dyDescent="0.25">
      <c r="B27" s="62" t="s">
        <v>327</v>
      </c>
      <c r="C27" s="125">
        <f>Q25</f>
        <v>8</v>
      </c>
      <c r="D27" s="127">
        <f>R25</f>
        <v>10</v>
      </c>
      <c r="E27" s="126">
        <f t="shared" si="0"/>
        <v>0.8</v>
      </c>
      <c r="F27" s="126">
        <v>9.7530768093188558E-2</v>
      </c>
      <c r="G27" s="71">
        <f t="shared" si="1"/>
        <v>0.78024614474550846</v>
      </c>
      <c r="H27" s="128">
        <f t="shared" si="2"/>
        <v>0.97530768093188558</v>
      </c>
      <c r="N27" s="264" t="str">
        <f>'KPI VARIABLES'!B25</f>
        <v>Efficiency Ratios</v>
      </c>
      <c r="O27" s="265"/>
      <c r="P27" s="163" t="s">
        <v>394</v>
      </c>
      <c r="Q27" s="163" t="s">
        <v>330</v>
      </c>
      <c r="R27" s="163" t="s">
        <v>350</v>
      </c>
      <c r="S27" s="163" t="s">
        <v>390</v>
      </c>
      <c r="U27" s="18" t="s">
        <v>65</v>
      </c>
      <c r="V27" s="14"/>
      <c r="W27" s="172" t="s">
        <v>394</v>
      </c>
      <c r="X27" s="172" t="s">
        <v>330</v>
      </c>
      <c r="Y27" s="172" t="s">
        <v>350</v>
      </c>
      <c r="Z27" s="212" t="s">
        <v>390</v>
      </c>
    </row>
    <row r="28" spans="2:26" x14ac:dyDescent="0.25">
      <c r="B28" s="62" t="s">
        <v>328</v>
      </c>
      <c r="C28" s="125">
        <f>Q32</f>
        <v>10</v>
      </c>
      <c r="D28" s="127">
        <f>R32</f>
        <v>10</v>
      </c>
      <c r="E28" s="126">
        <f t="shared" si="0"/>
        <v>1</v>
      </c>
      <c r="F28" s="126">
        <v>0.14259230417312466</v>
      </c>
      <c r="G28" s="71">
        <f t="shared" si="1"/>
        <v>1.4259230417312465</v>
      </c>
      <c r="H28" s="128">
        <f t="shared" si="2"/>
        <v>1.4259230417312465</v>
      </c>
      <c r="N28" s="253" t="str">
        <f>'KPI VARIABLES'!B26</f>
        <v>Asset Turnover ratio</v>
      </c>
      <c r="O28" s="248"/>
      <c r="P28" s="164">
        <v>0.6</v>
      </c>
      <c r="Q28" s="165">
        <f>P28*'KPI VARIABLES'!C32</f>
        <v>6</v>
      </c>
      <c r="R28" s="165">
        <f>P28*'KPI VARIABLES'!C33</f>
        <v>6</v>
      </c>
      <c r="S28" s="164">
        <f>Q28/R28</f>
        <v>1</v>
      </c>
      <c r="U28" s="14" t="s">
        <v>66</v>
      </c>
      <c r="V28" s="14"/>
      <c r="W28" s="160">
        <v>0.6</v>
      </c>
      <c r="X28" s="170">
        <f>W28*'REQUIREMENTS KPIS'!C32</f>
        <v>6</v>
      </c>
      <c r="Y28" s="170">
        <f>W28*'REQUIREMENTS KPIS'!C33</f>
        <v>6</v>
      </c>
      <c r="Z28" s="210">
        <f>X28/Y28</f>
        <v>1</v>
      </c>
    </row>
    <row r="29" spans="2:26" x14ac:dyDescent="0.25">
      <c r="B29" s="62" t="s">
        <v>329</v>
      </c>
      <c r="C29" s="125">
        <f>Q42</f>
        <v>6</v>
      </c>
      <c r="D29" s="127">
        <f>R42</f>
        <v>10</v>
      </c>
      <c r="E29" s="126">
        <f t="shared" si="0"/>
        <v>0.6</v>
      </c>
      <c r="F29" s="126">
        <v>0.38086540031349042</v>
      </c>
      <c r="G29" s="71">
        <f t="shared" si="1"/>
        <v>2.2851924018809426</v>
      </c>
      <c r="H29" s="128">
        <f t="shared" si="2"/>
        <v>3.8086540031349041</v>
      </c>
      <c r="N29" s="253" t="str">
        <f>'KPI VARIABLES'!F26</f>
        <v>Inventory Turnover ratio</v>
      </c>
      <c r="O29" s="248"/>
      <c r="P29" s="164">
        <v>0.4</v>
      </c>
      <c r="Q29" s="165">
        <f>P29*'KPI VARIABLES'!G32</f>
        <v>4</v>
      </c>
      <c r="R29" s="165">
        <f>P29*'KPI VARIABLES'!G33</f>
        <v>4</v>
      </c>
      <c r="S29" s="164">
        <f>Q29/R29</f>
        <v>1</v>
      </c>
      <c r="U29" s="14" t="s">
        <v>67</v>
      </c>
      <c r="V29" s="14"/>
      <c r="W29" s="160">
        <v>0.4</v>
      </c>
      <c r="X29" s="170">
        <f>W29*'REQUIREMENTS KPIS'!G32</f>
        <v>4</v>
      </c>
      <c r="Y29" s="170">
        <f>W29*'REQUIREMENTS KPIS'!G33</f>
        <v>4</v>
      </c>
      <c r="Z29" s="210">
        <f>X29/Y29</f>
        <v>1</v>
      </c>
    </row>
    <row r="30" spans="2:26" x14ac:dyDescent="0.25">
      <c r="B30" s="87" t="s">
        <v>347</v>
      </c>
      <c r="C30" s="125">
        <f>SUM(C25:C29)</f>
        <v>41</v>
      </c>
      <c r="D30" s="88">
        <f>SUM(D25:D29)</f>
        <v>50</v>
      </c>
      <c r="E30" s="113">
        <f t="shared" si="0"/>
        <v>0.82</v>
      </c>
      <c r="F30" s="113">
        <f>SUM(F25:F29)</f>
        <v>1.0000000010775509</v>
      </c>
      <c r="G30" s="71">
        <f>SUM(G25:G29)</f>
        <v>7.8481441900721425</v>
      </c>
      <c r="H30" s="128">
        <f>SUM(H25:H29)</f>
        <v>10.00000001077551</v>
      </c>
      <c r="I30" s="13"/>
      <c r="N30" s="253"/>
      <c r="O30" s="248"/>
      <c r="P30" s="164"/>
      <c r="Q30" s="165"/>
      <c r="R30" s="165"/>
      <c r="S30" s="164"/>
      <c r="U30" s="247"/>
      <c r="V30" s="248"/>
      <c r="W30" s="160"/>
      <c r="X30" s="170"/>
      <c r="Y30" s="170"/>
      <c r="Z30" s="210"/>
    </row>
    <row r="31" spans="2:26" ht="15.75" thickBot="1" x14ac:dyDescent="0.3">
      <c r="B31" s="242" t="s">
        <v>364</v>
      </c>
      <c r="C31" s="243"/>
      <c r="D31" s="243"/>
      <c r="E31" s="243"/>
      <c r="F31" s="243"/>
      <c r="G31" s="244"/>
      <c r="H31" s="205">
        <f>G30/H30</f>
        <v>0.78481441816153663</v>
      </c>
      <c r="N31" s="254"/>
      <c r="O31" s="255"/>
      <c r="P31" s="164"/>
      <c r="Q31" s="165" t="s">
        <v>395</v>
      </c>
      <c r="R31" s="165"/>
      <c r="S31" s="164"/>
      <c r="U31" s="247"/>
      <c r="V31" s="248"/>
      <c r="W31" s="160"/>
      <c r="X31" s="170" t="s">
        <v>395</v>
      </c>
      <c r="Y31" s="170"/>
      <c r="Z31" s="210"/>
    </row>
    <row r="32" spans="2:26" ht="15.75" thickTop="1" x14ac:dyDescent="0.25">
      <c r="N32" s="256" t="s">
        <v>396</v>
      </c>
      <c r="O32" s="257"/>
      <c r="P32" s="40">
        <f>SUM(P28:P30)</f>
        <v>1</v>
      </c>
      <c r="Q32" s="166">
        <f>IFERROR(SUM(Q28:Q31),0)</f>
        <v>10</v>
      </c>
      <c r="R32" s="167">
        <f>SUM(R28:R31)</f>
        <v>10</v>
      </c>
      <c r="S32" s="40">
        <f>IFERROR(Q32/R32,0)</f>
        <v>1</v>
      </c>
      <c r="U32" s="245" t="s">
        <v>396</v>
      </c>
      <c r="V32" s="246"/>
      <c r="W32" s="176">
        <f>SUM(W28:W29)</f>
        <v>1</v>
      </c>
      <c r="X32" s="175">
        <f>SUM(X28:X29)</f>
        <v>10</v>
      </c>
      <c r="Y32" s="175">
        <f>SUM(Y28:Y29)</f>
        <v>10</v>
      </c>
      <c r="Z32" s="211">
        <f>X32/Y32</f>
        <v>1</v>
      </c>
    </row>
    <row r="33" spans="2:26" x14ac:dyDescent="0.25">
      <c r="B33" s="64" t="s">
        <v>388</v>
      </c>
      <c r="C33" s="152" t="s">
        <v>370</v>
      </c>
      <c r="D33" s="153" t="s">
        <v>387</v>
      </c>
      <c r="E33" s="153" t="s">
        <v>379</v>
      </c>
      <c r="F33" s="64" t="s">
        <v>388</v>
      </c>
      <c r="G33" s="64" t="s">
        <v>420</v>
      </c>
      <c r="N33" s="207"/>
      <c r="S33" s="29"/>
      <c r="U33" s="28"/>
      <c r="Z33" s="208"/>
    </row>
    <row r="34" spans="2:26" x14ac:dyDescent="0.25">
      <c r="B34" s="64">
        <v>5</v>
      </c>
      <c r="C34" s="53" t="s">
        <v>371</v>
      </c>
      <c r="D34" s="157">
        <v>0.85</v>
      </c>
      <c r="E34" s="150" t="s">
        <v>375</v>
      </c>
      <c r="F34" s="14">
        <f>IF($H$31&gt;D34,5,0)</f>
        <v>0</v>
      </c>
      <c r="G34" s="64">
        <f>MAX(F34:F38)</f>
        <v>4</v>
      </c>
      <c r="I34" t="s">
        <v>395</v>
      </c>
      <c r="N34" s="264" t="s">
        <v>68</v>
      </c>
      <c r="O34" s="265"/>
      <c r="P34" s="163" t="s">
        <v>394</v>
      </c>
      <c r="Q34" s="163" t="s">
        <v>330</v>
      </c>
      <c r="R34" s="163" t="s">
        <v>350</v>
      </c>
      <c r="S34" s="163" t="s">
        <v>390</v>
      </c>
      <c r="U34" s="18" t="s">
        <v>68</v>
      </c>
      <c r="V34" s="14"/>
      <c r="W34" s="173" t="s">
        <v>394</v>
      </c>
      <c r="X34" s="173" t="s">
        <v>330</v>
      </c>
      <c r="Y34" s="173" t="s">
        <v>350</v>
      </c>
      <c r="Z34" s="214" t="s">
        <v>390</v>
      </c>
    </row>
    <row r="35" spans="2:26" x14ac:dyDescent="0.25">
      <c r="B35" s="64">
        <v>4</v>
      </c>
      <c r="C35" s="53" t="s">
        <v>372</v>
      </c>
      <c r="D35" s="157">
        <v>0.75</v>
      </c>
      <c r="E35" s="150" t="s">
        <v>376</v>
      </c>
      <c r="F35" s="14">
        <f>IF($H$31&gt;D35,4,0)</f>
        <v>4</v>
      </c>
      <c r="G35" s="161" t="str">
        <f>VLOOKUP($G$34,B34:C38,2,FALSE)</f>
        <v>AA</v>
      </c>
      <c r="H35" s="79"/>
      <c r="N35" s="253" t="s">
        <v>70</v>
      </c>
      <c r="O35" s="248"/>
      <c r="P35" s="164">
        <v>0.2</v>
      </c>
      <c r="Q35" s="165">
        <f>P35*'KPI VARIABLES'!K32</f>
        <v>2</v>
      </c>
      <c r="R35" s="165">
        <f>P35*'KPI VARIABLES'!K33</f>
        <v>2</v>
      </c>
      <c r="S35" s="164">
        <f>Q35/R35</f>
        <v>1</v>
      </c>
      <c r="U35" s="14" t="s">
        <v>70</v>
      </c>
      <c r="V35" s="14"/>
      <c r="W35" s="160">
        <v>0.2</v>
      </c>
      <c r="X35" s="170">
        <f>W35*'REQUIREMENTS KPIS'!K32</f>
        <v>2</v>
      </c>
      <c r="Y35" s="170">
        <f>W35*'REQUIREMENTS KPIS'!K33</f>
        <v>2</v>
      </c>
      <c r="Z35" s="210">
        <f t="shared" ref="Z35:Z40" si="3">X35/Y35</f>
        <v>1</v>
      </c>
    </row>
    <row r="36" spans="2:26" x14ac:dyDescent="0.25">
      <c r="B36" s="64">
        <v>3</v>
      </c>
      <c r="C36" s="53" t="s">
        <v>373</v>
      </c>
      <c r="D36" s="157">
        <v>0.6</v>
      </c>
      <c r="E36" s="150" t="s">
        <v>377</v>
      </c>
      <c r="F36" s="14">
        <f>IF($H$31&gt;D36,3,0)</f>
        <v>3</v>
      </c>
      <c r="N36" s="253" t="s">
        <v>69</v>
      </c>
      <c r="O36" s="248"/>
      <c r="P36" s="164">
        <v>0.1</v>
      </c>
      <c r="Q36" s="165">
        <f>P36*'KPI VARIABLES'!O32</f>
        <v>0.5</v>
      </c>
      <c r="R36" s="165">
        <f>P36*'KPI VARIABLES'!O33</f>
        <v>1</v>
      </c>
      <c r="S36" s="164">
        <f>Q36/R36</f>
        <v>0.5</v>
      </c>
      <c r="U36" s="14" t="s">
        <v>69</v>
      </c>
      <c r="V36" s="14"/>
      <c r="W36" s="160">
        <v>0.1</v>
      </c>
      <c r="X36" s="170">
        <f>W36*'REQUIREMENTS KPIS'!O32</f>
        <v>0.5</v>
      </c>
      <c r="Y36" s="170">
        <f>W36*'REQUIREMENTS KPIS'!O33</f>
        <v>1</v>
      </c>
      <c r="Z36" s="210">
        <f t="shared" si="3"/>
        <v>0.5</v>
      </c>
    </row>
    <row r="37" spans="2:26" x14ac:dyDescent="0.25">
      <c r="B37" s="64">
        <v>2</v>
      </c>
      <c r="C37" s="53" t="s">
        <v>319</v>
      </c>
      <c r="D37" s="157">
        <v>0.5</v>
      </c>
      <c r="E37" s="150" t="s">
        <v>336</v>
      </c>
      <c r="F37" s="14">
        <f>IF($H$31&gt;D37,2,0)</f>
        <v>2</v>
      </c>
      <c r="N37" s="253" t="s">
        <v>281</v>
      </c>
      <c r="O37" s="248"/>
      <c r="P37" s="164">
        <v>0.35</v>
      </c>
      <c r="Q37" s="165">
        <f>P37*'KPI VARIABLES'!K42</f>
        <v>1.75</v>
      </c>
      <c r="R37" s="165">
        <f>P37*'KPI VARIABLES'!K43</f>
        <v>3.5</v>
      </c>
      <c r="S37" s="164">
        <f>IFERROR(Q37/R37,0)</f>
        <v>0.5</v>
      </c>
      <c r="U37" s="14" t="s">
        <v>281</v>
      </c>
      <c r="V37" s="14"/>
      <c r="W37" s="160">
        <v>0.35</v>
      </c>
      <c r="X37" s="170">
        <f>W37*'REQUIREMENTS KPIS'!K42</f>
        <v>1.75</v>
      </c>
      <c r="Y37" s="170">
        <f>W37*'REQUIREMENTS KPIS'!K43</f>
        <v>3.5</v>
      </c>
      <c r="Z37" s="210">
        <f t="shared" si="3"/>
        <v>0.5</v>
      </c>
    </row>
    <row r="38" spans="2:26" ht="15.75" thickBot="1" x14ac:dyDescent="0.3">
      <c r="B38" s="64">
        <v>1</v>
      </c>
      <c r="C38" s="57" t="s">
        <v>374</v>
      </c>
      <c r="D38" s="158">
        <v>0.5</v>
      </c>
      <c r="E38" s="151" t="s">
        <v>378</v>
      </c>
      <c r="F38" s="14">
        <f>IF($H$31&gt;D38,1,0)</f>
        <v>1</v>
      </c>
      <c r="N38" s="258" t="s">
        <v>282</v>
      </c>
      <c r="O38" s="259"/>
      <c r="P38" s="164">
        <v>0.2</v>
      </c>
      <c r="Q38" s="165">
        <f>P38*'KPI VARIABLES'!K52</f>
        <v>1</v>
      </c>
      <c r="R38" s="165">
        <f>P38*'KPI VARIABLES'!K53</f>
        <v>2</v>
      </c>
      <c r="S38" s="164">
        <f>IFERROR(Q38/R38,0)</f>
        <v>0.5</v>
      </c>
      <c r="U38" s="171" t="s">
        <v>282</v>
      </c>
      <c r="V38" s="171"/>
      <c r="W38" s="160">
        <v>0.2</v>
      </c>
      <c r="X38" s="170">
        <f>W38*'REQUIREMENTS KPIS'!K52</f>
        <v>1</v>
      </c>
      <c r="Y38" s="170">
        <f>W38*'REQUIREMENTS KPIS'!K53</f>
        <v>2</v>
      </c>
      <c r="Z38" s="210">
        <f t="shared" si="3"/>
        <v>0.5</v>
      </c>
    </row>
    <row r="39" spans="2:26" ht="15.75" thickTop="1" x14ac:dyDescent="0.25">
      <c r="N39" s="258" t="s">
        <v>340</v>
      </c>
      <c r="O39" s="259"/>
      <c r="P39" s="164">
        <v>0.05</v>
      </c>
      <c r="Q39" s="165">
        <f>P39*'KPI VARIABLES'!O52</f>
        <v>0.25</v>
      </c>
      <c r="R39" s="165">
        <f>P39*'KPI VARIABLES'!O53</f>
        <v>0.5</v>
      </c>
      <c r="S39" s="164">
        <f>IFERROR(Q39/R39,0)</f>
        <v>0.5</v>
      </c>
      <c r="U39" s="171" t="s">
        <v>340</v>
      </c>
      <c r="V39" s="171"/>
      <c r="W39" s="160">
        <v>0.05</v>
      </c>
      <c r="X39" s="170">
        <f>W39*'REQUIREMENTS KPIS'!O52</f>
        <v>0.25</v>
      </c>
      <c r="Y39" s="170">
        <f>W39*'REQUIREMENTS KPIS'!O53</f>
        <v>0.5</v>
      </c>
      <c r="Z39" s="210">
        <f t="shared" si="3"/>
        <v>0.5</v>
      </c>
    </row>
    <row r="40" spans="2:26" ht="15.75" thickBot="1" x14ac:dyDescent="0.3">
      <c r="B40" s="249" t="s">
        <v>397</v>
      </c>
      <c r="C40" s="250"/>
      <c r="D40" s="250"/>
      <c r="E40" s="250"/>
      <c r="F40" s="250"/>
      <c r="G40" s="250"/>
      <c r="H40" s="251"/>
      <c r="N40" s="260" t="s">
        <v>341</v>
      </c>
      <c r="O40" s="261"/>
      <c r="P40" s="168">
        <v>0.1</v>
      </c>
      <c r="Q40" s="165">
        <f>P40*'KPI VARIABLES'!K61</f>
        <v>0.5</v>
      </c>
      <c r="R40" s="165">
        <f>P40*'KPI VARIABLES'!K62</f>
        <v>1</v>
      </c>
      <c r="S40" s="164">
        <f>IFERROR(Q40/R40,0)</f>
        <v>0.5</v>
      </c>
      <c r="U40" s="171" t="s">
        <v>341</v>
      </c>
      <c r="V40" s="171"/>
      <c r="W40" s="160">
        <v>0.1</v>
      </c>
      <c r="X40" s="170">
        <f>W40*'REQUIREMENTS KPIS'!K61</f>
        <v>0.5</v>
      </c>
      <c r="Y40" s="170">
        <f>W40*'REQUIREMENTS KPIS'!K62</f>
        <v>1</v>
      </c>
      <c r="Z40" s="210">
        <f t="shared" si="3"/>
        <v>0.5</v>
      </c>
    </row>
    <row r="41" spans="2:26" ht="15.75" thickTop="1" x14ac:dyDescent="0.25">
      <c r="B41" s="114">
        <f>1/COUNT(C43:C47)</f>
        <v>0.2</v>
      </c>
      <c r="C41" s="252" t="s">
        <v>362</v>
      </c>
      <c r="D41" s="252"/>
      <c r="E41" s="252"/>
      <c r="F41" s="252" t="s">
        <v>363</v>
      </c>
      <c r="G41" s="252"/>
      <c r="H41" s="64" t="s">
        <v>330</v>
      </c>
      <c r="N41" s="254"/>
      <c r="O41" s="255"/>
      <c r="P41" s="164"/>
      <c r="Q41" s="165" t="s">
        <v>395</v>
      </c>
      <c r="R41" s="165"/>
      <c r="S41" s="164"/>
      <c r="U41" s="247"/>
      <c r="V41" s="248"/>
      <c r="W41" s="160"/>
      <c r="X41" s="170" t="s">
        <v>395</v>
      </c>
      <c r="Y41" s="170"/>
      <c r="Z41" s="210"/>
    </row>
    <row r="42" spans="2:26" ht="15.75" thickBot="1" x14ac:dyDescent="0.3">
      <c r="B42" s="57" t="s">
        <v>360</v>
      </c>
      <c r="C42" s="57" t="s">
        <v>330</v>
      </c>
      <c r="D42" s="203" t="s">
        <v>350</v>
      </c>
      <c r="E42" s="203" t="s">
        <v>330</v>
      </c>
      <c r="F42" s="203" t="s">
        <v>348</v>
      </c>
      <c r="G42" s="203" t="s">
        <v>330</v>
      </c>
      <c r="H42" s="203" t="s">
        <v>350</v>
      </c>
      <c r="N42" s="256" t="s">
        <v>396</v>
      </c>
      <c r="O42" s="257"/>
      <c r="P42" s="40">
        <f>SUM(P35:P40)</f>
        <v>1.0000000000000002</v>
      </c>
      <c r="Q42" s="166">
        <f>IFERROR(SUM(Q35:Q41),0)</f>
        <v>6</v>
      </c>
      <c r="R42" s="167">
        <f>SUM(R35:R41)</f>
        <v>10</v>
      </c>
      <c r="S42" s="40">
        <f>IFERROR(Q42/R42,0)</f>
        <v>0.6</v>
      </c>
      <c r="U42" s="245" t="s">
        <v>396</v>
      </c>
      <c r="V42" s="246"/>
      <c r="W42" s="174">
        <f>SUM(W35:W40)</f>
        <v>1.0000000000000002</v>
      </c>
      <c r="X42" s="175">
        <f>SUM(X35:X40)</f>
        <v>6</v>
      </c>
      <c r="Y42" s="175">
        <f>SUM(Y35:Y40)</f>
        <v>10</v>
      </c>
      <c r="Z42" s="211">
        <f>X42/Y42</f>
        <v>0.6</v>
      </c>
    </row>
    <row r="43" spans="2:26" ht="15.75" thickTop="1" x14ac:dyDescent="0.25">
      <c r="B43" s="134" t="s">
        <v>325</v>
      </c>
      <c r="C43" s="135">
        <f>X11</f>
        <v>6</v>
      </c>
      <c r="D43" s="136">
        <f>Y11</f>
        <v>10</v>
      </c>
      <c r="E43" s="138">
        <f t="shared" ref="E43:E48" si="4">C43/D43</f>
        <v>0.6</v>
      </c>
      <c r="F43" s="138">
        <v>0.23456730074340407</v>
      </c>
      <c r="G43" s="139">
        <f>C43*F43</f>
        <v>1.4074038044604245</v>
      </c>
      <c r="H43" s="137">
        <f>D43*F43</f>
        <v>2.3456730074340406</v>
      </c>
      <c r="N43" s="215"/>
      <c r="O43" s="32"/>
      <c r="P43" s="32"/>
      <c r="Q43" s="32"/>
      <c r="R43" s="32"/>
      <c r="S43" s="33"/>
      <c r="U43" s="31"/>
      <c r="V43" s="32"/>
      <c r="W43" s="32"/>
      <c r="X43" s="32"/>
      <c r="Y43" s="32"/>
      <c r="Z43" s="216"/>
    </row>
    <row r="44" spans="2:26" x14ac:dyDescent="0.25">
      <c r="B44" s="62" t="s">
        <v>326</v>
      </c>
      <c r="C44" s="125">
        <f>X18</f>
        <v>7</v>
      </c>
      <c r="D44" s="127">
        <f>Y18</f>
        <v>10</v>
      </c>
      <c r="E44" s="126">
        <f t="shared" si="4"/>
        <v>0.7</v>
      </c>
      <c r="F44" s="126">
        <v>0.14444422775434329</v>
      </c>
      <c r="G44" s="71">
        <f t="shared" ref="G44:G47" si="5">C44*F44</f>
        <v>1.0111095942804029</v>
      </c>
      <c r="H44" s="128">
        <f t="shared" ref="H44:H47" si="6">D44*F44</f>
        <v>1.4444422775434329</v>
      </c>
      <c r="N44" s="207"/>
      <c r="Z44" s="208"/>
    </row>
    <row r="45" spans="2:26" ht="15.75" thickBot="1" x14ac:dyDescent="0.3">
      <c r="B45" s="62" t="s">
        <v>327</v>
      </c>
      <c r="C45" s="125">
        <f>X25</f>
        <v>8</v>
      </c>
      <c r="D45" s="127">
        <f>Y25</f>
        <v>10</v>
      </c>
      <c r="E45" s="126">
        <f t="shared" si="4"/>
        <v>0.8</v>
      </c>
      <c r="F45" s="126">
        <v>9.7530768093188558E-2</v>
      </c>
      <c r="G45" s="71">
        <f t="shared" si="5"/>
        <v>0.78024614474550846</v>
      </c>
      <c r="H45" s="128">
        <f t="shared" si="6"/>
        <v>0.97530768093188558</v>
      </c>
      <c r="N45" s="217"/>
      <c r="O45" s="218"/>
      <c r="P45" s="218"/>
      <c r="Q45" s="218"/>
      <c r="R45" s="218"/>
      <c r="S45" s="218"/>
      <c r="T45" s="218"/>
      <c r="U45" s="218"/>
      <c r="V45" s="218"/>
      <c r="W45" s="218"/>
      <c r="X45" s="218"/>
      <c r="Y45" s="218"/>
      <c r="Z45" s="219"/>
    </row>
    <row r="46" spans="2:26" x14ac:dyDescent="0.25">
      <c r="B46" s="62" t="s">
        <v>328</v>
      </c>
      <c r="C46" s="125">
        <f>X32</f>
        <v>10</v>
      </c>
      <c r="D46" s="127">
        <f>Y32</f>
        <v>10</v>
      </c>
      <c r="E46" s="126">
        <f t="shared" si="4"/>
        <v>1</v>
      </c>
      <c r="F46" s="126">
        <v>0.14259230417312466</v>
      </c>
      <c r="G46" s="71">
        <f t="shared" si="5"/>
        <v>1.4259230417312465</v>
      </c>
      <c r="H46" s="128">
        <f t="shared" si="6"/>
        <v>1.4259230417312465</v>
      </c>
    </row>
    <row r="47" spans="2:26" x14ac:dyDescent="0.25">
      <c r="B47" s="62" t="s">
        <v>329</v>
      </c>
      <c r="C47" s="125">
        <f>X42</f>
        <v>6</v>
      </c>
      <c r="D47" s="127">
        <f>Y42</f>
        <v>10</v>
      </c>
      <c r="E47" s="126">
        <f t="shared" si="4"/>
        <v>0.6</v>
      </c>
      <c r="F47" s="126">
        <v>0.38086540031349042</v>
      </c>
      <c r="G47" s="71">
        <f t="shared" si="5"/>
        <v>2.2851924018809426</v>
      </c>
      <c r="H47" s="128">
        <f t="shared" si="6"/>
        <v>3.8086540031349041</v>
      </c>
    </row>
    <row r="48" spans="2:26" x14ac:dyDescent="0.25">
      <c r="B48" s="87" t="s">
        <v>347</v>
      </c>
      <c r="C48" s="125">
        <f>SUM(C43:C47)</f>
        <v>37</v>
      </c>
      <c r="D48" s="88">
        <f>SUM(D43:D47)</f>
        <v>50</v>
      </c>
      <c r="E48" s="113">
        <f t="shared" si="4"/>
        <v>0.74</v>
      </c>
      <c r="F48" s="113">
        <f>SUM(F43:F47)</f>
        <v>1.0000000010775509</v>
      </c>
      <c r="G48" s="71">
        <f>SUM(G43:G47)</f>
        <v>6.9098749870985259</v>
      </c>
      <c r="H48" s="128">
        <f>SUM(H43:H47)</f>
        <v>10.00000001077551</v>
      </c>
    </row>
    <row r="49" spans="2:8" ht="15.75" thickBot="1" x14ac:dyDescent="0.3">
      <c r="B49" s="242" t="s">
        <v>364</v>
      </c>
      <c r="C49" s="243"/>
      <c r="D49" s="243"/>
      <c r="E49" s="243"/>
      <c r="F49" s="243"/>
      <c r="G49" s="244"/>
      <c r="H49" s="205">
        <f>G48/H48</f>
        <v>0.69098749796527825</v>
      </c>
    </row>
    <row r="50" spans="2:8" ht="15.75" thickTop="1" x14ac:dyDescent="0.25"/>
    <row r="51" spans="2:8" x14ac:dyDescent="0.25">
      <c r="B51" s="153" t="s">
        <v>388</v>
      </c>
      <c r="C51" s="152" t="s">
        <v>370</v>
      </c>
      <c r="D51" s="153" t="s">
        <v>387</v>
      </c>
      <c r="E51" s="153" t="s">
        <v>379</v>
      </c>
      <c r="F51" s="153" t="s">
        <v>388</v>
      </c>
      <c r="G51" s="64" t="s">
        <v>420</v>
      </c>
    </row>
    <row r="52" spans="2:8" x14ac:dyDescent="0.25">
      <c r="B52" s="64">
        <v>5</v>
      </c>
      <c r="C52" s="53" t="s">
        <v>371</v>
      </c>
      <c r="D52" s="157">
        <v>0.85</v>
      </c>
      <c r="E52" s="150" t="s">
        <v>375</v>
      </c>
      <c r="F52" s="78">
        <f>IF($H$49&gt;D52,5,0)</f>
        <v>0</v>
      </c>
      <c r="G52" s="64">
        <f>MAX(F52:F56)</f>
        <v>3</v>
      </c>
    </row>
    <row r="53" spans="2:8" x14ac:dyDescent="0.25">
      <c r="B53" s="64">
        <v>4</v>
      </c>
      <c r="C53" s="53" t="s">
        <v>372</v>
      </c>
      <c r="D53" s="157">
        <v>0.75</v>
      </c>
      <c r="E53" s="150" t="s">
        <v>376</v>
      </c>
      <c r="F53" s="78">
        <f>IF($H$49&gt;D53,4,0)</f>
        <v>0</v>
      </c>
      <c r="G53" s="161" t="str">
        <f>VLOOKUP($G$52,B52:C56,2,FALSE)</f>
        <v>A+</v>
      </c>
    </row>
    <row r="54" spans="2:8" x14ac:dyDescent="0.25">
      <c r="B54" s="64">
        <v>3</v>
      </c>
      <c r="C54" s="53" t="s">
        <v>373</v>
      </c>
      <c r="D54" s="157">
        <v>0.6</v>
      </c>
      <c r="E54" s="150" t="s">
        <v>377</v>
      </c>
      <c r="F54" s="78">
        <f>IF($H$49&gt;D54,3,0)</f>
        <v>3</v>
      </c>
    </row>
    <row r="55" spans="2:8" x14ac:dyDescent="0.25">
      <c r="B55" s="64">
        <v>2</v>
      </c>
      <c r="C55" s="53" t="s">
        <v>319</v>
      </c>
      <c r="D55" s="157">
        <v>0.5</v>
      </c>
      <c r="E55" s="150" t="s">
        <v>336</v>
      </c>
      <c r="F55" s="78">
        <f>IF($H$49&gt;D55,2,0)</f>
        <v>2</v>
      </c>
    </row>
    <row r="56" spans="2:8" ht="15.75" thickBot="1" x14ac:dyDescent="0.3">
      <c r="B56" s="203">
        <v>1</v>
      </c>
      <c r="C56" s="57" t="s">
        <v>374</v>
      </c>
      <c r="D56" s="158">
        <v>0.5</v>
      </c>
      <c r="E56" s="151" t="s">
        <v>378</v>
      </c>
      <c r="F56" s="204">
        <f>IF($H$49&gt;D56,1,0)</f>
        <v>1</v>
      </c>
    </row>
    <row r="57" spans="2:8" ht="15.75" thickTop="1" x14ac:dyDescent="0.25"/>
  </sheetData>
  <mergeCells count="55">
    <mergeCell ref="B3:K3"/>
    <mergeCell ref="B22:H22"/>
    <mergeCell ref="C23:E23"/>
    <mergeCell ref="F23:G23"/>
    <mergeCell ref="N30:O30"/>
    <mergeCell ref="N18:O18"/>
    <mergeCell ref="N20:O20"/>
    <mergeCell ref="N21:O21"/>
    <mergeCell ref="N22:O22"/>
    <mergeCell ref="N23:O23"/>
    <mergeCell ref="N4:S4"/>
    <mergeCell ref="N32:O32"/>
    <mergeCell ref="N34:O34"/>
    <mergeCell ref="N35:O35"/>
    <mergeCell ref="N24:O24"/>
    <mergeCell ref="N25:O25"/>
    <mergeCell ref="N27:O27"/>
    <mergeCell ref="N28:O28"/>
    <mergeCell ref="N29:O29"/>
    <mergeCell ref="U4:Z4"/>
    <mergeCell ref="U10:V10"/>
    <mergeCell ref="U11:V11"/>
    <mergeCell ref="U17:V17"/>
    <mergeCell ref="N10:O10"/>
    <mergeCell ref="N11:O11"/>
    <mergeCell ref="N13:O13"/>
    <mergeCell ref="N14:O14"/>
    <mergeCell ref="N6:O6"/>
    <mergeCell ref="N7:O7"/>
    <mergeCell ref="N8:O8"/>
    <mergeCell ref="N9:O9"/>
    <mergeCell ref="N15:O15"/>
    <mergeCell ref="N16:O16"/>
    <mergeCell ref="N17:O17"/>
    <mergeCell ref="U18:V18"/>
    <mergeCell ref="U24:V24"/>
    <mergeCell ref="U25:V25"/>
    <mergeCell ref="U30:V30"/>
    <mergeCell ref="U31:V31"/>
    <mergeCell ref="B31:G31"/>
    <mergeCell ref="B49:G49"/>
    <mergeCell ref="U32:V32"/>
    <mergeCell ref="U41:V41"/>
    <mergeCell ref="U42:V42"/>
    <mergeCell ref="B40:H40"/>
    <mergeCell ref="C41:E41"/>
    <mergeCell ref="F41:G41"/>
    <mergeCell ref="N36:O36"/>
    <mergeCell ref="N37:O37"/>
    <mergeCell ref="N41:O41"/>
    <mergeCell ref="N42:O42"/>
    <mergeCell ref="N38:O38"/>
    <mergeCell ref="N39:O39"/>
    <mergeCell ref="N40:O40"/>
    <mergeCell ref="N31:O31"/>
  </mergeCells>
  <conditionalFormatting sqref="E25:E29">
    <cfRule type="colorScale" priority="2">
      <colorScale>
        <cfvo type="min"/>
        <cfvo type="percentile" val="50"/>
        <cfvo type="max"/>
        <color rgb="FFF8696B"/>
        <color rgb="FFFCFCFF"/>
        <color rgb="FF63BE7B"/>
      </colorScale>
    </cfRule>
  </conditionalFormatting>
  <conditionalFormatting sqref="E43:E47">
    <cfRule type="colorScale" priority="1">
      <colorScale>
        <cfvo type="min"/>
        <cfvo type="percentile" val="50"/>
        <cfvo type="max"/>
        <color rgb="FFF8696B"/>
        <color rgb="FFFCFCFF"/>
        <color rgb="FF63BE7B"/>
      </colorScale>
    </cfRule>
  </conditionalFormatting>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17E6-7732-4B5A-8DD2-6053A753DE97}">
  <sheetPr codeName="Sheet1">
    <tabColor rgb="FFFFC000"/>
    <pageSetUpPr fitToPage="1"/>
  </sheetPr>
  <dimension ref="D2:L38"/>
  <sheetViews>
    <sheetView showGridLines="0" zoomScale="87" workbookViewId="0">
      <selection activeCell="G39" sqref="G39"/>
    </sheetView>
  </sheetViews>
  <sheetFormatPr defaultRowHeight="15" x14ac:dyDescent="0.25"/>
  <cols>
    <col min="4" max="4" width="24.28515625" customWidth="1"/>
    <col min="5" max="5" width="23.7109375" bestFit="1" customWidth="1"/>
    <col min="6" max="6" width="16.7109375" bestFit="1" customWidth="1"/>
    <col min="7" max="7" width="42.140625" bestFit="1" customWidth="1"/>
    <col min="8" max="8" width="17.5703125" customWidth="1"/>
    <col min="9" max="9" width="18.7109375" bestFit="1" customWidth="1"/>
    <col min="10" max="10" width="11.140625" customWidth="1"/>
    <col min="11" max="11" width="18.85546875" bestFit="1" customWidth="1"/>
    <col min="12" max="12" width="19.28515625" bestFit="1" customWidth="1"/>
  </cols>
  <sheetData>
    <row r="2" spans="4:12" ht="15.75" x14ac:dyDescent="0.25">
      <c r="D2" s="272" t="s">
        <v>334</v>
      </c>
      <c r="E2" s="272"/>
      <c r="F2" s="272"/>
      <c r="G2" s="272"/>
      <c r="H2" s="272"/>
      <c r="I2" s="272"/>
      <c r="J2" s="272"/>
      <c r="K2" s="272"/>
      <c r="L2" s="272"/>
    </row>
    <row r="3" spans="4:12" x14ac:dyDescent="0.25">
      <c r="D3" s="49"/>
      <c r="E3" s="44"/>
      <c r="F3" s="44"/>
      <c r="G3" s="44"/>
      <c r="H3" s="44"/>
      <c r="I3" s="44"/>
      <c r="J3" s="44"/>
      <c r="K3" s="44"/>
      <c r="L3" s="50"/>
    </row>
    <row r="4" spans="4:12" x14ac:dyDescent="0.25">
      <c r="D4" s="45" t="s">
        <v>312</v>
      </c>
      <c r="E4" s="159">
        <f ca="1">TODAY()</f>
        <v>45605</v>
      </c>
      <c r="F4" s="46"/>
      <c r="G4" s="45" t="s">
        <v>403</v>
      </c>
      <c r="H4" s="55">
        <f>VLOOKUP(H6,J33:L37,3,FALSE)</f>
        <v>1</v>
      </c>
      <c r="I4" s="46"/>
      <c r="J4" s="46"/>
      <c r="K4" s="73"/>
      <c r="L4" s="185"/>
    </row>
    <row r="5" spans="4:12" x14ac:dyDescent="0.25">
      <c r="D5" s="49"/>
      <c r="E5" s="44"/>
      <c r="F5" s="44"/>
      <c r="G5" s="44"/>
      <c r="H5" s="44"/>
      <c r="I5" s="44"/>
      <c r="J5" s="44"/>
      <c r="K5" s="47" t="s">
        <v>301</v>
      </c>
      <c r="L5" s="72">
        <f>INPUT!D20</f>
        <v>1.1000000000000001</v>
      </c>
    </row>
    <row r="6" spans="4:12" x14ac:dyDescent="0.25">
      <c r="D6" s="45" t="s">
        <v>313</v>
      </c>
      <c r="E6" s="55" t="str">
        <f>INPUT!D3</f>
        <v>TATA MOTORS LTD</v>
      </c>
      <c r="F6" s="44"/>
      <c r="G6" s="45" t="s">
        <v>399</v>
      </c>
      <c r="H6" s="232" t="str">
        <f>H24</f>
        <v>AA</v>
      </c>
      <c r="I6" s="44"/>
      <c r="J6" s="44"/>
      <c r="K6" s="51" t="s">
        <v>338</v>
      </c>
      <c r="L6" s="51">
        <f>INPUT!D10</f>
        <v>2</v>
      </c>
    </row>
    <row r="7" spans="4:12" x14ac:dyDescent="0.25">
      <c r="D7" s="45" t="s">
        <v>322</v>
      </c>
      <c r="E7" s="146" t="str">
        <f>IF(INPUT!D15="YES",INPUT!D4, "UNLISTED")</f>
        <v>TATAMOTORS</v>
      </c>
      <c r="F7" s="44"/>
      <c r="G7" s="45" t="s">
        <v>400</v>
      </c>
      <c r="H7" s="69" t="str">
        <f>I27</f>
        <v>ABOVE AVERAGE</v>
      </c>
      <c r="I7" s="186"/>
      <c r="J7" s="44"/>
      <c r="K7" s="51" t="s">
        <v>339</v>
      </c>
      <c r="L7" s="51">
        <f>'REPORTED STATEMENTS'!B31</f>
        <v>78.650000000000006</v>
      </c>
    </row>
    <row r="8" spans="4:12" x14ac:dyDescent="0.25">
      <c r="D8" s="45" t="s">
        <v>419</v>
      </c>
      <c r="E8" s="231">
        <f ca="1">E4</f>
        <v>45605</v>
      </c>
      <c r="F8" s="44"/>
      <c r="G8" s="44"/>
      <c r="H8" s="52"/>
      <c r="I8" s="44"/>
      <c r="J8" s="44"/>
      <c r="K8" s="51" t="s">
        <v>342</v>
      </c>
      <c r="L8" s="51">
        <f>INPUT!D8</f>
        <v>990</v>
      </c>
    </row>
    <row r="9" spans="4:12" ht="15.75" thickBot="1" x14ac:dyDescent="0.3">
      <c r="D9" s="74"/>
      <c r="E9" s="74"/>
      <c r="F9" s="58"/>
      <c r="G9" s="190" t="s">
        <v>409</v>
      </c>
      <c r="H9" s="189">
        <f>INPUT!D6</f>
        <v>380</v>
      </c>
      <c r="I9" s="58"/>
      <c r="J9" s="58"/>
      <c r="K9" s="58"/>
      <c r="L9" s="59"/>
    </row>
    <row r="10" spans="4:12" ht="15.75" thickTop="1" x14ac:dyDescent="0.25">
      <c r="D10" s="44"/>
      <c r="E10" s="44"/>
      <c r="F10" s="44"/>
      <c r="G10" s="44"/>
      <c r="H10" s="44"/>
      <c r="I10" s="44"/>
      <c r="J10" s="44"/>
      <c r="K10" s="44"/>
      <c r="L10" s="44"/>
    </row>
    <row r="11" spans="4:12" ht="15.75" x14ac:dyDescent="0.25">
      <c r="D11" s="273" t="s">
        <v>323</v>
      </c>
      <c r="E11" s="273"/>
      <c r="F11" s="273"/>
      <c r="G11" s="273"/>
      <c r="H11" s="273"/>
      <c r="I11" s="273"/>
      <c r="J11" s="273"/>
      <c r="K11" s="273"/>
      <c r="L11" s="273"/>
    </row>
    <row r="12" spans="4:12" x14ac:dyDescent="0.25">
      <c r="D12" s="49"/>
      <c r="E12" s="44"/>
      <c r="F12" s="44"/>
      <c r="G12" s="44"/>
      <c r="H12" s="44"/>
      <c r="I12" s="44"/>
      <c r="J12" s="44"/>
      <c r="K12" s="44"/>
      <c r="L12" s="50"/>
    </row>
    <row r="13" spans="4:12" x14ac:dyDescent="0.25">
      <c r="D13" s="54" t="s">
        <v>324</v>
      </c>
      <c r="E13" s="55" t="s">
        <v>402</v>
      </c>
      <c r="F13" s="46"/>
      <c r="G13" s="144" t="s">
        <v>314</v>
      </c>
      <c r="H13" s="145" t="s">
        <v>330</v>
      </c>
      <c r="I13" s="43" t="s">
        <v>381</v>
      </c>
      <c r="J13" s="46"/>
      <c r="K13" s="46"/>
      <c r="L13" s="48"/>
    </row>
    <row r="14" spans="4:12" x14ac:dyDescent="0.25">
      <c r="D14" s="62" t="str">
        <f>'RATIO ANALYSIS'!B4</f>
        <v>Return on Equity</v>
      </c>
      <c r="E14" s="60">
        <f>'RATIO ANALYSIS'!C4</f>
        <v>0.26215263551631307</v>
      </c>
      <c r="F14" s="44"/>
      <c r="G14" s="87" t="s">
        <v>325</v>
      </c>
      <c r="H14" s="156">
        <f>WEIGHTAGES!G25</f>
        <v>2.3456730074340406</v>
      </c>
      <c r="I14" s="133">
        <f>WEIGHTAGES!G25/WEIGHTAGES!H25</f>
        <v>1</v>
      </c>
      <c r="K14" s="63" t="s">
        <v>332</v>
      </c>
      <c r="L14" s="63" t="str">
        <f>E6</f>
        <v>TATA MOTORS LTD</v>
      </c>
    </row>
    <row r="15" spans="4:12" x14ac:dyDescent="0.25">
      <c r="D15" s="62" t="str">
        <f>'RATIO ANALYSIS'!B5</f>
        <v>Return on Assets</v>
      </c>
      <c r="E15" s="60">
        <f>'RATIO ANALYSIS'!C5</f>
        <v>0.16682848993032839</v>
      </c>
      <c r="F15" s="44"/>
      <c r="G15" s="87" t="s">
        <v>326</v>
      </c>
      <c r="H15" s="156">
        <f>WEIGHTAGES!G26</f>
        <v>1.0111095942804029</v>
      </c>
      <c r="I15" s="133">
        <f>WEIGHTAGES!G26/WEIGHTAGES!H26</f>
        <v>0.7</v>
      </c>
      <c r="K15" s="64" t="s">
        <v>335</v>
      </c>
      <c r="L15" s="65">
        <f>'RATIO ANALYSIS'!I7</f>
        <v>47.607718474123267</v>
      </c>
    </row>
    <row r="16" spans="4:12" x14ac:dyDescent="0.25">
      <c r="D16" s="62" t="str">
        <f>'RATIO ANALYSIS'!B6</f>
        <v>Gross Profit Margin</v>
      </c>
      <c r="E16" s="60">
        <f>'RATIO ANALYSIS'!C6</f>
        <v>0.15788422532859464</v>
      </c>
      <c r="F16" s="44"/>
      <c r="G16" s="87" t="s">
        <v>327</v>
      </c>
      <c r="H16" s="156">
        <f>WEIGHTAGES!G27</f>
        <v>0.78024614474550846</v>
      </c>
      <c r="I16" s="133">
        <f>WEIGHTAGES!G27/WEIGHTAGES!H27</f>
        <v>0.8</v>
      </c>
      <c r="K16" s="55" t="s">
        <v>297</v>
      </c>
      <c r="L16" s="69">
        <f>ROUNDUP(VALUATION!C14,-3)</f>
        <v>12000</v>
      </c>
    </row>
    <row r="17" spans="4:12" x14ac:dyDescent="0.25">
      <c r="D17" s="154" t="str">
        <f>'RATIO ANALYSIS'!E4</f>
        <v>Debt Ratio</v>
      </c>
      <c r="E17" s="60">
        <f>'RATIO ANALYSIS'!F4</f>
        <v>1</v>
      </c>
      <c r="F17" s="44"/>
      <c r="G17" s="87" t="s">
        <v>328</v>
      </c>
      <c r="H17" s="156">
        <f>WEIGHTAGES!G28</f>
        <v>1.4259230417312465</v>
      </c>
      <c r="I17" s="133">
        <f>WEIGHTAGES!G28/WEIGHTAGES!H28</f>
        <v>1</v>
      </c>
      <c r="K17" s="55" t="s">
        <v>299</v>
      </c>
      <c r="L17" s="69">
        <f>ROUNDUP(VALUATION!K11,-3)</f>
        <v>10000</v>
      </c>
    </row>
    <row r="18" spans="4:12" x14ac:dyDescent="0.25">
      <c r="D18" s="62" t="str">
        <f>'RATIO ANALYSIS'!B10</f>
        <v>Current Ratio</v>
      </c>
      <c r="E18" s="61">
        <f>'RATIO ANALYSIS'!C10</f>
        <v>0.70787150053006642</v>
      </c>
      <c r="F18" s="44"/>
      <c r="G18" s="87" t="s">
        <v>329</v>
      </c>
      <c r="H18" s="156">
        <f>WEIGHTAGES!G29</f>
        <v>2.2851924018809426</v>
      </c>
      <c r="I18" s="133">
        <f>WEIGHTAGES!G29/WEIGHTAGES!H29</f>
        <v>0.60000000000000009</v>
      </c>
      <c r="K18" s="55" t="s">
        <v>331</v>
      </c>
      <c r="L18" s="69">
        <f>IFERROR(VLOOKUP('REPORTED STATEMENTS'!$A$35,'REPORTED STATEMENTS'!A2:C103,2,),0)</f>
        <v>406005.94</v>
      </c>
    </row>
    <row r="19" spans="4:12" x14ac:dyDescent="0.25">
      <c r="D19" s="62" t="str">
        <f>'RATIO ANALYSIS'!B11</f>
        <v>Quick Ratio</v>
      </c>
      <c r="E19" s="61">
        <f>'RATIO ANALYSIS'!C11</f>
        <v>0.52196628680801416</v>
      </c>
      <c r="F19" s="44"/>
      <c r="G19" s="143" t="s">
        <v>364</v>
      </c>
      <c r="H19" s="142">
        <f>SUM(H14:H18)</f>
        <v>7.8481441900721425</v>
      </c>
      <c r="I19" s="169">
        <f>WEIGHTAGES!H31</f>
        <v>0.78481441816153663</v>
      </c>
      <c r="K19" s="55" t="s">
        <v>309</v>
      </c>
      <c r="L19" s="292">
        <f>$L$18/'REPORTED STATEMENTS'!B19</f>
        <v>35.080956330896711</v>
      </c>
    </row>
    <row r="20" spans="4:12" x14ac:dyDescent="0.25">
      <c r="D20" s="62" t="str">
        <f>'RATIO ANALYSIS'!B12</f>
        <v>Cash Ratio</v>
      </c>
      <c r="E20" s="61">
        <f>'RATIO ANALYSIS'!C12</f>
        <v>0.1791828244534476</v>
      </c>
      <c r="F20" s="44"/>
      <c r="I20" s="187"/>
      <c r="K20" s="55" t="s">
        <v>308</v>
      </c>
      <c r="L20" s="65">
        <f>'RATIO ANALYSIS'!I9</f>
        <v>12.587412587412587</v>
      </c>
    </row>
    <row r="21" spans="4:12" x14ac:dyDescent="0.25">
      <c r="D21" s="62" t="str">
        <f>'RATIO ANALYSIS'!E10</f>
        <v>Asset Turnover ratio</v>
      </c>
      <c r="E21" s="61">
        <f>'RATIO ANALYSIS'!F10</f>
        <v>1.59683782756401</v>
      </c>
      <c r="F21" s="44"/>
      <c r="G21" s="55" t="s">
        <v>333</v>
      </c>
      <c r="H21" s="195">
        <f>INPUT!D8*INPUT!D6</f>
        <v>376200</v>
      </c>
      <c r="I21" s="44"/>
      <c r="K21" s="44"/>
      <c r="L21" s="50"/>
    </row>
    <row r="22" spans="4:12" x14ac:dyDescent="0.25">
      <c r="D22" s="28"/>
      <c r="F22" s="44"/>
      <c r="G22" s="44"/>
      <c r="H22" s="44"/>
      <c r="I22" s="44"/>
      <c r="K22" s="55" t="s">
        <v>305</v>
      </c>
      <c r="L22" s="148">
        <f>'RATIO ANALYSIS'!I6</f>
        <v>20.794947368421052</v>
      </c>
    </row>
    <row r="23" spans="4:12" x14ac:dyDescent="0.25">
      <c r="D23" s="62" t="str">
        <f>'RATIO ANALYSIS'!E11</f>
        <v>Inventory Turnover ratio</v>
      </c>
      <c r="E23" s="61">
        <f>'RATIO ANALYSIS'!F11</f>
        <v>20.233701841102569</v>
      </c>
      <c r="F23" s="44"/>
      <c r="G23" s="53" t="s">
        <v>368</v>
      </c>
      <c r="H23" s="147">
        <f>I19</f>
        <v>0.78481441816153663</v>
      </c>
      <c r="I23" s="53" t="str">
        <f>IF(H23&gt;0.6, "PASSED", "FAILED")</f>
        <v>PASSED</v>
      </c>
      <c r="K23" s="55" t="s">
        <v>306</v>
      </c>
      <c r="L23" s="149">
        <f>'RATIO ANALYSIS'!I4</f>
        <v>5</v>
      </c>
    </row>
    <row r="24" spans="4:12" x14ac:dyDescent="0.25">
      <c r="D24" s="62" t="str">
        <f>'RATIO ANALYSIS'!E12</f>
        <v>Debtors Velocity (Days)</v>
      </c>
      <c r="E24" s="155">
        <f>'RATIO ANALYSIS'!F12</f>
        <v>13</v>
      </c>
      <c r="F24" s="44"/>
      <c r="G24" s="53" t="s">
        <v>369</v>
      </c>
      <c r="H24" s="56" t="str">
        <f>WEIGHTAGES!G35</f>
        <v>AA</v>
      </c>
      <c r="I24" s="53" t="str">
        <f>VLOOKUP($H$24,D32:F37,3,)</f>
        <v>GOOD</v>
      </c>
      <c r="J24" s="44"/>
      <c r="L24" s="29"/>
    </row>
    <row r="25" spans="4:12" x14ac:dyDescent="0.25">
      <c r="D25" s="62" t="str">
        <f>'RATIO ANALYSIS'!E13</f>
        <v>Creditors Velocity (Days)</v>
      </c>
      <c r="E25" s="155">
        <f>'RATIO ANALYSIS'!F13</f>
        <v>46</v>
      </c>
      <c r="F25" s="44"/>
      <c r="G25" s="44"/>
      <c r="H25" s="44"/>
      <c r="I25" s="44"/>
      <c r="J25" s="44"/>
      <c r="K25" s="55" t="s">
        <v>410</v>
      </c>
      <c r="L25" s="196" t="str">
        <f>ROUND($L$8/L22,0)&amp;" X"</f>
        <v>48 X</v>
      </c>
    </row>
    <row r="26" spans="4:12" x14ac:dyDescent="0.25">
      <c r="D26" s="49"/>
      <c r="E26" s="44"/>
      <c r="F26" s="44"/>
      <c r="G26" s="53" t="s">
        <v>398</v>
      </c>
      <c r="H26" s="147">
        <f>WEIGHTAGES!H49</f>
        <v>0.69098749796527825</v>
      </c>
      <c r="I26" s="53" t="str">
        <f>IF(H26&gt;0.6, "PASSED", "FAILED")</f>
        <v>PASSED</v>
      </c>
      <c r="J26" s="44"/>
      <c r="K26" s="55" t="s">
        <v>421</v>
      </c>
      <c r="L26" s="289">
        <f>'RATIO ANALYSIS'!I18</f>
        <v>2.3710090926079577</v>
      </c>
    </row>
    <row r="27" spans="4:12" x14ac:dyDescent="0.25">
      <c r="D27" s="274" t="s">
        <v>315</v>
      </c>
      <c r="E27" s="274"/>
      <c r="F27" s="44"/>
      <c r="G27" s="53" t="s">
        <v>369</v>
      </c>
      <c r="H27" s="56" t="str">
        <f>WEIGHTAGES!G53</f>
        <v>A+</v>
      </c>
      <c r="I27" s="53" t="str">
        <f>VLOOKUP($H$27,D32:F37,3,)</f>
        <v>ABOVE AVERAGE</v>
      </c>
      <c r="J27" s="44"/>
      <c r="L27" s="29"/>
    </row>
    <row r="28" spans="4:12" x14ac:dyDescent="0.25">
      <c r="D28" s="53" t="s">
        <v>316</v>
      </c>
      <c r="E28" s="53" t="s">
        <v>317</v>
      </c>
      <c r="F28" s="44"/>
      <c r="L28" s="29"/>
    </row>
    <row r="29" spans="4:12" x14ac:dyDescent="0.25">
      <c r="D29" s="53" t="s">
        <v>318</v>
      </c>
      <c r="E29" s="53" t="s">
        <v>319</v>
      </c>
      <c r="F29" s="44"/>
      <c r="I29" s="44"/>
      <c r="J29" s="44"/>
      <c r="L29" s="29"/>
    </row>
    <row r="30" spans="4:12" ht="15.75" thickBot="1" x14ac:dyDescent="0.3">
      <c r="D30" s="57" t="s">
        <v>320</v>
      </c>
      <c r="E30" s="57" t="s">
        <v>321</v>
      </c>
      <c r="F30" s="58"/>
      <c r="G30" s="68"/>
      <c r="H30" s="68"/>
      <c r="I30" s="58"/>
      <c r="J30" s="58"/>
      <c r="K30" s="68"/>
      <c r="L30" s="188"/>
    </row>
    <row r="31" spans="4:12" ht="15.75" thickTop="1" x14ac:dyDescent="0.25"/>
    <row r="32" spans="4:12" ht="15.75" thickBot="1" x14ac:dyDescent="0.3">
      <c r="D32" s="152" t="s">
        <v>370</v>
      </c>
      <c r="E32" s="153" t="s">
        <v>387</v>
      </c>
      <c r="F32" s="153" t="s">
        <v>379</v>
      </c>
      <c r="J32" s="271" t="s">
        <v>413</v>
      </c>
      <c r="K32" s="271"/>
      <c r="L32" s="271"/>
    </row>
    <row r="33" spans="4:12" ht="15.75" thickTop="1" x14ac:dyDescent="0.25">
      <c r="D33" s="53" t="s">
        <v>371</v>
      </c>
      <c r="E33" s="150" t="s">
        <v>382</v>
      </c>
      <c r="F33" s="150" t="s">
        <v>375</v>
      </c>
      <c r="J33" s="191" t="s">
        <v>371</v>
      </c>
      <c r="K33" s="134" t="s">
        <v>404</v>
      </c>
      <c r="L33" s="192">
        <v>0</v>
      </c>
    </row>
    <row r="34" spans="4:12" x14ac:dyDescent="0.25">
      <c r="D34" s="53" t="s">
        <v>372</v>
      </c>
      <c r="E34" s="150" t="s">
        <v>383</v>
      </c>
      <c r="F34" s="150" t="s">
        <v>376</v>
      </c>
      <c r="J34" s="193" t="s">
        <v>372</v>
      </c>
      <c r="K34" s="62" t="s">
        <v>405</v>
      </c>
      <c r="L34" s="194">
        <v>1</v>
      </c>
    </row>
    <row r="35" spans="4:12" x14ac:dyDescent="0.25">
      <c r="D35" s="53" t="s">
        <v>373</v>
      </c>
      <c r="E35" s="150" t="s">
        <v>384</v>
      </c>
      <c r="F35" s="150" t="s">
        <v>377</v>
      </c>
      <c r="J35" s="193" t="s">
        <v>373</v>
      </c>
      <c r="K35" s="62" t="s">
        <v>406</v>
      </c>
      <c r="L35" s="194">
        <v>2</v>
      </c>
    </row>
    <row r="36" spans="4:12" x14ac:dyDescent="0.25">
      <c r="D36" s="53" t="s">
        <v>319</v>
      </c>
      <c r="E36" s="150" t="s">
        <v>385</v>
      </c>
      <c r="F36" s="150" t="s">
        <v>336</v>
      </c>
      <c r="J36" s="193" t="s">
        <v>319</v>
      </c>
      <c r="K36" s="62" t="s">
        <v>407</v>
      </c>
      <c r="L36" s="194">
        <v>3</v>
      </c>
    </row>
    <row r="37" spans="4:12" ht="15.75" thickBot="1" x14ac:dyDescent="0.3">
      <c r="D37" s="57" t="s">
        <v>374</v>
      </c>
      <c r="E37" s="151" t="s">
        <v>386</v>
      </c>
      <c r="F37" s="151" t="s">
        <v>378</v>
      </c>
      <c r="J37" s="193" t="s">
        <v>374</v>
      </c>
      <c r="K37" s="62" t="s">
        <v>408</v>
      </c>
      <c r="L37" s="194">
        <v>4</v>
      </c>
    </row>
    <row r="38" spans="4:12" ht="15.75" thickTop="1" x14ac:dyDescent="0.25"/>
  </sheetData>
  <mergeCells count="4">
    <mergeCell ref="J32:L32"/>
    <mergeCell ref="D2:L2"/>
    <mergeCell ref="D11:L11"/>
    <mergeCell ref="D27:E27"/>
  </mergeCells>
  <conditionalFormatting sqref="H23">
    <cfRule type="iconSet" priority="6">
      <iconSet iconSet="3Symbols">
        <cfvo type="percent" val="0"/>
        <cfvo type="percent" val="50"/>
        <cfvo type="percent" val="60"/>
      </iconSet>
    </cfRule>
    <cfRule type="iconSet" priority="8">
      <iconSet iconSet="3Symbols">
        <cfvo type="percent" val="0"/>
        <cfvo type="percent" val="33"/>
        <cfvo type="percent" val="67"/>
      </iconSet>
    </cfRule>
  </conditionalFormatting>
  <conditionalFormatting sqref="H26">
    <cfRule type="iconSet" priority="2">
      <iconSet iconSet="3Symbols">
        <cfvo type="percent" val="0"/>
        <cfvo type="percent" val="50"/>
        <cfvo type="percent" val="60"/>
      </iconSet>
    </cfRule>
    <cfRule type="iconSet" priority="3">
      <iconSet iconSet="3Symbols">
        <cfvo type="percent" val="0"/>
        <cfvo type="percent" val="33"/>
        <cfvo type="percent" val="67"/>
      </iconSet>
    </cfRule>
  </conditionalFormatting>
  <conditionalFormatting sqref="H23:I23">
    <cfRule type="iconSet" priority="13">
      <iconSet iconSet="3Arrows">
        <cfvo type="percent" val="0"/>
        <cfvo type="percent" val="33"/>
        <cfvo type="percent" val="67"/>
      </iconSet>
    </cfRule>
  </conditionalFormatting>
  <conditionalFormatting sqref="H24:I24">
    <cfRule type="iconSet" priority="9">
      <iconSet iconSet="3Arrows">
        <cfvo type="percent" val="0"/>
        <cfvo type="percent" val="33"/>
        <cfvo type="percent" val="67"/>
      </iconSet>
    </cfRule>
  </conditionalFormatting>
  <conditionalFormatting sqref="H26:I26">
    <cfRule type="iconSet" priority="5">
      <iconSet iconSet="3Arrows">
        <cfvo type="percent" val="0"/>
        <cfvo type="percent" val="33"/>
        <cfvo type="percent" val="67"/>
      </iconSet>
    </cfRule>
  </conditionalFormatting>
  <conditionalFormatting sqref="H27:I27">
    <cfRule type="iconSet" priority="4">
      <iconSet iconSet="3Arrows">
        <cfvo type="percent" val="0"/>
        <cfvo type="percent" val="33"/>
        <cfvo type="percent" val="67"/>
      </iconSet>
    </cfRule>
  </conditionalFormatting>
  <conditionalFormatting sqref="I14:I18">
    <cfRule type="colorScale" priority="10">
      <colorScale>
        <cfvo type="min"/>
        <cfvo type="max"/>
        <color rgb="FFFFEF9C"/>
        <color rgb="FF63BE7B"/>
      </colorScale>
    </cfRule>
  </conditionalFormatting>
  <conditionalFormatting sqref="L5">
    <cfRule type="cellIs" dxfId="1" priority="11" operator="lessThan">
      <formula>1</formula>
    </cfRule>
    <cfRule type="cellIs" dxfId="0" priority="12" operator="greaterThan">
      <formula>1</formula>
    </cfRule>
  </conditionalFormatting>
  <conditionalFormatting sqref="L33:L37">
    <cfRule type="colorScale" priority="19">
      <colorScale>
        <cfvo type="min"/>
        <cfvo type="percentile" val="50"/>
        <cfvo type="max"/>
        <color rgb="FF63BE7B"/>
        <color rgb="FFFFEB84"/>
        <color rgb="FFF8696B"/>
      </colorScale>
    </cfRule>
  </conditionalFormatting>
  <dataValidations count="1">
    <dataValidation errorStyle="information" allowBlank="1" showInputMessage="1" showErrorMessage="1" errorTitle="VALUATION COMPLETE" sqref="H36" xr:uid="{C7D7C784-BCE6-4555-B518-A3A62BDC5B93}"/>
  </dataValidations>
  <pageMargins left="0.25" right="0.25" top="0.75" bottom="0.75" header="0.3" footer="0.3"/>
  <pageSetup paperSize="9" scale="89" fitToWidth="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5124" r:id="rId4" name="Button 4">
              <controlPr defaultSize="0" print="0" autoFill="0" autoPict="0" macro="[0]!_xludf.COPY">
                <anchor moveWithCells="1" sizeWithCells="1">
                  <from>
                    <xdr:col>2</xdr:col>
                    <xdr:colOff>590550</xdr:colOff>
                    <xdr:row>37</xdr:row>
                    <xdr:rowOff>114300</xdr:rowOff>
                  </from>
                  <to>
                    <xdr:col>4</xdr:col>
                    <xdr:colOff>390525</xdr:colOff>
                    <xdr:row>40</xdr:row>
                    <xdr:rowOff>171450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C7C53-C4C4-4166-9374-71A7417C489D}">
  <sheetPr codeName="Sheet91"/>
  <dimension ref="B2:I18"/>
  <sheetViews>
    <sheetView showGridLines="0" tabSelected="1" workbookViewId="0">
      <selection activeCell="I18" sqref="I18"/>
    </sheetView>
  </sheetViews>
  <sheetFormatPr defaultRowHeight="15" x14ac:dyDescent="0.25"/>
  <cols>
    <col min="2" max="2" width="19.85546875" customWidth="1"/>
    <col min="5" max="5" width="25.7109375" bestFit="1" customWidth="1"/>
    <col min="6" max="6" width="12" bestFit="1" customWidth="1"/>
    <col min="8" max="8" width="21.85546875" bestFit="1" customWidth="1"/>
    <col min="9" max="9" width="15.28515625" bestFit="1" customWidth="1"/>
    <col min="12" max="12" width="18.140625" bestFit="1" customWidth="1"/>
    <col min="13" max="13" width="15.5703125" bestFit="1" customWidth="1"/>
  </cols>
  <sheetData>
    <row r="2" spans="2:9" x14ac:dyDescent="0.25">
      <c r="B2" s="13" t="s">
        <v>54</v>
      </c>
      <c r="E2" s="13" t="s">
        <v>61</v>
      </c>
      <c r="H2" s="13" t="s">
        <v>68</v>
      </c>
    </row>
    <row r="4" spans="2:9" x14ac:dyDescent="0.25">
      <c r="B4" s="14" t="s">
        <v>53</v>
      </c>
      <c r="C4" s="15">
        <f>'REPORTED STATEMENTS'!B24/BALANCE_SHEET!B8</f>
        <v>0.26215263551631307</v>
      </c>
      <c r="E4" s="14" t="s">
        <v>62</v>
      </c>
      <c r="F4" s="15">
        <f>BALANCE_SHEET!B13/BALANCE_SHEET!B40</f>
        <v>1</v>
      </c>
      <c r="H4" s="14" t="s">
        <v>70</v>
      </c>
      <c r="I4" s="16">
        <f>INPUT!D7</f>
        <v>5</v>
      </c>
    </row>
    <row r="5" spans="2:9" x14ac:dyDescent="0.25">
      <c r="B5" s="14" t="s">
        <v>55</v>
      </c>
      <c r="C5" s="15">
        <f>'REPORTED STATEMENTS'!B24/BALANCE_SHEET!B40</f>
        <v>0.16682848993032839</v>
      </c>
      <c r="E5" s="14" t="s">
        <v>63</v>
      </c>
      <c r="F5" s="15">
        <f>BALANCE_SHEET!B11/BALANCE_SHEET!B8</f>
        <v>0.47077651398912851</v>
      </c>
      <c r="H5" s="14" t="s">
        <v>69</v>
      </c>
      <c r="I5" s="17">
        <f>I4/INPUT!D8</f>
        <v>5.0505050505050509E-3</v>
      </c>
    </row>
    <row r="6" spans="2:9" x14ac:dyDescent="0.25">
      <c r="B6" s="14" t="s">
        <v>56</v>
      </c>
      <c r="C6" s="15">
        <f>'REPORTED STATEMENTS'!B19/'REPORTED STATEMENTS'!B13</f>
        <v>0.15788422532859464</v>
      </c>
      <c r="E6" s="14" t="s">
        <v>64</v>
      </c>
      <c r="F6" s="15">
        <f>'REPORTED STATEMENTS'!B11/'REPORTED STATEMENTS'!B12</f>
        <v>0.32392413972356338</v>
      </c>
      <c r="H6" s="14" t="s">
        <v>281</v>
      </c>
      <c r="I6" s="16">
        <f>'REPORTED STATEMENTS'!B24/INPUT!D6</f>
        <v>20.794947368421052</v>
      </c>
    </row>
    <row r="7" spans="2:9" x14ac:dyDescent="0.25">
      <c r="H7" s="14" t="s">
        <v>282</v>
      </c>
      <c r="I7" s="16">
        <f>INPUT!D8/I6</f>
        <v>47.607718474123267</v>
      </c>
    </row>
    <row r="8" spans="2:9" x14ac:dyDescent="0.25">
      <c r="B8" s="13" t="s">
        <v>57</v>
      </c>
      <c r="E8" s="13" t="s">
        <v>65</v>
      </c>
      <c r="H8" s="14" t="s">
        <v>340</v>
      </c>
      <c r="I8" s="14">
        <f>'REPORTED STATEMENTS'!B31</f>
        <v>78.650000000000006</v>
      </c>
    </row>
    <row r="9" spans="2:9" x14ac:dyDescent="0.25">
      <c r="H9" s="14" t="s">
        <v>341</v>
      </c>
      <c r="I9" s="71">
        <f>INPUT!D8/'RATIO ANALYSIS'!I8</f>
        <v>12.587412587412587</v>
      </c>
    </row>
    <row r="10" spans="2:9" x14ac:dyDescent="0.25">
      <c r="B10" s="14" t="s">
        <v>58</v>
      </c>
      <c r="C10" s="16">
        <f>BALANCE_SHEET!B29/BALANCE_SHEET!B33</f>
        <v>0.70787150053006642</v>
      </c>
      <c r="E10" s="14" t="s">
        <v>66</v>
      </c>
      <c r="F10" s="16">
        <f>'REPORTED STATEMENTS'!B14/AVERAGE(BALANCE_SHEET!B40:C40)</f>
        <v>1.59683782756401</v>
      </c>
    </row>
    <row r="11" spans="2:9" x14ac:dyDescent="0.25">
      <c r="B11" s="14" t="s">
        <v>59</v>
      </c>
      <c r="C11" s="16">
        <f>(BALANCE_SHEET!B29-BALANCE_SHEET!B25)/BALANCE_SHEET!B33</f>
        <v>0.52196628680801416</v>
      </c>
      <c r="E11" s="14" t="s">
        <v>67</v>
      </c>
      <c r="F11" s="16">
        <f>('REPORTED STATEMENTS'!B17+'REPORTED STATEMENTS'!B18)/AVERAGE(BALANCE_SHEET!B25:C25)</f>
        <v>20.233701841102569</v>
      </c>
    </row>
    <row r="12" spans="2:9" x14ac:dyDescent="0.25">
      <c r="B12" s="14" t="s">
        <v>60</v>
      </c>
      <c r="C12" s="16">
        <f>CASH_FLOW!B82/BALANCE_SHEET!B33</f>
        <v>0.1791828244534476</v>
      </c>
      <c r="E12" s="14" t="s">
        <v>275</v>
      </c>
      <c r="F12" s="16">
        <f>VLOOKUP($E$12,'REPORTED STATEMENTS'!A2:G112,2,FALSE)</f>
        <v>13</v>
      </c>
      <c r="H12" s="13" t="s">
        <v>422</v>
      </c>
    </row>
    <row r="13" spans="2:9" x14ac:dyDescent="0.25">
      <c r="E13" s="14" t="s">
        <v>276</v>
      </c>
      <c r="F13" s="16">
        <f>VLOOKUP($E$13,'REPORTED STATEMENTS'!A3:G113,2,FALSE)</f>
        <v>46</v>
      </c>
      <c r="H13" s="78">
        <v>3.3</v>
      </c>
      <c r="I13" s="287">
        <f>'REPORTED STATEMENTS'!B22/BALANCE_SHEET!B40</f>
        <v>0.20175782499399891</v>
      </c>
    </row>
    <row r="14" spans="2:9" x14ac:dyDescent="0.25">
      <c r="H14" s="78">
        <v>1.2</v>
      </c>
      <c r="I14" s="287">
        <f>'REPORTED STATEMENTS'!B9/BALANCE_SHEET!B40</f>
        <v>-8.3274694831725976E-2</v>
      </c>
    </row>
    <row r="15" spans="2:9" x14ac:dyDescent="0.25">
      <c r="H15" s="78">
        <v>1</v>
      </c>
      <c r="I15" s="287">
        <f>'REPORTED STATEMENTS'!B13/BALANCE_SHEET!B40</f>
        <v>1.5475725560412015</v>
      </c>
    </row>
    <row r="16" spans="2:9" x14ac:dyDescent="0.25">
      <c r="H16" s="78">
        <v>0.6</v>
      </c>
      <c r="I16" s="287">
        <f>'REPORTED STATEMENTS'!B3/'REPORTED STATEMENTS'!B7</f>
        <v>8.4792824524761931E-2</v>
      </c>
    </row>
    <row r="17" spans="8:9" x14ac:dyDescent="0.25">
      <c r="H17" s="78">
        <v>1.4</v>
      </c>
      <c r="I17" s="287">
        <f>BALANCE_SHEET!B5/BALANCE_SHEET!B40</f>
        <v>0.62016058187972134</v>
      </c>
    </row>
    <row r="18" spans="8:9" x14ac:dyDescent="0.25">
      <c r="H18" s="64" t="s">
        <v>423</v>
      </c>
      <c r="I18" s="288">
        <f>SUM(I13:I17)</f>
        <v>2.3710090926079577</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65DE5-A98E-4791-95C2-86C9E4AC1E4B}">
  <sheetPr codeName="Sheet8"/>
  <dimension ref="B2:X63"/>
  <sheetViews>
    <sheetView showGridLines="0" topLeftCell="A12" zoomScale="68" workbookViewId="0">
      <selection activeCell="M60" sqref="M60"/>
    </sheetView>
  </sheetViews>
  <sheetFormatPr defaultRowHeight="15" x14ac:dyDescent="0.25"/>
  <cols>
    <col min="2" max="2" width="21.28515625" bestFit="1" customWidth="1"/>
    <col min="6" max="6" width="25.28515625" bestFit="1" customWidth="1"/>
    <col min="10" max="10" width="23" bestFit="1" customWidth="1"/>
    <col min="14" max="14" width="21.28515625" bestFit="1" customWidth="1"/>
    <col min="18" max="18" width="20.28515625" bestFit="1" customWidth="1"/>
    <col min="19" max="19" width="11.5703125" customWidth="1"/>
    <col min="22" max="22" width="22" bestFit="1" customWidth="1"/>
    <col min="27" max="27" width="20.28515625" bestFit="1" customWidth="1"/>
    <col min="31" max="31" width="10.42578125" bestFit="1" customWidth="1"/>
  </cols>
  <sheetData>
    <row r="2" spans="2:24" x14ac:dyDescent="0.25">
      <c r="B2" s="13" t="s">
        <v>351</v>
      </c>
    </row>
    <row r="4" spans="2:24" ht="15.75" thickBot="1" x14ac:dyDescent="0.3">
      <c r="B4" s="275" t="str">
        <f>WEIGHTAGES!B5</f>
        <v>Profitability Ratios</v>
      </c>
      <c r="C4" s="276"/>
      <c r="D4" s="276"/>
      <c r="E4" s="276"/>
      <c r="F4" s="276"/>
      <c r="G4" s="276"/>
      <c r="H4" s="277"/>
      <c r="J4" s="278" t="s">
        <v>57</v>
      </c>
      <c r="K4" s="276"/>
      <c r="L4" s="276"/>
      <c r="M4" s="276"/>
      <c r="N4" s="279"/>
      <c r="O4" s="276"/>
      <c r="P4" s="277"/>
      <c r="R4" s="280" t="s">
        <v>61</v>
      </c>
      <c r="S4" s="281"/>
      <c r="T4" s="281"/>
      <c r="U4" s="281"/>
      <c r="V4" s="281"/>
      <c r="W4" s="281"/>
      <c r="X4" s="265"/>
    </row>
    <row r="5" spans="2:24" ht="16.5" thickTop="1" thickBot="1" x14ac:dyDescent="0.3">
      <c r="B5" s="110" t="str">
        <f>'RATIO ANALYSIS'!B4</f>
        <v>Return on Equity</v>
      </c>
      <c r="C5" s="111">
        <f>COUNT(C8:C9)</f>
        <v>2</v>
      </c>
      <c r="D5" s="112"/>
      <c r="F5" s="110" t="str">
        <f>'RATIO ANALYSIS'!B5</f>
        <v>Return on Assets</v>
      </c>
      <c r="G5" s="111">
        <f>COUNT(G8:G9)</f>
        <v>2</v>
      </c>
      <c r="H5" s="112"/>
      <c r="J5" s="18" t="s">
        <v>58</v>
      </c>
      <c r="K5" s="111">
        <f>COUNT(K8:K9)</f>
        <v>2</v>
      </c>
      <c r="L5" s="112"/>
      <c r="N5" s="18" t="s">
        <v>60</v>
      </c>
      <c r="O5" s="111">
        <f>COUNT(O8:O9)</f>
        <v>2</v>
      </c>
      <c r="P5" s="112"/>
      <c r="R5" s="81" t="s">
        <v>62</v>
      </c>
      <c r="S5" s="111">
        <f>COUNT(S8:S9)</f>
        <v>2</v>
      </c>
      <c r="T5" s="112"/>
      <c r="V5" s="121" t="s">
        <v>64</v>
      </c>
      <c r="W5" s="111">
        <f>COUNT(W8:W9)</f>
        <v>2</v>
      </c>
      <c r="X5" s="112"/>
    </row>
    <row r="6" spans="2:24" ht="15.75" thickTop="1" x14ac:dyDescent="0.25">
      <c r="B6" s="101" t="s">
        <v>352</v>
      </c>
      <c r="C6" s="64">
        <v>10</v>
      </c>
      <c r="F6" s="101" t="s">
        <v>352</v>
      </c>
      <c r="G6" s="64">
        <v>10</v>
      </c>
      <c r="H6" s="29"/>
      <c r="J6" s="101" t="s">
        <v>352</v>
      </c>
      <c r="K6" s="64">
        <v>10</v>
      </c>
      <c r="N6" s="101" t="s">
        <v>352</v>
      </c>
      <c r="O6" s="64">
        <v>10</v>
      </c>
      <c r="P6" s="29"/>
      <c r="R6" s="101" t="s">
        <v>352</v>
      </c>
      <c r="S6" s="64">
        <v>10</v>
      </c>
      <c r="V6" s="101" t="s">
        <v>352</v>
      </c>
      <c r="W6" s="64">
        <v>10</v>
      </c>
      <c r="X6" s="29"/>
    </row>
    <row r="7" spans="2:24" x14ac:dyDescent="0.25">
      <c r="B7" s="102" t="s">
        <v>357</v>
      </c>
      <c r="C7" s="64" t="s">
        <v>353</v>
      </c>
      <c r="F7" s="102" t="s">
        <v>357</v>
      </c>
      <c r="G7" s="64" t="s">
        <v>353</v>
      </c>
      <c r="H7" s="29"/>
      <c r="J7" s="102" t="s">
        <v>357</v>
      </c>
      <c r="K7" s="64" t="s">
        <v>353</v>
      </c>
      <c r="N7" s="102" t="s">
        <v>357</v>
      </c>
      <c r="O7" s="64" t="s">
        <v>353</v>
      </c>
      <c r="P7" s="29"/>
      <c r="R7" s="102" t="s">
        <v>357</v>
      </c>
      <c r="S7" s="64" t="s">
        <v>353</v>
      </c>
      <c r="V7" s="102" t="s">
        <v>357</v>
      </c>
      <c r="W7" s="64" t="s">
        <v>353</v>
      </c>
      <c r="X7" s="29"/>
    </row>
    <row r="8" spans="2:24" x14ac:dyDescent="0.25">
      <c r="B8" s="78" t="s">
        <v>358</v>
      </c>
      <c r="C8" s="78">
        <v>10</v>
      </c>
      <c r="D8" s="106"/>
      <c r="F8" s="78" t="s">
        <v>358</v>
      </c>
      <c r="G8" s="78">
        <v>10</v>
      </c>
      <c r="H8" s="107"/>
      <c r="J8" s="78" t="s">
        <v>355</v>
      </c>
      <c r="K8" s="78">
        <v>10</v>
      </c>
      <c r="L8" s="106"/>
      <c r="N8" s="78" t="s">
        <v>358</v>
      </c>
      <c r="O8" s="78">
        <v>10</v>
      </c>
      <c r="P8" s="107"/>
      <c r="R8" s="78">
        <v>1</v>
      </c>
      <c r="S8" s="78">
        <v>10</v>
      </c>
      <c r="T8" s="106"/>
      <c r="V8" s="78" t="s">
        <v>358</v>
      </c>
      <c r="W8" s="78">
        <v>10</v>
      </c>
      <c r="X8" s="107"/>
    </row>
    <row r="9" spans="2:24" x14ac:dyDescent="0.25">
      <c r="B9" s="78" t="s">
        <v>359</v>
      </c>
      <c r="C9" s="78">
        <v>5</v>
      </c>
      <c r="D9" s="106"/>
      <c r="F9" s="78" t="s">
        <v>359</v>
      </c>
      <c r="G9" s="78">
        <v>5</v>
      </c>
      <c r="H9" s="107"/>
      <c r="J9" s="78" t="s">
        <v>356</v>
      </c>
      <c r="K9" s="78">
        <v>5</v>
      </c>
      <c r="L9" s="106"/>
      <c r="N9" s="78" t="s">
        <v>359</v>
      </c>
      <c r="O9" s="78">
        <v>5</v>
      </c>
      <c r="P9" s="107"/>
      <c r="R9" s="78" t="s">
        <v>356</v>
      </c>
      <c r="S9" s="78">
        <v>5</v>
      </c>
      <c r="T9" s="106"/>
      <c r="V9" s="78" t="s">
        <v>359</v>
      </c>
      <c r="W9" s="78">
        <v>5</v>
      </c>
      <c r="X9" s="107"/>
    </row>
    <row r="10" spans="2:24" x14ac:dyDescent="0.25">
      <c r="B10" s="103" t="s">
        <v>345</v>
      </c>
      <c r="C10" s="105">
        <f>WEIGHTAGES!C8</f>
        <v>0.26215263551631307</v>
      </c>
      <c r="D10" s="79"/>
      <c r="F10" s="103" t="s">
        <v>345</v>
      </c>
      <c r="G10" s="105">
        <f>WEIGHTAGES!C9</f>
        <v>0.16682848993032839</v>
      </c>
      <c r="H10" s="108"/>
      <c r="J10" s="103" t="s">
        <v>345</v>
      </c>
      <c r="K10" s="115">
        <f>WEIGHTAGES!C16</f>
        <v>0.70787150053006642</v>
      </c>
      <c r="L10" s="79"/>
      <c r="N10" s="103" t="s">
        <v>345</v>
      </c>
      <c r="O10" s="117">
        <f>WEIGHTAGES!C18</f>
        <v>0.1791828244534476</v>
      </c>
      <c r="P10" s="108"/>
      <c r="R10" s="103" t="s">
        <v>345</v>
      </c>
      <c r="S10" s="119">
        <f>WEIGHTAGES!G8</f>
        <v>1</v>
      </c>
      <c r="T10" s="79"/>
      <c r="V10" s="103" t="s">
        <v>345</v>
      </c>
      <c r="W10" s="119">
        <f>WEIGHTAGES!G10</f>
        <v>0.32392413972356338</v>
      </c>
      <c r="X10" s="108"/>
    </row>
    <row r="11" spans="2:24" x14ac:dyDescent="0.25">
      <c r="B11" s="103" t="s">
        <v>354</v>
      </c>
      <c r="C11" s="104">
        <f>IFERROR(IF($C$10&gt;0,C8,),0)</f>
        <v>10</v>
      </c>
      <c r="D11" s="79"/>
      <c r="F11" s="103" t="s">
        <v>354</v>
      </c>
      <c r="G11" s="104">
        <f>IFERROR(IF($G$10&gt;0,G8,),0)</f>
        <v>10</v>
      </c>
      <c r="H11" s="108"/>
      <c r="J11" s="103" t="s">
        <v>354</v>
      </c>
      <c r="K11" s="104">
        <f>IFERROR(IF($K$10&gt;1,K8,5),0)</f>
        <v>5</v>
      </c>
      <c r="L11" s="79"/>
      <c r="N11" s="103" t="s">
        <v>354</v>
      </c>
      <c r="O11" s="104">
        <f>IFERROR(IF($K$20&gt;0,O8,5),0)</f>
        <v>10</v>
      </c>
      <c r="P11" s="108"/>
      <c r="R11" s="103" t="s">
        <v>354</v>
      </c>
      <c r="S11" s="104">
        <f>IFERROR(IF($K$10&gt;1,S8,5),0)</f>
        <v>5</v>
      </c>
      <c r="T11" s="79"/>
      <c r="V11" s="103" t="s">
        <v>354</v>
      </c>
      <c r="W11" s="104">
        <f>IFERROR(IF($K$20&gt;0,W8,5),0)</f>
        <v>10</v>
      </c>
      <c r="X11" s="108"/>
    </row>
    <row r="12" spans="2:24" x14ac:dyDescent="0.25">
      <c r="B12" s="18" t="s">
        <v>350</v>
      </c>
      <c r="C12" s="64">
        <v>10</v>
      </c>
      <c r="D12" s="79"/>
      <c r="F12" s="18" t="s">
        <v>350</v>
      </c>
      <c r="G12" s="64">
        <v>10</v>
      </c>
      <c r="H12" s="108"/>
      <c r="J12" s="18" t="s">
        <v>350</v>
      </c>
      <c r="K12" s="64">
        <v>10</v>
      </c>
      <c r="L12" s="79"/>
      <c r="N12" s="18" t="s">
        <v>350</v>
      </c>
      <c r="O12" s="64">
        <v>10</v>
      </c>
      <c r="P12" s="108"/>
      <c r="R12" s="18" t="s">
        <v>350</v>
      </c>
      <c r="S12" s="64">
        <v>10</v>
      </c>
      <c r="T12" s="79"/>
      <c r="V12" s="18" t="s">
        <v>350</v>
      </c>
      <c r="W12" s="64">
        <v>10</v>
      </c>
      <c r="X12" s="108"/>
    </row>
    <row r="13" spans="2:24" x14ac:dyDescent="0.25">
      <c r="B13" s="28"/>
      <c r="D13" s="79"/>
      <c r="H13" s="29"/>
      <c r="J13" s="28"/>
      <c r="L13" s="79"/>
      <c r="P13" s="29"/>
      <c r="R13" s="28"/>
      <c r="T13" s="79"/>
      <c r="X13" s="29"/>
    </row>
    <row r="14" spans="2:24" x14ac:dyDescent="0.25">
      <c r="B14" s="28"/>
      <c r="D14" s="79"/>
      <c r="H14" s="29"/>
      <c r="J14" s="28"/>
      <c r="L14" s="79"/>
      <c r="P14" s="29"/>
      <c r="R14" s="28"/>
      <c r="T14" s="79"/>
      <c r="X14" s="29"/>
    </row>
    <row r="15" spans="2:24" x14ac:dyDescent="0.25">
      <c r="B15" s="18" t="str">
        <f>'RATIO ANALYSIS'!B6</f>
        <v>Gross Profit Margin</v>
      </c>
      <c r="C15" s="99">
        <f>COUNT(C18:C19)</f>
        <v>2</v>
      </c>
      <c r="D15" s="100"/>
      <c r="H15" s="29"/>
      <c r="J15" s="18" t="s">
        <v>59</v>
      </c>
      <c r="K15" s="99">
        <f>COUNT(K18:K19)</f>
        <v>2</v>
      </c>
      <c r="L15" s="100"/>
      <c r="P15" s="29"/>
      <c r="R15" s="81" t="s">
        <v>63</v>
      </c>
      <c r="S15" s="99">
        <f>COUNT(S18:S19)</f>
        <v>2</v>
      </c>
      <c r="T15" s="100"/>
      <c r="X15" s="29"/>
    </row>
    <row r="16" spans="2:24" x14ac:dyDescent="0.25">
      <c r="B16" s="101" t="s">
        <v>352</v>
      </c>
      <c r="C16" s="64">
        <v>10</v>
      </c>
      <c r="H16" s="29"/>
      <c r="J16" s="101" t="s">
        <v>352</v>
      </c>
      <c r="K16" s="64">
        <v>10</v>
      </c>
      <c r="P16" s="29"/>
      <c r="R16" s="101" t="s">
        <v>352</v>
      </c>
      <c r="S16" s="64">
        <v>10</v>
      </c>
      <c r="X16" s="29"/>
    </row>
    <row r="17" spans="2:24" x14ac:dyDescent="0.25">
      <c r="B17" s="102" t="s">
        <v>357</v>
      </c>
      <c r="C17" s="64" t="s">
        <v>353</v>
      </c>
      <c r="H17" s="29"/>
      <c r="J17" s="102" t="s">
        <v>357</v>
      </c>
      <c r="K17" s="64" t="s">
        <v>353</v>
      </c>
      <c r="P17" s="29"/>
      <c r="R17" s="102" t="s">
        <v>357</v>
      </c>
      <c r="S17" s="64" t="s">
        <v>353</v>
      </c>
      <c r="X17" s="29"/>
    </row>
    <row r="18" spans="2:24" x14ac:dyDescent="0.25">
      <c r="B18" s="78" t="s">
        <v>358</v>
      </c>
      <c r="C18" s="78">
        <v>10</v>
      </c>
      <c r="F18" s="103" t="s">
        <v>361</v>
      </c>
      <c r="G18" s="122">
        <f>SUM(C21,G11,C11)</f>
        <v>30</v>
      </c>
      <c r="H18" s="29"/>
      <c r="J18" s="78" t="s">
        <v>355</v>
      </c>
      <c r="K18" s="78">
        <v>10</v>
      </c>
      <c r="N18" s="103" t="s">
        <v>361</v>
      </c>
      <c r="O18" s="122">
        <f>SUM(K21,O11,K11)</f>
        <v>20</v>
      </c>
      <c r="P18" s="29"/>
      <c r="R18" s="78" t="s">
        <v>355</v>
      </c>
      <c r="S18" s="78">
        <v>10</v>
      </c>
      <c r="V18" s="103" t="s">
        <v>361</v>
      </c>
      <c r="W18" s="122">
        <f>SUM(W11,S21,S11)</f>
        <v>20</v>
      </c>
      <c r="X18" s="29"/>
    </row>
    <row r="19" spans="2:24" x14ac:dyDescent="0.25">
      <c r="B19" s="78" t="s">
        <v>359</v>
      </c>
      <c r="C19" s="78">
        <v>5</v>
      </c>
      <c r="D19" s="106"/>
      <c r="F19" s="103" t="s">
        <v>350</v>
      </c>
      <c r="G19" s="122">
        <f>SUM(C22,G12,C12)</f>
        <v>30</v>
      </c>
      <c r="H19" s="29"/>
      <c r="J19" s="78" t="s">
        <v>356</v>
      </c>
      <c r="K19" s="78">
        <v>5</v>
      </c>
      <c r="L19" s="106"/>
      <c r="N19" s="103" t="s">
        <v>350</v>
      </c>
      <c r="O19" s="122">
        <f>SUM(K22,O12,K12)</f>
        <v>30</v>
      </c>
      <c r="P19" s="29"/>
      <c r="R19" s="78" t="s">
        <v>356</v>
      </c>
      <c r="S19" s="78">
        <v>5</v>
      </c>
      <c r="T19" s="106"/>
      <c r="V19" s="103" t="s">
        <v>350</v>
      </c>
      <c r="W19" s="122">
        <f>SUM(S22,W12,S12,)</f>
        <v>30</v>
      </c>
      <c r="X19" s="29"/>
    </row>
    <row r="20" spans="2:24" ht="15.75" thickBot="1" x14ac:dyDescent="0.3">
      <c r="B20" s="103" t="s">
        <v>345</v>
      </c>
      <c r="C20" s="114">
        <f>WEIGHTAGES!C10</f>
        <v>0.15788422532859464</v>
      </c>
      <c r="D20" s="106"/>
      <c r="F20" s="123" t="s">
        <v>330</v>
      </c>
      <c r="G20" s="124">
        <f>G18/G19</f>
        <v>1</v>
      </c>
      <c r="H20" s="29"/>
      <c r="J20" s="103" t="s">
        <v>345</v>
      </c>
      <c r="K20" s="116">
        <f>WEIGHTAGES!C17</f>
        <v>0.52196628680801416</v>
      </c>
      <c r="L20" s="106"/>
      <c r="N20" s="123" t="s">
        <v>330</v>
      </c>
      <c r="O20" s="124">
        <f>O18/O19</f>
        <v>0.66666666666666663</v>
      </c>
      <c r="P20" s="29"/>
      <c r="R20" s="103" t="s">
        <v>345</v>
      </c>
      <c r="S20" s="120">
        <f>WEIGHTAGES!G9</f>
        <v>0.47077651398912851</v>
      </c>
      <c r="T20" s="106"/>
      <c r="V20" s="123" t="s">
        <v>330</v>
      </c>
      <c r="W20" s="124">
        <f>W18/W19</f>
        <v>0.66666666666666663</v>
      </c>
      <c r="X20" s="29"/>
    </row>
    <row r="21" spans="2:24" ht="15.75" thickTop="1" x14ac:dyDescent="0.25">
      <c r="B21" s="103" t="s">
        <v>354</v>
      </c>
      <c r="C21" s="104">
        <f>IFERROR(IF($C$20&gt;0,C18,),0)</f>
        <v>10</v>
      </c>
      <c r="D21" s="79"/>
      <c r="H21" s="29"/>
      <c r="J21" s="103" t="s">
        <v>354</v>
      </c>
      <c r="K21" s="104">
        <f>IFERROR(IF($K$20&gt;1,K18,5),0)</f>
        <v>5</v>
      </c>
      <c r="L21" s="79"/>
      <c r="P21" s="29"/>
      <c r="R21" s="103" t="s">
        <v>354</v>
      </c>
      <c r="S21" s="104">
        <f>IFERROR(IF($K$20&gt;1,S18,5),0)</f>
        <v>5</v>
      </c>
      <c r="T21" s="79"/>
      <c r="X21" s="29"/>
    </row>
    <row r="22" spans="2:24" x14ac:dyDescent="0.25">
      <c r="B22" s="18" t="s">
        <v>350</v>
      </c>
      <c r="C22" s="64">
        <v>10</v>
      </c>
      <c r="D22" s="79"/>
      <c r="H22" s="29"/>
      <c r="J22" s="18" t="s">
        <v>350</v>
      </c>
      <c r="K22" s="64">
        <v>10</v>
      </c>
      <c r="L22" s="79"/>
      <c r="P22" s="29"/>
      <c r="R22" s="18" t="s">
        <v>350</v>
      </c>
      <c r="S22" s="64">
        <v>10</v>
      </c>
      <c r="T22" s="79"/>
      <c r="X22" s="29"/>
    </row>
    <row r="23" spans="2:24" x14ac:dyDescent="0.25">
      <c r="B23" s="31"/>
      <c r="C23" s="32"/>
      <c r="D23" s="109"/>
      <c r="E23" s="32"/>
      <c r="F23" s="32"/>
      <c r="G23" s="32"/>
      <c r="H23" s="33"/>
      <c r="J23" s="31"/>
      <c r="K23" s="32"/>
      <c r="L23" s="109"/>
      <c r="M23" s="32"/>
      <c r="N23" s="32"/>
      <c r="O23" s="32"/>
      <c r="P23" s="33"/>
      <c r="R23" s="31"/>
      <c r="S23" s="32"/>
      <c r="T23" s="109"/>
      <c r="U23" s="32"/>
      <c r="V23" s="32"/>
      <c r="W23" s="32"/>
      <c r="X23" s="33"/>
    </row>
    <row r="25" spans="2:24" ht="15.75" thickBot="1" x14ac:dyDescent="0.3">
      <c r="B25" s="282" t="s">
        <v>65</v>
      </c>
      <c r="C25" s="283"/>
      <c r="D25" s="283"/>
      <c r="E25" s="283"/>
      <c r="F25" s="283"/>
      <c r="G25" s="283"/>
      <c r="H25" s="284"/>
      <c r="J25" s="280" t="s">
        <v>68</v>
      </c>
      <c r="K25" s="281"/>
      <c r="L25" s="281"/>
      <c r="M25" s="281"/>
      <c r="N25" s="281"/>
      <c r="O25" s="281"/>
      <c r="P25" s="265"/>
    </row>
    <row r="26" spans="2:24" ht="16.5" thickTop="1" thickBot="1" x14ac:dyDescent="0.3">
      <c r="B26" s="16" t="s">
        <v>66</v>
      </c>
      <c r="C26" s="111">
        <f>COUNT(C29:C30)</f>
        <v>2</v>
      </c>
      <c r="D26" s="112"/>
      <c r="F26" s="82" t="s">
        <v>67</v>
      </c>
      <c r="G26" s="111">
        <f>COUNT(G29:G30)</f>
        <v>2</v>
      </c>
      <c r="H26" s="112"/>
      <c r="J26" s="130" t="s">
        <v>70</v>
      </c>
      <c r="K26" s="111">
        <f>COUNT(K29:K30)</f>
        <v>2</v>
      </c>
      <c r="L26" s="112"/>
      <c r="N26" s="130" t="s">
        <v>69</v>
      </c>
      <c r="O26" s="111">
        <f>COUNT(O29:O30)</f>
        <v>2</v>
      </c>
      <c r="P26" s="112"/>
    </row>
    <row r="27" spans="2:24" ht="15.75" thickTop="1" x14ac:dyDescent="0.25">
      <c r="B27" s="101" t="s">
        <v>352</v>
      </c>
      <c r="C27" s="64">
        <v>10</v>
      </c>
      <c r="F27" s="101" t="s">
        <v>352</v>
      </c>
      <c r="G27" s="64">
        <v>10</v>
      </c>
      <c r="H27" s="29"/>
      <c r="J27" s="101" t="s">
        <v>352</v>
      </c>
      <c r="K27" s="64">
        <v>10</v>
      </c>
      <c r="N27" s="101" t="s">
        <v>352</v>
      </c>
      <c r="O27" s="64">
        <v>10</v>
      </c>
      <c r="P27" s="29"/>
    </row>
    <row r="28" spans="2:24" x14ac:dyDescent="0.25">
      <c r="B28" s="102" t="s">
        <v>357</v>
      </c>
      <c r="C28" s="64" t="s">
        <v>353</v>
      </c>
      <c r="F28" s="102" t="s">
        <v>357</v>
      </c>
      <c r="G28" s="64" t="s">
        <v>353</v>
      </c>
      <c r="H28" s="29"/>
      <c r="J28" s="102" t="s">
        <v>357</v>
      </c>
      <c r="K28" s="64" t="s">
        <v>353</v>
      </c>
      <c r="N28" s="102" t="s">
        <v>357</v>
      </c>
      <c r="O28" s="64" t="s">
        <v>353</v>
      </c>
      <c r="P28" s="29"/>
    </row>
    <row r="29" spans="2:24" x14ac:dyDescent="0.25">
      <c r="B29" s="78" t="s">
        <v>358</v>
      </c>
      <c r="C29" s="78">
        <v>10</v>
      </c>
      <c r="D29" s="106"/>
      <c r="F29" s="78" t="s">
        <v>358</v>
      </c>
      <c r="G29" s="78">
        <v>10</v>
      </c>
      <c r="H29" s="107"/>
      <c r="J29" s="78" t="s">
        <v>366</v>
      </c>
      <c r="K29" s="78">
        <v>10</v>
      </c>
      <c r="L29" s="106"/>
      <c r="N29" s="78" t="s">
        <v>366</v>
      </c>
      <c r="O29" s="78">
        <v>10</v>
      </c>
      <c r="P29" s="107"/>
    </row>
    <row r="30" spans="2:24" x14ac:dyDescent="0.25">
      <c r="B30" s="78" t="s">
        <v>359</v>
      </c>
      <c r="C30" s="78">
        <v>5</v>
      </c>
      <c r="D30" s="106"/>
      <c r="F30" s="78" t="s">
        <v>359</v>
      </c>
      <c r="G30" s="78">
        <v>5</v>
      </c>
      <c r="H30" s="107"/>
      <c r="J30" s="78" t="s">
        <v>367</v>
      </c>
      <c r="K30" s="78">
        <v>5</v>
      </c>
      <c r="L30" s="106"/>
      <c r="N30" s="78" t="s">
        <v>367</v>
      </c>
      <c r="O30" s="78">
        <v>5</v>
      </c>
      <c r="P30" s="107"/>
    </row>
    <row r="31" spans="2:24" x14ac:dyDescent="0.25">
      <c r="B31" s="103" t="s">
        <v>345</v>
      </c>
      <c r="C31" s="105"/>
      <c r="D31" s="79"/>
      <c r="F31" s="103" t="s">
        <v>345</v>
      </c>
      <c r="G31" s="105"/>
      <c r="H31" s="108"/>
      <c r="J31" s="103" t="s">
        <v>345</v>
      </c>
      <c r="K31" s="132">
        <f>'RATIO ANALYSIS'!I4</f>
        <v>5</v>
      </c>
      <c r="L31" s="79"/>
      <c r="N31" s="103" t="s">
        <v>345</v>
      </c>
      <c r="O31" s="131">
        <f>'RATIO ANALYSIS'!I5</f>
        <v>5.0505050505050509E-3</v>
      </c>
      <c r="P31" s="108"/>
    </row>
    <row r="32" spans="2:24" x14ac:dyDescent="0.25">
      <c r="B32" s="103" t="s">
        <v>354</v>
      </c>
      <c r="C32" s="104">
        <f>IFERROR(IF($C$10&gt;0,C29,),0)</f>
        <v>10</v>
      </c>
      <c r="D32" s="79"/>
      <c r="F32" s="103" t="s">
        <v>354</v>
      </c>
      <c r="G32" s="104">
        <f>IFERROR(IF($G$10&gt;0,G29,),0)</f>
        <v>10</v>
      </c>
      <c r="H32" s="108"/>
      <c r="J32" s="103" t="s">
        <v>354</v>
      </c>
      <c r="K32" s="104">
        <f>IFERROR(IF(K31&gt;INPUT!$H$7,5,10),0)</f>
        <v>10</v>
      </c>
      <c r="L32" s="79"/>
      <c r="N32" s="103" t="s">
        <v>354</v>
      </c>
      <c r="O32" s="104">
        <f>IFERROR(IF(O31&gt;INPUT!H9,10,5),0)</f>
        <v>5</v>
      </c>
      <c r="P32" s="108"/>
    </row>
    <row r="33" spans="2:16" x14ac:dyDescent="0.25">
      <c r="B33" s="18" t="s">
        <v>350</v>
      </c>
      <c r="C33" s="64">
        <v>10</v>
      </c>
      <c r="D33" s="79"/>
      <c r="F33" s="18" t="s">
        <v>350</v>
      </c>
      <c r="G33" s="64">
        <v>10</v>
      </c>
      <c r="H33" s="108"/>
      <c r="J33" s="18" t="s">
        <v>350</v>
      </c>
      <c r="K33" s="64">
        <v>10</v>
      </c>
      <c r="L33" s="79"/>
      <c r="N33" s="18" t="s">
        <v>350</v>
      </c>
      <c r="O33" s="64">
        <v>10</v>
      </c>
      <c r="P33" s="108"/>
    </row>
    <row r="34" spans="2:16" x14ac:dyDescent="0.25">
      <c r="B34" s="28"/>
      <c r="D34" s="79"/>
      <c r="H34" s="29"/>
      <c r="J34" s="28"/>
      <c r="L34" s="79"/>
      <c r="P34" s="29"/>
    </row>
    <row r="35" spans="2:16" x14ac:dyDescent="0.25">
      <c r="B35" s="28"/>
      <c r="D35" s="79"/>
      <c r="F35" s="103" t="s">
        <v>361</v>
      </c>
      <c r="G35" s="129">
        <f>SUM(G32,C32)</f>
        <v>20</v>
      </c>
      <c r="H35" s="29"/>
      <c r="J35" s="28"/>
      <c r="L35" s="79"/>
      <c r="P35" s="29"/>
    </row>
    <row r="36" spans="2:16" x14ac:dyDescent="0.25">
      <c r="B36" s="31"/>
      <c r="C36" s="32"/>
      <c r="D36" s="109"/>
      <c r="F36" s="103" t="s">
        <v>350</v>
      </c>
      <c r="G36" s="122">
        <f>SUM(G33,C33)</f>
        <v>20</v>
      </c>
      <c r="H36" s="29"/>
      <c r="J36" s="81" t="s">
        <v>281</v>
      </c>
      <c r="K36" s="99">
        <f>COUNT(K39:K40)</f>
        <v>2</v>
      </c>
      <c r="L36" s="100"/>
      <c r="P36" s="29"/>
    </row>
    <row r="37" spans="2:16" ht="15.75" thickBot="1" x14ac:dyDescent="0.3">
      <c r="B37" s="28"/>
      <c r="F37" s="123" t="s">
        <v>330</v>
      </c>
      <c r="G37" s="124">
        <f>G35/G36</f>
        <v>1</v>
      </c>
      <c r="H37" s="29"/>
      <c r="J37" s="101" t="s">
        <v>352</v>
      </c>
      <c r="K37" s="64">
        <v>10</v>
      </c>
      <c r="P37" s="29"/>
    </row>
    <row r="38" spans="2:16" ht="15.75" thickTop="1" x14ac:dyDescent="0.25">
      <c r="B38" s="31"/>
      <c r="C38" s="32"/>
      <c r="D38" s="32"/>
      <c r="E38" s="32"/>
      <c r="F38" s="32"/>
      <c r="G38" s="32"/>
      <c r="H38" s="33"/>
      <c r="J38" s="102" t="s">
        <v>357</v>
      </c>
      <c r="K38" s="64" t="s">
        <v>353</v>
      </c>
      <c r="P38" s="29"/>
    </row>
    <row r="39" spans="2:16" x14ac:dyDescent="0.25">
      <c r="J39" s="78" t="s">
        <v>366</v>
      </c>
      <c r="K39" s="78">
        <v>10</v>
      </c>
      <c r="N39" s="103" t="s">
        <v>361</v>
      </c>
      <c r="O39" s="122">
        <f>SUM(K42,O32,K32,K52,O52,K61)</f>
        <v>35</v>
      </c>
      <c r="P39" s="29"/>
    </row>
    <row r="40" spans="2:16" x14ac:dyDescent="0.25">
      <c r="J40" s="78" t="s">
        <v>367</v>
      </c>
      <c r="K40" s="78">
        <v>5</v>
      </c>
      <c r="L40" s="106"/>
      <c r="N40" s="103" t="s">
        <v>350</v>
      </c>
      <c r="O40" s="122">
        <f>SUM(K43,O33,K33,K53,O53,K62)</f>
        <v>60</v>
      </c>
      <c r="P40" s="29"/>
    </row>
    <row r="41" spans="2:16" ht="15.75" thickBot="1" x14ac:dyDescent="0.3">
      <c r="J41" s="103" t="s">
        <v>345</v>
      </c>
      <c r="K41" s="116">
        <f>'RATIO ANALYSIS'!I6</f>
        <v>20.794947368421052</v>
      </c>
      <c r="L41" s="106"/>
      <c r="N41" s="123" t="s">
        <v>330</v>
      </c>
      <c r="O41" s="124">
        <f>O39/O40</f>
        <v>0.58333333333333337</v>
      </c>
      <c r="P41" s="29"/>
    </row>
    <row r="42" spans="2:16" ht="15.75" thickTop="1" x14ac:dyDescent="0.25">
      <c r="J42" s="103" t="s">
        <v>354</v>
      </c>
      <c r="K42" s="104">
        <f>IFERROR(IF(K41&gt;INPUT!$H$7,5,10),0)</f>
        <v>5</v>
      </c>
      <c r="L42" s="79"/>
      <c r="P42" s="29"/>
    </row>
    <row r="43" spans="2:16" x14ac:dyDescent="0.25">
      <c r="J43" s="18" t="s">
        <v>350</v>
      </c>
      <c r="K43" s="64">
        <v>10</v>
      </c>
      <c r="L43" s="79"/>
      <c r="P43" s="29"/>
    </row>
    <row r="44" spans="2:16" x14ac:dyDescent="0.25">
      <c r="J44" s="31"/>
      <c r="K44" s="32"/>
      <c r="L44" s="109"/>
      <c r="M44" s="32"/>
      <c r="N44" s="32"/>
      <c r="O44" s="32"/>
      <c r="P44" s="33"/>
    </row>
    <row r="45" spans="2:16" x14ac:dyDescent="0.25">
      <c r="J45" s="28"/>
      <c r="P45" s="29"/>
    </row>
    <row r="46" spans="2:16" x14ac:dyDescent="0.25">
      <c r="J46" s="16" t="s">
        <v>282</v>
      </c>
      <c r="K46" s="99">
        <f>COUNT(K49:K50)</f>
        <v>2</v>
      </c>
      <c r="L46" s="100"/>
      <c r="N46" s="16" t="s">
        <v>340</v>
      </c>
      <c r="O46" s="99">
        <f>COUNT(O49:O50)</f>
        <v>2</v>
      </c>
      <c r="P46" s="100"/>
    </row>
    <row r="47" spans="2:16" x14ac:dyDescent="0.25">
      <c r="J47" s="101" t="s">
        <v>352</v>
      </c>
      <c r="K47" s="64">
        <v>10</v>
      </c>
      <c r="N47" s="101" t="s">
        <v>352</v>
      </c>
      <c r="O47" s="64">
        <v>10</v>
      </c>
      <c r="P47" s="29"/>
    </row>
    <row r="48" spans="2:16" x14ac:dyDescent="0.25">
      <c r="J48" s="102" t="s">
        <v>357</v>
      </c>
      <c r="K48" s="64" t="s">
        <v>353</v>
      </c>
      <c r="N48" s="102" t="s">
        <v>357</v>
      </c>
      <c r="O48" s="64" t="s">
        <v>353</v>
      </c>
      <c r="P48" s="29"/>
    </row>
    <row r="49" spans="10:16" x14ac:dyDescent="0.25">
      <c r="J49" s="78" t="s">
        <v>366</v>
      </c>
      <c r="K49" s="78">
        <v>10</v>
      </c>
      <c r="N49" s="78" t="s">
        <v>366</v>
      </c>
      <c r="O49" s="78">
        <v>10</v>
      </c>
      <c r="P49" s="29"/>
    </row>
    <row r="50" spans="10:16" x14ac:dyDescent="0.25">
      <c r="J50" s="78" t="s">
        <v>367</v>
      </c>
      <c r="K50" s="78">
        <v>5</v>
      </c>
      <c r="L50" s="106"/>
      <c r="N50" s="78" t="s">
        <v>367</v>
      </c>
      <c r="O50" s="78">
        <v>5</v>
      </c>
      <c r="P50" s="107"/>
    </row>
    <row r="51" spans="10:16" x14ac:dyDescent="0.25">
      <c r="J51" s="103" t="s">
        <v>345</v>
      </c>
      <c r="K51" s="116">
        <f>'RATIO ANALYSIS'!I7</f>
        <v>47.607718474123267</v>
      </c>
      <c r="L51" s="106"/>
      <c r="N51" s="103" t="s">
        <v>345</v>
      </c>
      <c r="O51" s="116">
        <f>'RATIO ANALYSIS'!I8</f>
        <v>78.650000000000006</v>
      </c>
      <c r="P51" s="107"/>
    </row>
    <row r="52" spans="10:16" x14ac:dyDescent="0.25">
      <c r="J52" s="103" t="s">
        <v>354</v>
      </c>
      <c r="K52" s="104">
        <f>IFERROR(IF(K51&gt;INPUT!$H$6,5,10),0)</f>
        <v>5</v>
      </c>
      <c r="L52" s="79"/>
      <c r="N52" s="103" t="s">
        <v>354</v>
      </c>
      <c r="O52" s="104">
        <f>IFERROR(IF(O51&gt;INPUT!H12,5,10),0)</f>
        <v>5</v>
      </c>
      <c r="P52" s="108"/>
    </row>
    <row r="53" spans="10:16" x14ac:dyDescent="0.25">
      <c r="J53" s="18" t="s">
        <v>350</v>
      </c>
      <c r="K53" s="64">
        <v>10</v>
      </c>
      <c r="L53" s="79"/>
      <c r="N53" s="18" t="s">
        <v>350</v>
      </c>
      <c r="O53" s="64">
        <v>10</v>
      </c>
      <c r="P53" s="108"/>
    </row>
    <row r="54" spans="10:16" x14ac:dyDescent="0.25">
      <c r="J54" s="28"/>
      <c r="P54" s="29"/>
    </row>
    <row r="55" spans="10:16" ht="15.75" thickBot="1" x14ac:dyDescent="0.3">
      <c r="J55" s="82" t="s">
        <v>341</v>
      </c>
      <c r="K55" s="99">
        <f>COUNT(K58:K59)</f>
        <v>2</v>
      </c>
      <c r="L55" s="100"/>
      <c r="P55" s="29"/>
    </row>
    <row r="56" spans="10:16" ht="15.75" thickTop="1" x14ac:dyDescent="0.25">
      <c r="J56" s="101" t="s">
        <v>352</v>
      </c>
      <c r="K56" s="64">
        <v>10</v>
      </c>
      <c r="P56" s="29"/>
    </row>
    <row r="57" spans="10:16" x14ac:dyDescent="0.25">
      <c r="J57" s="102" t="s">
        <v>357</v>
      </c>
      <c r="K57" s="64" t="s">
        <v>353</v>
      </c>
      <c r="P57" s="29"/>
    </row>
    <row r="58" spans="10:16" x14ac:dyDescent="0.25">
      <c r="J58" s="78" t="s">
        <v>366</v>
      </c>
      <c r="K58" s="78">
        <v>10</v>
      </c>
      <c r="P58" s="29"/>
    </row>
    <row r="59" spans="10:16" x14ac:dyDescent="0.25">
      <c r="J59" s="78" t="s">
        <v>367</v>
      </c>
      <c r="K59" s="78">
        <v>5</v>
      </c>
      <c r="L59" s="106"/>
      <c r="P59" s="29"/>
    </row>
    <row r="60" spans="10:16" x14ac:dyDescent="0.25">
      <c r="J60" s="103" t="s">
        <v>345</v>
      </c>
      <c r="K60" s="116">
        <f>'RATIO ANALYSIS'!I9</f>
        <v>12.587412587412587</v>
      </c>
      <c r="L60" s="106"/>
      <c r="P60" s="29"/>
    </row>
    <row r="61" spans="10:16" x14ac:dyDescent="0.25">
      <c r="J61" s="103" t="s">
        <v>354</v>
      </c>
      <c r="K61" s="104">
        <f>IFERROR(IF(K60&gt;INPUT!$H$10,5,10),0)</f>
        <v>5</v>
      </c>
      <c r="L61" s="79"/>
      <c r="P61" s="29"/>
    </row>
    <row r="62" spans="10:16" x14ac:dyDescent="0.25">
      <c r="J62" s="18" t="s">
        <v>350</v>
      </c>
      <c r="K62" s="64">
        <v>10</v>
      </c>
      <c r="L62" s="79"/>
      <c r="P62" s="29"/>
    </row>
    <row r="63" spans="10:16" x14ac:dyDescent="0.25">
      <c r="J63" s="31"/>
      <c r="K63" s="32"/>
      <c r="L63" s="32"/>
      <c r="M63" s="32"/>
      <c r="N63" s="32"/>
      <c r="O63" s="32"/>
      <c r="P63" s="33"/>
    </row>
  </sheetData>
  <mergeCells count="5">
    <mergeCell ref="B4:H4"/>
    <mergeCell ref="J4:P4"/>
    <mergeCell ref="R4:X4"/>
    <mergeCell ref="B25:H25"/>
    <mergeCell ref="J25:P25"/>
  </mergeCells>
  <conditionalFormatting sqref="D5">
    <cfRule type="colorScale" priority="18">
      <colorScale>
        <cfvo type="min"/>
        <cfvo type="percentile" val="50"/>
        <cfvo type="max"/>
        <color rgb="FFF8696B"/>
        <color rgb="FFFFEB84"/>
        <color rgb="FF63BE7B"/>
      </colorScale>
    </cfRule>
  </conditionalFormatting>
  <conditionalFormatting sqref="D15">
    <cfRule type="colorScale" priority="16">
      <colorScale>
        <cfvo type="min"/>
        <cfvo type="percentile" val="50"/>
        <cfvo type="max"/>
        <color rgb="FFF8696B"/>
        <color rgb="FFFFEB84"/>
        <color rgb="FF63BE7B"/>
      </colorScale>
    </cfRule>
  </conditionalFormatting>
  <conditionalFormatting sqref="D26">
    <cfRule type="colorScale" priority="9">
      <colorScale>
        <cfvo type="min"/>
        <cfvo type="percentile" val="50"/>
        <cfvo type="max"/>
        <color rgb="FFF8696B"/>
        <color rgb="FFFFEB84"/>
        <color rgb="FF63BE7B"/>
      </colorScale>
    </cfRule>
  </conditionalFormatting>
  <conditionalFormatting sqref="H5">
    <cfRule type="colorScale" priority="17">
      <colorScale>
        <cfvo type="min"/>
        <cfvo type="percentile" val="50"/>
        <cfvo type="max"/>
        <color rgb="FFF8696B"/>
        <color rgb="FFFFEB84"/>
        <color rgb="FF63BE7B"/>
      </colorScale>
    </cfRule>
  </conditionalFormatting>
  <conditionalFormatting sqref="H26">
    <cfRule type="colorScale" priority="8">
      <colorScale>
        <cfvo type="min"/>
        <cfvo type="percentile" val="50"/>
        <cfvo type="max"/>
        <color rgb="FFF8696B"/>
        <color rgb="FFFFEB84"/>
        <color rgb="FF63BE7B"/>
      </colorScale>
    </cfRule>
  </conditionalFormatting>
  <conditionalFormatting sqref="L5">
    <cfRule type="colorScale" priority="15">
      <colorScale>
        <cfvo type="min"/>
        <cfvo type="percentile" val="50"/>
        <cfvo type="max"/>
        <color rgb="FFF8696B"/>
        <color rgb="FFFFEB84"/>
        <color rgb="FF63BE7B"/>
      </colorScale>
    </cfRule>
  </conditionalFormatting>
  <conditionalFormatting sqref="L15">
    <cfRule type="colorScale" priority="13">
      <colorScale>
        <cfvo type="min"/>
        <cfvo type="percentile" val="50"/>
        <cfvo type="max"/>
        <color rgb="FFF8696B"/>
        <color rgb="FFFFEB84"/>
        <color rgb="FF63BE7B"/>
      </colorScale>
    </cfRule>
  </conditionalFormatting>
  <conditionalFormatting sqref="L26">
    <cfRule type="colorScale" priority="6">
      <colorScale>
        <cfvo type="min"/>
        <cfvo type="percentile" val="50"/>
        <cfvo type="max"/>
        <color rgb="FFF8696B"/>
        <color rgb="FFFFEB84"/>
        <color rgb="FF63BE7B"/>
      </colorScale>
    </cfRule>
  </conditionalFormatting>
  <conditionalFormatting sqref="L36">
    <cfRule type="colorScale" priority="4">
      <colorScale>
        <cfvo type="min"/>
        <cfvo type="percentile" val="50"/>
        <cfvo type="max"/>
        <color rgb="FFF8696B"/>
        <color rgb="FFFFEB84"/>
        <color rgb="FF63BE7B"/>
      </colorScale>
    </cfRule>
  </conditionalFormatting>
  <conditionalFormatting sqref="L46">
    <cfRule type="colorScale" priority="3">
      <colorScale>
        <cfvo type="min"/>
        <cfvo type="percentile" val="50"/>
        <cfvo type="max"/>
        <color rgb="FFF8696B"/>
        <color rgb="FFFFEB84"/>
        <color rgb="FF63BE7B"/>
      </colorScale>
    </cfRule>
  </conditionalFormatting>
  <conditionalFormatting sqref="L55">
    <cfRule type="colorScale" priority="1">
      <colorScale>
        <cfvo type="min"/>
        <cfvo type="percentile" val="50"/>
        <cfvo type="max"/>
        <color rgb="FFF8696B"/>
        <color rgb="FFFFEB84"/>
        <color rgb="FF63BE7B"/>
      </colorScale>
    </cfRule>
  </conditionalFormatting>
  <conditionalFormatting sqref="P5">
    <cfRule type="colorScale" priority="14">
      <colorScale>
        <cfvo type="min"/>
        <cfvo type="percentile" val="50"/>
        <cfvo type="max"/>
        <color rgb="FFF8696B"/>
        <color rgb="FFFFEB84"/>
        <color rgb="FF63BE7B"/>
      </colorScale>
    </cfRule>
  </conditionalFormatting>
  <conditionalFormatting sqref="P26">
    <cfRule type="colorScale" priority="5">
      <colorScale>
        <cfvo type="min"/>
        <cfvo type="percentile" val="50"/>
        <cfvo type="max"/>
        <color rgb="FFF8696B"/>
        <color rgb="FFFFEB84"/>
        <color rgb="FF63BE7B"/>
      </colorScale>
    </cfRule>
  </conditionalFormatting>
  <conditionalFormatting sqref="P46">
    <cfRule type="colorScale" priority="2">
      <colorScale>
        <cfvo type="min"/>
        <cfvo type="percentile" val="50"/>
        <cfvo type="max"/>
        <color rgb="FFF8696B"/>
        <color rgb="FFFFEB84"/>
        <color rgb="FF63BE7B"/>
      </colorScale>
    </cfRule>
  </conditionalFormatting>
  <conditionalFormatting sqref="T5">
    <cfRule type="colorScale" priority="12">
      <colorScale>
        <cfvo type="min"/>
        <cfvo type="percentile" val="50"/>
        <cfvo type="max"/>
        <color rgb="FFF8696B"/>
        <color rgb="FFFFEB84"/>
        <color rgb="FF63BE7B"/>
      </colorScale>
    </cfRule>
  </conditionalFormatting>
  <conditionalFormatting sqref="T15">
    <cfRule type="colorScale" priority="10">
      <colorScale>
        <cfvo type="min"/>
        <cfvo type="percentile" val="50"/>
        <cfvo type="max"/>
        <color rgb="FFF8696B"/>
        <color rgb="FFFFEB84"/>
        <color rgb="FF63BE7B"/>
      </colorScale>
    </cfRule>
  </conditionalFormatting>
  <conditionalFormatting sqref="X5">
    <cfRule type="colorScale" priority="1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50AF7-E362-4730-A48A-F2C8FE9E565A}">
  <sheetPr codeName="Sheet9"/>
  <dimension ref="B2:X63"/>
  <sheetViews>
    <sheetView showGridLines="0" zoomScale="38" workbookViewId="0">
      <selection activeCell="S39" sqref="S39"/>
    </sheetView>
  </sheetViews>
  <sheetFormatPr defaultRowHeight="15" x14ac:dyDescent="0.25"/>
  <cols>
    <col min="2" max="2" width="21.28515625" bestFit="1" customWidth="1"/>
    <col min="6" max="6" width="25.28515625" bestFit="1" customWidth="1"/>
    <col min="10" max="10" width="20.140625" bestFit="1" customWidth="1"/>
    <col min="14" max="14" width="21.28515625" bestFit="1" customWidth="1"/>
    <col min="18" max="18" width="20.28515625" bestFit="1" customWidth="1"/>
    <col min="19" max="19" width="11.5703125" customWidth="1"/>
    <col min="22" max="22" width="22" bestFit="1" customWidth="1"/>
    <col min="27" max="27" width="14.85546875" customWidth="1"/>
  </cols>
  <sheetData>
    <row r="2" spans="2:24" x14ac:dyDescent="0.25">
      <c r="B2" s="13" t="s">
        <v>392</v>
      </c>
    </row>
    <row r="4" spans="2:24" ht="15.75" thickBot="1" x14ac:dyDescent="0.3">
      <c r="B4" s="275" t="str">
        <f>WEIGHTAGES!B5</f>
        <v>Profitability Ratios</v>
      </c>
      <c r="C4" s="276"/>
      <c r="D4" s="276"/>
      <c r="E4" s="276"/>
      <c r="F4" s="276"/>
      <c r="G4" s="276"/>
      <c r="H4" s="277"/>
      <c r="J4" s="278" t="s">
        <v>57</v>
      </c>
      <c r="K4" s="276"/>
      <c r="L4" s="276"/>
      <c r="M4" s="276"/>
      <c r="N4" s="279"/>
      <c r="O4" s="276"/>
      <c r="P4" s="277"/>
      <c r="R4" s="280" t="s">
        <v>61</v>
      </c>
      <c r="S4" s="281"/>
      <c r="T4" s="281"/>
      <c r="U4" s="281"/>
      <c r="V4" s="281"/>
      <c r="W4" s="281"/>
      <c r="X4" s="265"/>
    </row>
    <row r="5" spans="2:24" ht="16.5" thickTop="1" thickBot="1" x14ac:dyDescent="0.3">
      <c r="B5" s="110" t="str">
        <f>'RATIO ANALYSIS'!B4</f>
        <v>Return on Equity</v>
      </c>
      <c r="C5" s="111">
        <f>COUNT(C8:C9)</f>
        <v>2</v>
      </c>
      <c r="D5" s="112"/>
      <c r="F5" s="110" t="str">
        <f>'RATIO ANALYSIS'!B5</f>
        <v>Return on Assets</v>
      </c>
      <c r="G5" s="111">
        <f>COUNT(G8:G9)</f>
        <v>2</v>
      </c>
      <c r="H5" s="112"/>
      <c r="J5" s="18" t="s">
        <v>58</v>
      </c>
      <c r="K5" s="111">
        <f>COUNT(K8:K9)</f>
        <v>2</v>
      </c>
      <c r="L5" s="112"/>
      <c r="N5" s="18" t="s">
        <v>60</v>
      </c>
      <c r="O5" s="111">
        <f>COUNT(O8:O9)</f>
        <v>2</v>
      </c>
      <c r="P5" s="112"/>
      <c r="R5" s="81" t="s">
        <v>62</v>
      </c>
      <c r="S5" s="111">
        <f>COUNT(S8:S9)</f>
        <v>2</v>
      </c>
      <c r="T5" s="112"/>
      <c r="V5" s="121" t="s">
        <v>64</v>
      </c>
      <c r="W5" s="111">
        <f>COUNT(W8:W9)</f>
        <v>2</v>
      </c>
      <c r="X5" s="112"/>
    </row>
    <row r="6" spans="2:24" ht="15.75" thickTop="1" x14ac:dyDescent="0.25">
      <c r="B6" s="101" t="s">
        <v>352</v>
      </c>
      <c r="C6" s="64">
        <v>10</v>
      </c>
      <c r="F6" s="101" t="s">
        <v>352</v>
      </c>
      <c r="G6" s="64">
        <v>10</v>
      </c>
      <c r="H6" s="29"/>
      <c r="J6" s="101" t="s">
        <v>352</v>
      </c>
      <c r="K6" s="64">
        <v>10</v>
      </c>
      <c r="N6" s="101" t="s">
        <v>352</v>
      </c>
      <c r="O6" s="64">
        <v>10</v>
      </c>
      <c r="P6" s="29"/>
      <c r="R6" s="101" t="s">
        <v>352</v>
      </c>
      <c r="S6" s="64">
        <v>10</v>
      </c>
      <c r="V6" s="101" t="s">
        <v>352</v>
      </c>
      <c r="W6" s="64">
        <v>10</v>
      </c>
      <c r="X6" s="29"/>
    </row>
    <row r="7" spans="2:24" x14ac:dyDescent="0.25">
      <c r="B7" s="102" t="s">
        <v>357</v>
      </c>
      <c r="C7" s="64" t="s">
        <v>353</v>
      </c>
      <c r="F7" s="102" t="s">
        <v>357</v>
      </c>
      <c r="G7" s="64" t="s">
        <v>353</v>
      </c>
      <c r="H7" s="29"/>
      <c r="J7" s="102" t="s">
        <v>357</v>
      </c>
      <c r="K7" s="64" t="s">
        <v>353</v>
      </c>
      <c r="N7" s="102" t="s">
        <v>357</v>
      </c>
      <c r="O7" s="64" t="s">
        <v>353</v>
      </c>
      <c r="P7" s="29"/>
      <c r="R7" s="102" t="s">
        <v>357</v>
      </c>
      <c r="S7" s="64" t="s">
        <v>353</v>
      </c>
      <c r="V7" s="102" t="s">
        <v>357</v>
      </c>
      <c r="W7" s="64" t="s">
        <v>353</v>
      </c>
      <c r="X7" s="29"/>
    </row>
    <row r="8" spans="2:24" x14ac:dyDescent="0.25">
      <c r="B8" s="78" t="s">
        <v>283</v>
      </c>
      <c r="C8" s="67">
        <f>WEIGHTAGES!C8</f>
        <v>0.26215263551631307</v>
      </c>
      <c r="D8" s="106"/>
      <c r="F8" s="78" t="s">
        <v>283</v>
      </c>
      <c r="G8" s="67">
        <f>WEIGHTAGES!C9</f>
        <v>0.16682848993032839</v>
      </c>
      <c r="H8" s="107"/>
      <c r="J8" s="78" t="s">
        <v>283</v>
      </c>
      <c r="K8" s="78">
        <v>10</v>
      </c>
      <c r="L8" s="106"/>
      <c r="N8" s="78" t="s">
        <v>283</v>
      </c>
      <c r="O8" s="78">
        <v>10</v>
      </c>
      <c r="P8" s="107"/>
      <c r="R8" s="78">
        <v>1</v>
      </c>
      <c r="S8" s="78">
        <v>10</v>
      </c>
      <c r="T8" s="106"/>
      <c r="V8" s="78" t="s">
        <v>358</v>
      </c>
      <c r="W8" s="78">
        <v>10</v>
      </c>
      <c r="X8" s="107"/>
    </row>
    <row r="9" spans="2:24" x14ac:dyDescent="0.25">
      <c r="B9" s="78" t="s">
        <v>393</v>
      </c>
      <c r="C9" s="162">
        <f>INPUT!D26</f>
        <v>0.3</v>
      </c>
      <c r="D9" s="106"/>
      <c r="F9" s="78" t="s">
        <v>393</v>
      </c>
      <c r="G9" s="67">
        <f>INPUT!D27</f>
        <v>0.15</v>
      </c>
      <c r="H9" s="107"/>
      <c r="J9" s="78" t="s">
        <v>393</v>
      </c>
      <c r="K9" s="78">
        <v>5</v>
      </c>
      <c r="L9" s="106"/>
      <c r="N9" s="78" t="s">
        <v>393</v>
      </c>
      <c r="O9" s="78">
        <v>5</v>
      </c>
      <c r="P9" s="107"/>
      <c r="R9" s="78" t="s">
        <v>356</v>
      </c>
      <c r="S9" s="78">
        <v>5</v>
      </c>
      <c r="T9" s="106"/>
      <c r="V9" s="78" t="s">
        <v>359</v>
      </c>
      <c r="W9" s="78">
        <v>5</v>
      </c>
      <c r="X9" s="107"/>
    </row>
    <row r="10" spans="2:24" x14ac:dyDescent="0.25">
      <c r="B10" s="103" t="s">
        <v>345</v>
      </c>
      <c r="C10" s="105">
        <f>WEIGHTAGES!C8</f>
        <v>0.26215263551631307</v>
      </c>
      <c r="D10" s="79"/>
      <c r="F10" s="103" t="s">
        <v>345</v>
      </c>
      <c r="G10" s="105">
        <f>WEIGHTAGES!C9</f>
        <v>0.16682848993032839</v>
      </c>
      <c r="H10" s="108"/>
      <c r="J10" s="103" t="s">
        <v>345</v>
      </c>
      <c r="K10" s="115">
        <f>WEIGHTAGES!C16</f>
        <v>0.70787150053006642</v>
      </c>
      <c r="L10" s="79"/>
      <c r="N10" s="103" t="s">
        <v>345</v>
      </c>
      <c r="O10" s="117">
        <f>WEIGHTAGES!C18</f>
        <v>0.1791828244534476</v>
      </c>
      <c r="P10" s="108"/>
      <c r="R10" s="103" t="s">
        <v>345</v>
      </c>
      <c r="S10" s="119">
        <f>WEIGHTAGES!G8</f>
        <v>1</v>
      </c>
      <c r="T10" s="79"/>
      <c r="V10" s="103" t="s">
        <v>345</v>
      </c>
      <c r="W10" s="119">
        <f>WEIGHTAGES!G10</f>
        <v>0.32392413972356338</v>
      </c>
      <c r="X10" s="108"/>
    </row>
    <row r="11" spans="2:24" x14ac:dyDescent="0.25">
      <c r="B11" s="103" t="s">
        <v>354</v>
      </c>
      <c r="C11" s="104">
        <f>IFERROR(IF(C8&gt;C9,10,5),0)</f>
        <v>5</v>
      </c>
      <c r="D11" s="79"/>
      <c r="F11" s="103" t="s">
        <v>354</v>
      </c>
      <c r="G11" s="104">
        <f>IFERROR(IF(G8&gt;G9,10,5),0)</f>
        <v>10</v>
      </c>
      <c r="H11" s="108"/>
      <c r="J11" s="103" t="s">
        <v>354</v>
      </c>
      <c r="K11" s="104">
        <f>IFERROR(IF($K$10&gt;1,K8,5),0)</f>
        <v>5</v>
      </c>
      <c r="L11" s="79"/>
      <c r="N11" s="103" t="s">
        <v>354</v>
      </c>
      <c r="O11" s="104">
        <f>IFERROR(IF($K$20&gt;0,O8,5),0)</f>
        <v>10</v>
      </c>
      <c r="P11" s="108"/>
      <c r="R11" s="103" t="s">
        <v>354</v>
      </c>
      <c r="S11" s="104">
        <f>IFERROR(IF($K$10&gt;1,S8,5),0)</f>
        <v>5</v>
      </c>
      <c r="T11" s="79"/>
      <c r="V11" s="103" t="s">
        <v>354</v>
      </c>
      <c r="W11" s="104">
        <f>IFERROR(IF($K$20&gt;0,W8,5),0)</f>
        <v>10</v>
      </c>
      <c r="X11" s="108"/>
    </row>
    <row r="12" spans="2:24" x14ac:dyDescent="0.25">
      <c r="B12" s="18" t="s">
        <v>350</v>
      </c>
      <c r="C12" s="64">
        <v>10</v>
      </c>
      <c r="D12" s="79"/>
      <c r="F12" s="18" t="s">
        <v>350</v>
      </c>
      <c r="G12" s="64">
        <v>10</v>
      </c>
      <c r="H12" s="108"/>
      <c r="J12" s="18" t="s">
        <v>350</v>
      </c>
      <c r="K12" s="64">
        <v>10</v>
      </c>
      <c r="L12" s="79"/>
      <c r="N12" s="18" t="s">
        <v>350</v>
      </c>
      <c r="O12" s="64">
        <v>10</v>
      </c>
      <c r="P12" s="108"/>
      <c r="R12" s="18" t="s">
        <v>350</v>
      </c>
      <c r="S12" s="64">
        <v>10</v>
      </c>
      <c r="T12" s="79"/>
      <c r="V12" s="18" t="s">
        <v>350</v>
      </c>
      <c r="W12" s="64">
        <v>10</v>
      </c>
      <c r="X12" s="108"/>
    </row>
    <row r="13" spans="2:24" x14ac:dyDescent="0.25">
      <c r="B13" s="28"/>
      <c r="D13" s="79"/>
      <c r="H13" s="29"/>
      <c r="J13" s="28"/>
      <c r="L13" s="79"/>
      <c r="P13" s="29"/>
      <c r="R13" s="28"/>
      <c r="T13" s="79"/>
      <c r="X13" s="29"/>
    </row>
    <row r="14" spans="2:24" x14ac:dyDescent="0.25">
      <c r="B14" s="28"/>
      <c r="D14" s="79"/>
      <c r="H14" s="29"/>
      <c r="J14" s="28"/>
      <c r="L14" s="79"/>
      <c r="P14" s="29"/>
      <c r="R14" s="28"/>
      <c r="T14" s="79"/>
      <c r="X14" s="29"/>
    </row>
    <row r="15" spans="2:24" x14ac:dyDescent="0.25">
      <c r="B15" s="18" t="str">
        <f>'RATIO ANALYSIS'!B6</f>
        <v>Gross Profit Margin</v>
      </c>
      <c r="C15" s="99">
        <f>COUNT(C18:C19)</f>
        <v>2</v>
      </c>
      <c r="D15" s="100"/>
      <c r="H15" s="29"/>
      <c r="J15" s="18" t="s">
        <v>59</v>
      </c>
      <c r="K15" s="99">
        <f>COUNT(K18:K19)</f>
        <v>2</v>
      </c>
      <c r="L15" s="100"/>
      <c r="P15" s="29"/>
      <c r="R15" s="81" t="s">
        <v>63</v>
      </c>
      <c r="S15" s="99">
        <f>COUNT(S18:S19)</f>
        <v>2</v>
      </c>
      <c r="T15" s="100"/>
      <c r="X15" s="29"/>
    </row>
    <row r="16" spans="2:24" x14ac:dyDescent="0.25">
      <c r="B16" s="101" t="s">
        <v>352</v>
      </c>
      <c r="C16" s="64">
        <v>10</v>
      </c>
      <c r="H16" s="29"/>
      <c r="J16" s="101" t="s">
        <v>352</v>
      </c>
      <c r="K16" s="64">
        <v>10</v>
      </c>
      <c r="P16" s="29"/>
      <c r="R16" s="101" t="s">
        <v>352</v>
      </c>
      <c r="S16" s="64">
        <v>10</v>
      </c>
      <c r="X16" s="29"/>
    </row>
    <row r="17" spans="2:24" x14ac:dyDescent="0.25">
      <c r="B17" s="102" t="s">
        <v>357</v>
      </c>
      <c r="C17" s="64" t="s">
        <v>353</v>
      </c>
      <c r="H17" s="29"/>
      <c r="J17" s="102" t="s">
        <v>357</v>
      </c>
      <c r="K17" s="64" t="s">
        <v>353</v>
      </c>
      <c r="P17" s="29"/>
      <c r="R17" s="102" t="s">
        <v>357</v>
      </c>
      <c r="S17" s="64" t="s">
        <v>353</v>
      </c>
      <c r="X17" s="29"/>
    </row>
    <row r="18" spans="2:24" x14ac:dyDescent="0.25">
      <c r="B18" s="78" t="s">
        <v>283</v>
      </c>
      <c r="C18" s="67">
        <f>WEIGHTAGES!C10</f>
        <v>0.15788422532859464</v>
      </c>
      <c r="F18" s="103" t="s">
        <v>361</v>
      </c>
      <c r="G18" s="122">
        <f>SUM(C21,G11,C11)</f>
        <v>20</v>
      </c>
      <c r="H18" s="29"/>
      <c r="J18" s="78" t="s">
        <v>283</v>
      </c>
      <c r="K18" s="78">
        <v>10</v>
      </c>
      <c r="N18" s="103" t="s">
        <v>361</v>
      </c>
      <c r="O18" s="122">
        <f>SUM(K21,O11,K11)</f>
        <v>20</v>
      </c>
      <c r="P18" s="29"/>
      <c r="R18" s="78" t="s">
        <v>283</v>
      </c>
      <c r="S18" s="78">
        <v>10</v>
      </c>
      <c r="V18" s="103" t="s">
        <v>361</v>
      </c>
      <c r="W18" s="122">
        <f>SUM(W11,S21,S11)</f>
        <v>20</v>
      </c>
      <c r="X18" s="29"/>
    </row>
    <row r="19" spans="2:24" x14ac:dyDescent="0.25">
      <c r="B19" s="78" t="s">
        <v>393</v>
      </c>
      <c r="C19" s="162">
        <f>INPUT!D28</f>
        <v>0.4</v>
      </c>
      <c r="D19" s="106"/>
      <c r="F19" s="103" t="s">
        <v>350</v>
      </c>
      <c r="G19" s="122">
        <f>SUM(C22,G12,C12)</f>
        <v>30</v>
      </c>
      <c r="H19" s="29"/>
      <c r="J19" s="78" t="s">
        <v>393</v>
      </c>
      <c r="K19" s="78">
        <v>5</v>
      </c>
      <c r="L19" s="106"/>
      <c r="N19" s="103" t="s">
        <v>350</v>
      </c>
      <c r="O19" s="122">
        <f>SUM(K22,O12,K12)</f>
        <v>30</v>
      </c>
      <c r="P19" s="29"/>
      <c r="R19" s="78" t="s">
        <v>393</v>
      </c>
      <c r="S19" s="78">
        <v>5</v>
      </c>
      <c r="T19" s="106"/>
      <c r="V19" s="103" t="s">
        <v>350</v>
      </c>
      <c r="W19" s="122">
        <f>SUM(S22,W12,S12,)</f>
        <v>30</v>
      </c>
      <c r="X19" s="29"/>
    </row>
    <row r="20" spans="2:24" ht="15.75" thickBot="1" x14ac:dyDescent="0.3">
      <c r="B20" s="103" t="s">
        <v>345</v>
      </c>
      <c r="C20" s="114">
        <f>WEIGHTAGES!C10</f>
        <v>0.15788422532859464</v>
      </c>
      <c r="D20" s="106"/>
      <c r="F20" s="123" t="s">
        <v>330</v>
      </c>
      <c r="G20" s="124">
        <f>G18/G19</f>
        <v>0.66666666666666663</v>
      </c>
      <c r="H20" s="29"/>
      <c r="J20" s="103" t="s">
        <v>345</v>
      </c>
      <c r="K20" s="116">
        <f>WEIGHTAGES!C17</f>
        <v>0.52196628680801416</v>
      </c>
      <c r="L20" s="106"/>
      <c r="N20" s="123" t="s">
        <v>330</v>
      </c>
      <c r="O20" s="124">
        <f>O18/O19</f>
        <v>0.66666666666666663</v>
      </c>
      <c r="P20" s="29"/>
      <c r="R20" s="103" t="s">
        <v>345</v>
      </c>
      <c r="S20" s="120">
        <f>WEIGHTAGES!G9</f>
        <v>0.47077651398912851</v>
      </c>
      <c r="T20" s="106"/>
      <c r="V20" s="123" t="s">
        <v>330</v>
      </c>
      <c r="W20" s="124">
        <f>W18/W19</f>
        <v>0.66666666666666663</v>
      </c>
      <c r="X20" s="29"/>
    </row>
    <row r="21" spans="2:24" ht="15.75" thickTop="1" x14ac:dyDescent="0.25">
      <c r="B21" s="103" t="s">
        <v>354</v>
      </c>
      <c r="C21" s="104">
        <f>IFERROR(IF(C18&gt;C19,10,5),0)</f>
        <v>5</v>
      </c>
      <c r="D21" s="79"/>
      <c r="H21" s="29"/>
      <c r="J21" s="103" t="s">
        <v>354</v>
      </c>
      <c r="K21" s="104">
        <f>IFERROR(IF($K$20&gt;1,K18,5),0)</f>
        <v>5</v>
      </c>
      <c r="L21" s="79"/>
      <c r="P21" s="29"/>
      <c r="R21" s="103" t="s">
        <v>354</v>
      </c>
      <c r="S21" s="104">
        <f>IFERROR(IF($K$20&gt;1,S18,5),0)</f>
        <v>5</v>
      </c>
      <c r="T21" s="79"/>
      <c r="X21" s="29"/>
    </row>
    <row r="22" spans="2:24" x14ac:dyDescent="0.25">
      <c r="B22" s="18" t="s">
        <v>350</v>
      </c>
      <c r="C22" s="64">
        <v>10</v>
      </c>
      <c r="D22" s="79"/>
      <c r="H22" s="29"/>
      <c r="J22" s="18" t="s">
        <v>350</v>
      </c>
      <c r="K22" s="64">
        <v>10</v>
      </c>
      <c r="L22" s="79"/>
      <c r="P22" s="29"/>
      <c r="R22" s="18" t="s">
        <v>350</v>
      </c>
      <c r="S22" s="64">
        <v>10</v>
      </c>
      <c r="T22" s="79"/>
      <c r="X22" s="29"/>
    </row>
    <row r="23" spans="2:24" x14ac:dyDescent="0.25">
      <c r="B23" s="31"/>
      <c r="C23" s="32"/>
      <c r="D23" s="109"/>
      <c r="E23" s="32"/>
      <c r="F23" s="32"/>
      <c r="G23" s="32"/>
      <c r="H23" s="33"/>
      <c r="J23" s="31"/>
      <c r="K23" s="32"/>
      <c r="L23" s="109"/>
      <c r="M23" s="32"/>
      <c r="N23" s="32"/>
      <c r="O23" s="32"/>
      <c r="P23" s="33"/>
      <c r="R23" s="31"/>
      <c r="S23" s="32"/>
      <c r="T23" s="109"/>
      <c r="U23" s="32"/>
      <c r="V23" s="32"/>
      <c r="W23" s="32"/>
      <c r="X23" s="33"/>
    </row>
    <row r="25" spans="2:24" ht="15.75" thickBot="1" x14ac:dyDescent="0.3">
      <c r="B25" s="282" t="s">
        <v>65</v>
      </c>
      <c r="C25" s="283"/>
      <c r="D25" s="283"/>
      <c r="E25" s="283"/>
      <c r="F25" s="283"/>
      <c r="G25" s="283"/>
      <c r="H25" s="284"/>
      <c r="J25" s="280" t="s">
        <v>68</v>
      </c>
      <c r="K25" s="281"/>
      <c r="L25" s="281"/>
      <c r="M25" s="281"/>
      <c r="N25" s="281"/>
      <c r="O25" s="281"/>
      <c r="P25" s="265"/>
    </row>
    <row r="26" spans="2:24" ht="16.5" thickTop="1" thickBot="1" x14ac:dyDescent="0.3">
      <c r="B26" s="16" t="s">
        <v>66</v>
      </c>
      <c r="C26" s="111">
        <f>COUNT(C29:C30)</f>
        <v>2</v>
      </c>
      <c r="D26" s="112"/>
      <c r="F26" s="82" t="s">
        <v>67</v>
      </c>
      <c r="G26" s="111">
        <f>COUNT(G29:G30)</f>
        <v>2</v>
      </c>
      <c r="H26" s="112"/>
      <c r="J26" s="130" t="s">
        <v>70</v>
      </c>
      <c r="K26" s="111">
        <f>COUNT(K29:K30)</f>
        <v>2</v>
      </c>
      <c r="L26" s="112"/>
      <c r="N26" s="130" t="s">
        <v>69</v>
      </c>
      <c r="O26" s="111">
        <f>COUNT(O29:O30)</f>
        <v>2</v>
      </c>
      <c r="P26" s="112"/>
    </row>
    <row r="27" spans="2:24" ht="15.75" thickTop="1" x14ac:dyDescent="0.25">
      <c r="B27" s="101" t="s">
        <v>352</v>
      </c>
      <c r="C27" s="64">
        <v>10</v>
      </c>
      <c r="F27" s="101" t="s">
        <v>352</v>
      </c>
      <c r="G27" s="64">
        <v>10</v>
      </c>
      <c r="H27" s="29"/>
      <c r="J27" s="101" t="s">
        <v>352</v>
      </c>
      <c r="K27" s="64">
        <v>10</v>
      </c>
      <c r="N27" s="101" t="s">
        <v>352</v>
      </c>
      <c r="O27" s="64">
        <v>10</v>
      </c>
      <c r="P27" s="29"/>
    </row>
    <row r="28" spans="2:24" x14ac:dyDescent="0.25">
      <c r="B28" s="102" t="s">
        <v>357</v>
      </c>
      <c r="C28" s="64" t="s">
        <v>353</v>
      </c>
      <c r="F28" s="102" t="s">
        <v>357</v>
      </c>
      <c r="G28" s="64" t="s">
        <v>353</v>
      </c>
      <c r="H28" s="29"/>
      <c r="J28" s="102" t="s">
        <v>357</v>
      </c>
      <c r="K28" s="64" t="s">
        <v>353</v>
      </c>
      <c r="N28" s="102" t="s">
        <v>357</v>
      </c>
      <c r="O28" s="64" t="s">
        <v>353</v>
      </c>
      <c r="P28" s="29"/>
    </row>
    <row r="29" spans="2:24" x14ac:dyDescent="0.25">
      <c r="B29" s="78" t="s">
        <v>358</v>
      </c>
      <c r="C29" s="78">
        <v>10</v>
      </c>
      <c r="D29" s="106"/>
      <c r="F29" s="78" t="s">
        <v>358</v>
      </c>
      <c r="G29" s="78">
        <v>10</v>
      </c>
      <c r="H29" s="107"/>
      <c r="J29" s="78" t="s">
        <v>366</v>
      </c>
      <c r="K29" s="78">
        <v>10</v>
      </c>
      <c r="L29" s="106"/>
      <c r="N29" s="78" t="s">
        <v>366</v>
      </c>
      <c r="O29" s="78">
        <v>10</v>
      </c>
      <c r="P29" s="107"/>
    </row>
    <row r="30" spans="2:24" x14ac:dyDescent="0.25">
      <c r="B30" s="78" t="s">
        <v>359</v>
      </c>
      <c r="C30" s="78">
        <v>5</v>
      </c>
      <c r="D30" s="106"/>
      <c r="F30" s="78" t="s">
        <v>359</v>
      </c>
      <c r="G30" s="78">
        <v>5</v>
      </c>
      <c r="H30" s="107"/>
      <c r="J30" s="78" t="s">
        <v>367</v>
      </c>
      <c r="K30" s="78">
        <v>5</v>
      </c>
      <c r="L30" s="106"/>
      <c r="N30" s="78" t="s">
        <v>367</v>
      </c>
      <c r="O30" s="78">
        <v>5</v>
      </c>
      <c r="P30" s="107"/>
    </row>
    <row r="31" spans="2:24" x14ac:dyDescent="0.25">
      <c r="B31" s="103" t="s">
        <v>345</v>
      </c>
      <c r="C31" s="105"/>
      <c r="D31" s="79"/>
      <c r="F31" s="103" t="s">
        <v>345</v>
      </c>
      <c r="G31" s="119">
        <f>OUTPUT!E23</f>
        <v>20.233701841102569</v>
      </c>
      <c r="H31" s="108"/>
      <c r="J31" s="103" t="s">
        <v>345</v>
      </c>
      <c r="K31" s="132">
        <f>'RATIO ANALYSIS'!I4</f>
        <v>5</v>
      </c>
      <c r="L31" s="79"/>
      <c r="N31" s="103" t="s">
        <v>345</v>
      </c>
      <c r="O31" s="131">
        <f>'RATIO ANALYSIS'!I5</f>
        <v>5.0505050505050509E-3</v>
      </c>
      <c r="P31" s="108"/>
    </row>
    <row r="32" spans="2:24" x14ac:dyDescent="0.25">
      <c r="B32" s="103" t="s">
        <v>354</v>
      </c>
      <c r="C32" s="104">
        <f>IFERROR(IF($C$10&gt;0,C29,),0)</f>
        <v>10</v>
      </c>
      <c r="D32" s="79"/>
      <c r="F32" s="103" t="s">
        <v>354</v>
      </c>
      <c r="G32" s="104">
        <f>IFERROR(IF($G$10&gt;0,G29,),0)</f>
        <v>10</v>
      </c>
      <c r="H32" s="108"/>
      <c r="J32" s="103" t="s">
        <v>354</v>
      </c>
      <c r="K32" s="104">
        <f>IFERROR(IF(K31&gt;INPUT!$H$7,5,10),0)</f>
        <v>10</v>
      </c>
      <c r="L32" s="79"/>
      <c r="N32" s="103" t="s">
        <v>354</v>
      </c>
      <c r="O32" s="104">
        <f>IFERROR(IF(O31&gt;INPUT!H9,10,5),0)</f>
        <v>5</v>
      </c>
      <c r="P32" s="108"/>
    </row>
    <row r="33" spans="2:16" x14ac:dyDescent="0.25">
      <c r="B33" s="18" t="s">
        <v>350</v>
      </c>
      <c r="C33" s="64">
        <v>10</v>
      </c>
      <c r="D33" s="79"/>
      <c r="F33" s="18" t="s">
        <v>350</v>
      </c>
      <c r="G33" s="64">
        <v>10</v>
      </c>
      <c r="H33" s="108"/>
      <c r="J33" s="18" t="s">
        <v>350</v>
      </c>
      <c r="K33" s="64">
        <v>10</v>
      </c>
      <c r="L33" s="79"/>
      <c r="N33" s="18" t="s">
        <v>350</v>
      </c>
      <c r="O33" s="64">
        <v>10</v>
      </c>
      <c r="P33" s="108"/>
    </row>
    <row r="34" spans="2:16" x14ac:dyDescent="0.25">
      <c r="B34" s="28"/>
      <c r="D34" s="79"/>
      <c r="H34" s="29"/>
      <c r="J34" s="28"/>
      <c r="L34" s="79"/>
      <c r="P34" s="29"/>
    </row>
    <row r="35" spans="2:16" x14ac:dyDescent="0.25">
      <c r="B35" s="28"/>
      <c r="D35" s="79"/>
      <c r="F35" s="103" t="s">
        <v>361</v>
      </c>
      <c r="G35" s="129">
        <f>SUM(G32,C32)</f>
        <v>20</v>
      </c>
      <c r="H35" s="29"/>
      <c r="J35" s="28"/>
      <c r="L35" s="79"/>
      <c r="P35" s="29"/>
    </row>
    <row r="36" spans="2:16" x14ac:dyDescent="0.25">
      <c r="B36" s="31"/>
      <c r="C36" s="32"/>
      <c r="D36" s="109"/>
      <c r="F36" s="103" t="s">
        <v>350</v>
      </c>
      <c r="G36" s="122">
        <f>SUM(G33,C33)</f>
        <v>20</v>
      </c>
      <c r="H36" s="29"/>
      <c r="J36" s="81" t="s">
        <v>281</v>
      </c>
      <c r="K36" s="99">
        <f>COUNT(K39:K40)</f>
        <v>2</v>
      </c>
      <c r="L36" s="100"/>
      <c r="P36" s="29"/>
    </row>
    <row r="37" spans="2:16" ht="15.75" thickBot="1" x14ac:dyDescent="0.3">
      <c r="B37" s="28"/>
      <c r="F37" s="123" t="s">
        <v>330</v>
      </c>
      <c r="G37" s="124">
        <f>G35/G36</f>
        <v>1</v>
      </c>
      <c r="H37" s="29"/>
      <c r="J37" s="101" t="s">
        <v>352</v>
      </c>
      <c r="K37" s="64">
        <v>10</v>
      </c>
      <c r="P37" s="29"/>
    </row>
    <row r="38" spans="2:16" ht="15.75" thickTop="1" x14ac:dyDescent="0.25">
      <c r="B38" s="31"/>
      <c r="C38" s="32"/>
      <c r="D38" s="32"/>
      <c r="E38" s="32"/>
      <c r="F38" s="32"/>
      <c r="G38" s="32"/>
      <c r="H38" s="33"/>
      <c r="J38" s="102" t="s">
        <v>357</v>
      </c>
      <c r="K38" s="64" t="s">
        <v>353</v>
      </c>
      <c r="P38" s="29"/>
    </row>
    <row r="39" spans="2:16" x14ac:dyDescent="0.25">
      <c r="J39" s="78" t="s">
        <v>366</v>
      </c>
      <c r="K39" s="78">
        <v>10</v>
      </c>
      <c r="N39" s="103" t="s">
        <v>361</v>
      </c>
      <c r="O39" s="122">
        <f>SUM(K42,O32,K32,K52,O52,K61)</f>
        <v>35</v>
      </c>
      <c r="P39" s="29"/>
    </row>
    <row r="40" spans="2:16" x14ac:dyDescent="0.25">
      <c r="J40" s="78" t="s">
        <v>367</v>
      </c>
      <c r="K40" s="78">
        <v>5</v>
      </c>
      <c r="L40" s="106"/>
      <c r="N40" s="103" t="s">
        <v>350</v>
      </c>
      <c r="O40" s="122">
        <f>SUM(K43,O33,K33,K53,O53,K62)</f>
        <v>60</v>
      </c>
      <c r="P40" s="29"/>
    </row>
    <row r="41" spans="2:16" ht="15.75" thickBot="1" x14ac:dyDescent="0.3">
      <c r="J41" s="103" t="s">
        <v>345</v>
      </c>
      <c r="K41" s="116">
        <f>'RATIO ANALYSIS'!I6</f>
        <v>20.794947368421052</v>
      </c>
      <c r="L41" s="106"/>
      <c r="N41" s="123" t="s">
        <v>330</v>
      </c>
      <c r="O41" s="124">
        <f>O39/O40</f>
        <v>0.58333333333333337</v>
      </c>
      <c r="P41" s="29"/>
    </row>
    <row r="42" spans="2:16" ht="15.75" thickTop="1" x14ac:dyDescent="0.25">
      <c r="J42" s="103" t="s">
        <v>354</v>
      </c>
      <c r="K42" s="104">
        <f>IFERROR(IF(K41&gt;INPUT!$H$7,5,10),0)</f>
        <v>5</v>
      </c>
      <c r="L42" s="79"/>
      <c r="P42" s="29"/>
    </row>
    <row r="43" spans="2:16" x14ac:dyDescent="0.25">
      <c r="J43" s="18" t="s">
        <v>350</v>
      </c>
      <c r="K43" s="64">
        <v>10</v>
      </c>
      <c r="L43" s="79"/>
      <c r="P43" s="29"/>
    </row>
    <row r="44" spans="2:16" x14ac:dyDescent="0.25">
      <c r="J44" s="31"/>
      <c r="K44" s="32"/>
      <c r="L44" s="109"/>
      <c r="M44" s="32"/>
      <c r="N44" s="32"/>
      <c r="O44" s="32"/>
      <c r="P44" s="33"/>
    </row>
    <row r="45" spans="2:16" x14ac:dyDescent="0.25">
      <c r="J45" s="28"/>
      <c r="P45" s="29"/>
    </row>
    <row r="46" spans="2:16" x14ac:dyDescent="0.25">
      <c r="J46" s="16" t="s">
        <v>282</v>
      </c>
      <c r="K46" s="99">
        <f>COUNT(K49:K50)</f>
        <v>2</v>
      </c>
      <c r="L46" s="100"/>
      <c r="N46" s="16" t="s">
        <v>340</v>
      </c>
      <c r="O46" s="99">
        <f>COUNT(O49:O50)</f>
        <v>2</v>
      </c>
      <c r="P46" s="100"/>
    </row>
    <row r="47" spans="2:16" x14ac:dyDescent="0.25">
      <c r="J47" s="101" t="s">
        <v>352</v>
      </c>
      <c r="K47" s="64">
        <v>10</v>
      </c>
      <c r="N47" s="101" t="s">
        <v>352</v>
      </c>
      <c r="O47" s="64">
        <v>10</v>
      </c>
      <c r="P47" s="29"/>
    </row>
    <row r="48" spans="2:16" x14ac:dyDescent="0.25">
      <c r="J48" s="102" t="s">
        <v>357</v>
      </c>
      <c r="K48" s="64" t="s">
        <v>353</v>
      </c>
      <c r="N48" s="102" t="s">
        <v>357</v>
      </c>
      <c r="O48" s="64" t="s">
        <v>353</v>
      </c>
      <c r="P48" s="29"/>
    </row>
    <row r="49" spans="10:16" x14ac:dyDescent="0.25">
      <c r="J49" s="78" t="s">
        <v>366</v>
      </c>
      <c r="K49" s="78">
        <v>10</v>
      </c>
      <c r="N49" s="78" t="s">
        <v>366</v>
      </c>
      <c r="O49" s="78">
        <v>10</v>
      </c>
      <c r="P49" s="29"/>
    </row>
    <row r="50" spans="10:16" x14ac:dyDescent="0.25">
      <c r="J50" s="78" t="s">
        <v>367</v>
      </c>
      <c r="K50" s="78">
        <v>5</v>
      </c>
      <c r="L50" s="106"/>
      <c r="N50" s="78" t="s">
        <v>367</v>
      </c>
      <c r="O50" s="78">
        <v>5</v>
      </c>
      <c r="P50" s="107"/>
    </row>
    <row r="51" spans="10:16" x14ac:dyDescent="0.25">
      <c r="J51" s="103" t="s">
        <v>345</v>
      </c>
      <c r="K51" s="116">
        <f>'RATIO ANALYSIS'!I7</f>
        <v>47.607718474123267</v>
      </c>
      <c r="L51" s="106"/>
      <c r="N51" s="103" t="s">
        <v>345</v>
      </c>
      <c r="O51" s="116">
        <f>'RATIO ANALYSIS'!I8</f>
        <v>78.650000000000006</v>
      </c>
      <c r="P51" s="107"/>
    </row>
    <row r="52" spans="10:16" x14ac:dyDescent="0.25">
      <c r="J52" s="103" t="s">
        <v>354</v>
      </c>
      <c r="K52" s="104">
        <f>IFERROR(IF(K51&gt;INPUT!$H$6,5,10),0)</f>
        <v>5</v>
      </c>
      <c r="L52" s="79"/>
      <c r="N52" s="103" t="s">
        <v>354</v>
      </c>
      <c r="O52" s="104">
        <f>IFERROR(IF(O51&gt;INPUT!H12,5,10),0)</f>
        <v>5</v>
      </c>
      <c r="P52" s="108"/>
    </row>
    <row r="53" spans="10:16" x14ac:dyDescent="0.25">
      <c r="J53" s="18" t="s">
        <v>350</v>
      </c>
      <c r="K53" s="64">
        <v>10</v>
      </c>
      <c r="L53" s="79"/>
      <c r="N53" s="18" t="s">
        <v>350</v>
      </c>
      <c r="O53" s="64">
        <v>10</v>
      </c>
      <c r="P53" s="108"/>
    </row>
    <row r="54" spans="10:16" x14ac:dyDescent="0.25">
      <c r="J54" s="28"/>
      <c r="P54" s="29"/>
    </row>
    <row r="55" spans="10:16" ht="15.75" thickBot="1" x14ac:dyDescent="0.3">
      <c r="J55" s="82" t="s">
        <v>341</v>
      </c>
      <c r="K55" s="99">
        <f>COUNT(K58:K59)</f>
        <v>2</v>
      </c>
      <c r="L55" s="100"/>
      <c r="P55" s="29"/>
    </row>
    <row r="56" spans="10:16" ht="15.75" thickTop="1" x14ac:dyDescent="0.25">
      <c r="J56" s="101" t="s">
        <v>352</v>
      </c>
      <c r="K56" s="64">
        <v>10</v>
      </c>
      <c r="P56" s="29"/>
    </row>
    <row r="57" spans="10:16" x14ac:dyDescent="0.25">
      <c r="J57" s="102" t="s">
        <v>357</v>
      </c>
      <c r="K57" s="64" t="s">
        <v>353</v>
      </c>
      <c r="P57" s="29"/>
    </row>
    <row r="58" spans="10:16" x14ac:dyDescent="0.25">
      <c r="J58" s="78" t="s">
        <v>366</v>
      </c>
      <c r="K58" s="78">
        <v>10</v>
      </c>
      <c r="P58" s="29"/>
    </row>
    <row r="59" spans="10:16" x14ac:dyDescent="0.25">
      <c r="J59" s="78" t="s">
        <v>367</v>
      </c>
      <c r="K59" s="78">
        <v>5</v>
      </c>
      <c r="L59" s="106"/>
      <c r="P59" s="29"/>
    </row>
    <row r="60" spans="10:16" x14ac:dyDescent="0.25">
      <c r="J60" s="103" t="s">
        <v>345</v>
      </c>
      <c r="K60" s="116">
        <f>'RATIO ANALYSIS'!I9</f>
        <v>12.587412587412587</v>
      </c>
      <c r="L60" s="106"/>
      <c r="P60" s="29"/>
    </row>
    <row r="61" spans="10:16" x14ac:dyDescent="0.25">
      <c r="J61" s="103" t="s">
        <v>354</v>
      </c>
      <c r="K61" s="104">
        <f>IFERROR(IF(K60&gt;INPUT!$H$10,5,10),0)</f>
        <v>5</v>
      </c>
      <c r="L61" s="79"/>
      <c r="P61" s="29"/>
    </row>
    <row r="62" spans="10:16" x14ac:dyDescent="0.25">
      <c r="J62" s="18" t="s">
        <v>350</v>
      </c>
      <c r="K62" s="64">
        <v>10</v>
      </c>
      <c r="L62" s="79"/>
      <c r="P62" s="29"/>
    </row>
    <row r="63" spans="10:16" x14ac:dyDescent="0.25">
      <c r="J63" s="31"/>
      <c r="K63" s="32"/>
      <c r="L63" s="32"/>
      <c r="M63" s="32"/>
      <c r="N63" s="32"/>
      <c r="O63" s="32"/>
      <c r="P63" s="33"/>
    </row>
  </sheetData>
  <mergeCells count="5">
    <mergeCell ref="B4:H4"/>
    <mergeCell ref="J4:P4"/>
    <mergeCell ref="R4:X4"/>
    <mergeCell ref="B25:H25"/>
    <mergeCell ref="J25:P25"/>
  </mergeCells>
  <conditionalFormatting sqref="D5">
    <cfRule type="colorScale" priority="17">
      <colorScale>
        <cfvo type="min"/>
        <cfvo type="percentile" val="50"/>
        <cfvo type="max"/>
        <color rgb="FFF8696B"/>
        <color rgb="FFFFEB84"/>
        <color rgb="FF63BE7B"/>
      </colorScale>
    </cfRule>
  </conditionalFormatting>
  <conditionalFormatting sqref="D15">
    <cfRule type="colorScale" priority="15">
      <colorScale>
        <cfvo type="min"/>
        <cfvo type="percentile" val="50"/>
        <cfvo type="max"/>
        <color rgb="FFF8696B"/>
        <color rgb="FFFFEB84"/>
        <color rgb="FF63BE7B"/>
      </colorScale>
    </cfRule>
  </conditionalFormatting>
  <conditionalFormatting sqref="D26">
    <cfRule type="colorScale" priority="8">
      <colorScale>
        <cfvo type="min"/>
        <cfvo type="percentile" val="50"/>
        <cfvo type="max"/>
        <color rgb="FFF8696B"/>
        <color rgb="FFFFEB84"/>
        <color rgb="FF63BE7B"/>
      </colorScale>
    </cfRule>
  </conditionalFormatting>
  <conditionalFormatting sqref="H5">
    <cfRule type="colorScale" priority="16">
      <colorScale>
        <cfvo type="min"/>
        <cfvo type="percentile" val="50"/>
        <cfvo type="max"/>
        <color rgb="FFF8696B"/>
        <color rgb="FFFFEB84"/>
        <color rgb="FF63BE7B"/>
      </colorScale>
    </cfRule>
  </conditionalFormatting>
  <conditionalFormatting sqref="H26">
    <cfRule type="colorScale" priority="7">
      <colorScale>
        <cfvo type="min"/>
        <cfvo type="percentile" val="50"/>
        <cfvo type="max"/>
        <color rgb="FFF8696B"/>
        <color rgb="FFFFEB84"/>
        <color rgb="FF63BE7B"/>
      </colorScale>
    </cfRule>
  </conditionalFormatting>
  <conditionalFormatting sqref="L5">
    <cfRule type="colorScale" priority="14">
      <colorScale>
        <cfvo type="min"/>
        <cfvo type="percentile" val="50"/>
        <cfvo type="max"/>
        <color rgb="FFF8696B"/>
        <color rgb="FFFFEB84"/>
        <color rgb="FF63BE7B"/>
      </colorScale>
    </cfRule>
  </conditionalFormatting>
  <conditionalFormatting sqref="L15">
    <cfRule type="colorScale" priority="12">
      <colorScale>
        <cfvo type="min"/>
        <cfvo type="percentile" val="50"/>
        <cfvo type="max"/>
        <color rgb="FFF8696B"/>
        <color rgb="FFFFEB84"/>
        <color rgb="FF63BE7B"/>
      </colorScale>
    </cfRule>
  </conditionalFormatting>
  <conditionalFormatting sqref="L26">
    <cfRule type="colorScale" priority="6">
      <colorScale>
        <cfvo type="min"/>
        <cfvo type="percentile" val="50"/>
        <cfvo type="max"/>
        <color rgb="FFF8696B"/>
        <color rgb="FFFFEB84"/>
        <color rgb="FF63BE7B"/>
      </colorScale>
    </cfRule>
  </conditionalFormatting>
  <conditionalFormatting sqref="L36">
    <cfRule type="colorScale" priority="4">
      <colorScale>
        <cfvo type="min"/>
        <cfvo type="percentile" val="50"/>
        <cfvo type="max"/>
        <color rgb="FFF8696B"/>
        <color rgb="FFFFEB84"/>
        <color rgb="FF63BE7B"/>
      </colorScale>
    </cfRule>
  </conditionalFormatting>
  <conditionalFormatting sqref="L46">
    <cfRule type="colorScale" priority="3">
      <colorScale>
        <cfvo type="min"/>
        <cfvo type="percentile" val="50"/>
        <cfvo type="max"/>
        <color rgb="FFF8696B"/>
        <color rgb="FFFFEB84"/>
        <color rgb="FF63BE7B"/>
      </colorScale>
    </cfRule>
  </conditionalFormatting>
  <conditionalFormatting sqref="L55">
    <cfRule type="colorScale" priority="1">
      <colorScale>
        <cfvo type="min"/>
        <cfvo type="percentile" val="50"/>
        <cfvo type="max"/>
        <color rgb="FFF8696B"/>
        <color rgb="FFFFEB84"/>
        <color rgb="FF63BE7B"/>
      </colorScale>
    </cfRule>
  </conditionalFormatting>
  <conditionalFormatting sqref="P5">
    <cfRule type="colorScale" priority="13">
      <colorScale>
        <cfvo type="min"/>
        <cfvo type="percentile" val="50"/>
        <cfvo type="max"/>
        <color rgb="FFF8696B"/>
        <color rgb="FFFFEB84"/>
        <color rgb="FF63BE7B"/>
      </colorScale>
    </cfRule>
  </conditionalFormatting>
  <conditionalFormatting sqref="P26">
    <cfRule type="colorScale" priority="5">
      <colorScale>
        <cfvo type="min"/>
        <cfvo type="percentile" val="50"/>
        <cfvo type="max"/>
        <color rgb="FFF8696B"/>
        <color rgb="FFFFEB84"/>
        <color rgb="FF63BE7B"/>
      </colorScale>
    </cfRule>
  </conditionalFormatting>
  <conditionalFormatting sqref="P46">
    <cfRule type="colorScale" priority="2">
      <colorScale>
        <cfvo type="min"/>
        <cfvo type="percentile" val="50"/>
        <cfvo type="max"/>
        <color rgb="FFF8696B"/>
        <color rgb="FFFFEB84"/>
        <color rgb="FF63BE7B"/>
      </colorScale>
    </cfRule>
  </conditionalFormatting>
  <conditionalFormatting sqref="T5">
    <cfRule type="colorScale" priority="11">
      <colorScale>
        <cfvo type="min"/>
        <cfvo type="percentile" val="50"/>
        <cfvo type="max"/>
        <color rgb="FFF8696B"/>
        <color rgb="FFFFEB84"/>
        <color rgb="FF63BE7B"/>
      </colorScale>
    </cfRule>
  </conditionalFormatting>
  <conditionalFormatting sqref="T15">
    <cfRule type="colorScale" priority="9">
      <colorScale>
        <cfvo type="min"/>
        <cfvo type="percentile" val="50"/>
        <cfvo type="max"/>
        <color rgb="FFF8696B"/>
        <color rgb="FFFFEB84"/>
        <color rgb="FF63BE7B"/>
      </colorScale>
    </cfRule>
  </conditionalFormatting>
  <conditionalFormatting sqref="X5">
    <cfRule type="colorScale" priority="10">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vt:lpstr>
      <vt:lpstr>CASH_FLOW</vt:lpstr>
      <vt:lpstr>REPORTED STATEMENTS</vt:lpstr>
      <vt:lpstr>BALANCE_SHEET</vt:lpstr>
      <vt:lpstr>WEIGHTAGES</vt:lpstr>
      <vt:lpstr>OUTPUT</vt:lpstr>
      <vt:lpstr>RATIO ANALYSIS</vt:lpstr>
      <vt:lpstr>KPI VARIABLES</vt:lpstr>
      <vt:lpstr>REQUIREMENTS KPIS</vt:lpstr>
      <vt:lpstr>VALUATION</vt:lpstr>
      <vt:lpstr>VECTORS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ANIL SHARMA</dc:creator>
  <cp:lastModifiedBy>ANIL SHARMA</cp:lastModifiedBy>
  <cp:lastPrinted>2024-11-01T06:55:50Z</cp:lastPrinted>
  <dcterms:created xsi:type="dcterms:W3CDTF">2024-10-21T05:30:39Z</dcterms:created>
  <dcterms:modified xsi:type="dcterms:W3CDTF">2024-11-09T05:24:14Z</dcterms:modified>
</cp:coreProperties>
</file>