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lsper\Documents\LEAP Areas\ee ls (uncalibrated results)\AB\"/>
    </mc:Choice>
  </mc:AlternateContent>
  <xr:revisionPtr revIDLastSave="0" documentId="13_ncr:1_{95B266D9-9EE8-4DBD-B63F-865A90F05B67}" xr6:coauthVersionLast="47" xr6:coauthVersionMax="47" xr10:uidLastSave="{00000000-0000-0000-0000-000000000000}"/>
  <bookViews>
    <workbookView xWindow="11424" yWindow="-3330" windowWidth="23232" windowHeight="12552" firstSheet="1" activeTab="6" xr2:uid="{50E47871-3EC5-44AE-8536-5F780E36F2C5}"/>
  </bookViews>
  <sheets>
    <sheet name="Production Summary" sheetId="1" r:id="rId1"/>
    <sheet name="Crops" sheetId="2" r:id="rId2"/>
    <sheet name="Fruit, Veg, and Greenhouse" sheetId="3" r:id="rId3"/>
    <sheet name="Slaughtered Livestock (All)" sheetId="5" r:id="rId4"/>
    <sheet name="Poultry" sheetId="6" r:id="rId5"/>
    <sheet name="Dairy" sheetId="7" r:id="rId6"/>
    <sheet name="Production Forecast" sheetId="8" r:id="rId7"/>
    <sheet name="Calibration" sheetId="9" r:id="rId8"/>
  </sheets>
  <externalReferences>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34" i="9" l="1"/>
  <c r="V35" i="9"/>
  <c r="V36" i="9"/>
  <c r="V37" i="9"/>
  <c r="V33" i="9"/>
  <c r="C33" i="9"/>
  <c r="D33" i="9"/>
  <c r="E33" i="9"/>
  <c r="F33" i="9"/>
  <c r="G33" i="9"/>
  <c r="H33" i="9"/>
  <c r="I33" i="9"/>
  <c r="J33" i="9"/>
  <c r="K33" i="9"/>
  <c r="L33" i="9"/>
  <c r="M33" i="9"/>
  <c r="N33" i="9"/>
  <c r="O33" i="9"/>
  <c r="P33" i="9"/>
  <c r="Q33" i="9"/>
  <c r="R33" i="9"/>
  <c r="S33" i="9"/>
  <c r="T33" i="9"/>
  <c r="C34" i="9"/>
  <c r="D34" i="9"/>
  <c r="E34" i="9"/>
  <c r="F34" i="9"/>
  <c r="G34" i="9"/>
  <c r="H34" i="9"/>
  <c r="I34" i="9"/>
  <c r="J34" i="9"/>
  <c r="K34" i="9"/>
  <c r="L34" i="9"/>
  <c r="M34" i="9"/>
  <c r="N34" i="9"/>
  <c r="O34" i="9"/>
  <c r="P34" i="9"/>
  <c r="Q34" i="9"/>
  <c r="R34" i="9"/>
  <c r="S34" i="9"/>
  <c r="T34" i="9"/>
  <c r="C35" i="9"/>
  <c r="D35" i="9"/>
  <c r="E35" i="9"/>
  <c r="F35" i="9"/>
  <c r="G35" i="9"/>
  <c r="H35" i="9"/>
  <c r="I35" i="9"/>
  <c r="J35" i="9"/>
  <c r="K35" i="9"/>
  <c r="L35" i="9"/>
  <c r="M35" i="9"/>
  <c r="N35" i="9"/>
  <c r="O35" i="9"/>
  <c r="P35" i="9"/>
  <c r="Q35" i="9"/>
  <c r="R35" i="9"/>
  <c r="S35" i="9"/>
  <c r="T35" i="9"/>
  <c r="C36" i="9"/>
  <c r="D36" i="9"/>
  <c r="E36" i="9"/>
  <c r="F36" i="9"/>
  <c r="G36" i="9"/>
  <c r="H36" i="9"/>
  <c r="I36" i="9"/>
  <c r="J36" i="9"/>
  <c r="K36" i="9"/>
  <c r="L36" i="9"/>
  <c r="M36" i="9"/>
  <c r="N36" i="9"/>
  <c r="O36" i="9"/>
  <c r="P36" i="9"/>
  <c r="Q36" i="9"/>
  <c r="R36" i="9"/>
  <c r="S36" i="9"/>
  <c r="T36" i="9"/>
  <c r="B34" i="9"/>
  <c r="B35" i="9"/>
  <c r="B36" i="9"/>
  <c r="B33" i="9"/>
  <c r="C37" i="9"/>
  <c r="D37" i="9"/>
  <c r="E37" i="9"/>
  <c r="F37" i="9"/>
  <c r="G37" i="9"/>
  <c r="H37" i="9"/>
  <c r="I37" i="9"/>
  <c r="J37" i="9"/>
  <c r="K37" i="9"/>
  <c r="L37" i="9"/>
  <c r="M37" i="9"/>
  <c r="N37" i="9"/>
  <c r="O37" i="9"/>
  <c r="P37" i="9"/>
  <c r="Q37" i="9"/>
  <c r="R37" i="9"/>
  <c r="S37" i="9"/>
  <c r="T37" i="9"/>
  <c r="B37" i="9"/>
  <c r="G10" i="8" l="1"/>
  <c r="C19" i="1"/>
  <c r="B10" i="8" s="1"/>
  <c r="D19" i="1"/>
  <c r="C10" i="8" s="1"/>
  <c r="C23" i="8" s="1"/>
  <c r="E19" i="1"/>
  <c r="D10" i="8" s="1"/>
  <c r="D23" i="8" s="1"/>
  <c r="F19" i="1"/>
  <c r="E10" i="8" s="1"/>
  <c r="E23" i="8" s="1"/>
  <c r="G19" i="1"/>
  <c r="F10" i="8" s="1"/>
  <c r="F23" i="8" s="1"/>
  <c r="H19" i="1"/>
  <c r="I19" i="1"/>
  <c r="H10" i="8" s="1"/>
  <c r="H23" i="8" s="1"/>
  <c r="J19" i="1"/>
  <c r="I10" i="8" s="1"/>
  <c r="I23" i="8" s="1"/>
  <c r="K19" i="1"/>
  <c r="J10" i="8" s="1"/>
  <c r="J23" i="8" s="1"/>
  <c r="C20" i="1"/>
  <c r="B11" i="8" s="1"/>
  <c r="B24" i="8" s="1"/>
  <c r="C22" i="1"/>
  <c r="B13" i="8" s="1"/>
  <c r="B26" i="8" s="1"/>
  <c r="D22" i="1"/>
  <c r="C13" i="8" s="1"/>
  <c r="C26" i="8" s="1"/>
  <c r="E22" i="1"/>
  <c r="D13" i="8" s="1"/>
  <c r="D26" i="8" s="1"/>
  <c r="F22" i="1"/>
  <c r="E13" i="8" s="1"/>
  <c r="E26" i="8" s="1"/>
  <c r="G22" i="1"/>
  <c r="F13" i="8" s="1"/>
  <c r="F26" i="8" s="1"/>
  <c r="H22" i="1"/>
  <c r="G13" i="8" s="1"/>
  <c r="G26" i="8" s="1"/>
  <c r="I22" i="1"/>
  <c r="H13" i="8" s="1"/>
  <c r="H26" i="8" s="1"/>
  <c r="J22" i="1"/>
  <c r="I13" i="8" s="1"/>
  <c r="I26" i="8" s="1"/>
  <c r="K22" i="1"/>
  <c r="J13" i="8" s="1"/>
  <c r="J26" i="8" s="1"/>
  <c r="L22" i="1"/>
  <c r="K13" i="8" s="1"/>
  <c r="K26" i="8" s="1"/>
  <c r="M22" i="1"/>
  <c r="L13" i="8" s="1"/>
  <c r="L26" i="8" s="1"/>
  <c r="N22" i="1"/>
  <c r="M13" i="8" s="1"/>
  <c r="M26" i="8" s="1"/>
  <c r="O22" i="1"/>
  <c r="N13" i="8" s="1"/>
  <c r="N26" i="8" s="1"/>
  <c r="P22" i="1"/>
  <c r="O13" i="8" s="1"/>
  <c r="O26" i="8" s="1"/>
  <c r="Q22" i="1"/>
  <c r="P13" i="8" s="1"/>
  <c r="P26" i="8" s="1"/>
  <c r="R22" i="1"/>
  <c r="Q13" i="8" s="1"/>
  <c r="Q26" i="8" s="1"/>
  <c r="S22" i="1"/>
  <c r="R13" i="8" s="1"/>
  <c r="R26" i="8" s="1"/>
  <c r="T22" i="1"/>
  <c r="S13" i="8" s="1"/>
  <c r="S26" i="8" s="1"/>
  <c r="U22" i="1"/>
  <c r="T13" i="8" s="1"/>
  <c r="T26" i="8" s="1"/>
  <c r="V22" i="1"/>
  <c r="U13" i="8" s="1"/>
  <c r="U26" i="8" s="1"/>
  <c r="W22" i="1"/>
  <c r="V13" i="8" s="1"/>
  <c r="V26" i="8" s="1"/>
  <c r="X22" i="1"/>
  <c r="W13" i="8" s="1"/>
  <c r="W26" i="8" s="1"/>
  <c r="Y22" i="1"/>
  <c r="X13" i="8" s="1"/>
  <c r="X26" i="8" s="1"/>
  <c r="Z22" i="1"/>
  <c r="Y13" i="8" s="1"/>
  <c r="Y26" i="8" s="1"/>
  <c r="AA22" i="1"/>
  <c r="Z13" i="8" s="1"/>
  <c r="Z26" i="8" s="1"/>
  <c r="AB22" i="1"/>
  <c r="AA13" i="8" s="1"/>
  <c r="AA26" i="8" s="1"/>
  <c r="AC22" i="1"/>
  <c r="AB13" i="8" s="1"/>
  <c r="AB26" i="8" s="1"/>
  <c r="AD22" i="1"/>
  <c r="AC13" i="8" s="1"/>
  <c r="AC26" i="8" s="1"/>
  <c r="O11" i="1"/>
  <c r="P11" i="1"/>
  <c r="Q11" i="1"/>
  <c r="R11" i="1"/>
  <c r="S11" i="1"/>
  <c r="T11" i="1"/>
  <c r="U11" i="1"/>
  <c r="V11" i="1"/>
  <c r="W11" i="1"/>
  <c r="X11" i="1"/>
  <c r="Y11" i="1"/>
  <c r="Z11" i="1"/>
  <c r="AA11" i="1"/>
  <c r="AB11" i="1"/>
  <c r="AC11" i="1"/>
  <c r="AD11" i="1"/>
  <c r="N11" i="1"/>
  <c r="J21" i="1"/>
  <c r="I12" i="8" s="1"/>
  <c r="I25" i="8" s="1"/>
  <c r="T21" i="1"/>
  <c r="S12" i="8" s="1"/>
  <c r="S25" i="8" s="1"/>
  <c r="AB21" i="1"/>
  <c r="AA12" i="8" s="1"/>
  <c r="AA25" i="8" s="1"/>
  <c r="G10" i="1"/>
  <c r="G21" i="1" s="1"/>
  <c r="F12" i="8" s="1"/>
  <c r="F25" i="8" s="1"/>
  <c r="H10" i="1"/>
  <c r="H21" i="1" s="1"/>
  <c r="G12" i="8" s="1"/>
  <c r="G25" i="8" s="1"/>
  <c r="M10" i="1"/>
  <c r="M21" i="1" s="1"/>
  <c r="L12" i="8" s="1"/>
  <c r="L25" i="8" s="1"/>
  <c r="N10" i="1"/>
  <c r="N21" i="1" s="1"/>
  <c r="M12" i="8" s="1"/>
  <c r="M25" i="8" s="1"/>
  <c r="O10" i="1"/>
  <c r="O21" i="1" s="1"/>
  <c r="N12" i="8" s="1"/>
  <c r="N25" i="8" s="1"/>
  <c r="P10" i="1"/>
  <c r="P21" i="1" s="1"/>
  <c r="O12" i="8" s="1"/>
  <c r="O25" i="8" s="1"/>
  <c r="Q10" i="1"/>
  <c r="Q21" i="1" s="1"/>
  <c r="P12" i="8" s="1"/>
  <c r="P25" i="8" s="1"/>
  <c r="R10" i="1"/>
  <c r="R21" i="1" s="1"/>
  <c r="Q12" i="8" s="1"/>
  <c r="Q25" i="8" s="1"/>
  <c r="S10" i="1"/>
  <c r="S21" i="1" s="1"/>
  <c r="R12" i="8" s="1"/>
  <c r="R25" i="8" s="1"/>
  <c r="T10" i="1"/>
  <c r="U10" i="1"/>
  <c r="U21" i="1" s="1"/>
  <c r="T12" i="8" s="1"/>
  <c r="T25" i="8" s="1"/>
  <c r="V10" i="1"/>
  <c r="V21" i="1" s="1"/>
  <c r="U12" i="8" s="1"/>
  <c r="U25" i="8" s="1"/>
  <c r="W10" i="1"/>
  <c r="W21" i="1" s="1"/>
  <c r="V12" i="8" s="1"/>
  <c r="V25" i="8" s="1"/>
  <c r="X10" i="1"/>
  <c r="X21" i="1" s="1"/>
  <c r="W12" i="8" s="1"/>
  <c r="W25" i="8" s="1"/>
  <c r="Y10" i="1"/>
  <c r="Y21" i="1" s="1"/>
  <c r="X12" i="8" s="1"/>
  <c r="X25" i="8" s="1"/>
  <c r="Z10" i="1"/>
  <c r="Z21" i="1" s="1"/>
  <c r="Y12" i="8" s="1"/>
  <c r="Y25" i="8" s="1"/>
  <c r="AA10" i="1"/>
  <c r="AA21" i="1" s="1"/>
  <c r="Z12" i="8" s="1"/>
  <c r="Z25" i="8" s="1"/>
  <c r="AB10" i="1"/>
  <c r="AC10" i="1"/>
  <c r="AC21" i="1" s="1"/>
  <c r="AB12" i="8" s="1"/>
  <c r="AB25" i="8" s="1"/>
  <c r="AD10" i="1"/>
  <c r="AD21" i="1" s="1"/>
  <c r="AC12" i="8" s="1"/>
  <c r="AC25" i="8" s="1"/>
  <c r="D10" i="6"/>
  <c r="D10" i="1" s="1"/>
  <c r="D21" i="1" s="1"/>
  <c r="C12" i="8" s="1"/>
  <c r="C25" i="8" s="1"/>
  <c r="E10" i="6"/>
  <c r="E10" i="1" s="1"/>
  <c r="E21" i="1" s="1"/>
  <c r="D12" i="8" s="1"/>
  <c r="D25" i="8" s="1"/>
  <c r="F10" i="6"/>
  <c r="F10" i="1" s="1"/>
  <c r="F21" i="1" s="1"/>
  <c r="E12" i="8" s="1"/>
  <c r="E25" i="8" s="1"/>
  <c r="G10" i="6"/>
  <c r="H10" i="6"/>
  <c r="I10" i="6"/>
  <c r="I10" i="1" s="1"/>
  <c r="I21" i="1" s="1"/>
  <c r="H12" i="8" s="1"/>
  <c r="H25" i="8" s="1"/>
  <c r="J10" i="6"/>
  <c r="J10" i="1" s="1"/>
  <c r="K10" i="6"/>
  <c r="K10" i="1" s="1"/>
  <c r="K21" i="1" s="1"/>
  <c r="J12" i="8" s="1"/>
  <c r="J25" i="8" s="1"/>
  <c r="L10" i="6"/>
  <c r="L10" i="1" s="1"/>
  <c r="L21" i="1" s="1"/>
  <c r="K12" i="8" s="1"/>
  <c r="K25" i="8" s="1"/>
  <c r="M10" i="6"/>
  <c r="C10" i="6"/>
  <c r="C10" i="1" s="1"/>
  <c r="C21" i="1" s="1"/>
  <c r="B12" i="8" s="1"/>
  <c r="B25" i="8" s="1"/>
  <c r="D20" i="1"/>
  <c r="C11" i="8" s="1"/>
  <c r="C24" i="8" s="1"/>
  <c r="E20" i="1"/>
  <c r="D11" i="8" s="1"/>
  <c r="F20" i="1"/>
  <c r="E11" i="8" s="1"/>
  <c r="E24" i="8" s="1"/>
  <c r="G20" i="1"/>
  <c r="F11" i="8" s="1"/>
  <c r="F24" i="8" s="1"/>
  <c r="H20" i="1"/>
  <c r="G11" i="8" s="1"/>
  <c r="G24" i="8" s="1"/>
  <c r="I20" i="1"/>
  <c r="H11" i="8" s="1"/>
  <c r="H24" i="8" s="1"/>
  <c r="J20" i="1"/>
  <c r="I11" i="8" s="1"/>
  <c r="I24" i="8" s="1"/>
  <c r="K20" i="1"/>
  <c r="J11" i="8" s="1"/>
  <c r="J24" i="8" s="1"/>
  <c r="I6" i="5"/>
  <c r="I7" i="5"/>
  <c r="I8" i="5"/>
  <c r="I9" i="5"/>
  <c r="I10" i="5"/>
  <c r="I11" i="5"/>
  <c r="I12" i="5"/>
  <c r="I13" i="5"/>
  <c r="I14" i="5"/>
  <c r="I15" i="5"/>
  <c r="I16" i="5"/>
  <c r="I5" i="5"/>
  <c r="I23" i="5" s="1"/>
  <c r="P6" i="5"/>
  <c r="P7" i="5"/>
  <c r="P8" i="5"/>
  <c r="P9" i="5"/>
  <c r="P10" i="5"/>
  <c r="P5" i="5"/>
  <c r="C37" i="5" s="1" a="1"/>
  <c r="AL25" i="8" l="1"/>
  <c r="AL12" i="8" s="1"/>
  <c r="AT25" i="8"/>
  <c r="AT12" i="8" s="1"/>
  <c r="BB25" i="8"/>
  <c r="BB12" i="8" s="1"/>
  <c r="BJ25" i="8"/>
  <c r="BJ12" i="8" s="1"/>
  <c r="AE25" i="8"/>
  <c r="AE12" i="8" s="1"/>
  <c r="AM25" i="8"/>
  <c r="AM12" i="8" s="1"/>
  <c r="AU25" i="8"/>
  <c r="AU12" i="8" s="1"/>
  <c r="BC25" i="8"/>
  <c r="BC12" i="8" s="1"/>
  <c r="AF25" i="8"/>
  <c r="AF12" i="8" s="1"/>
  <c r="AN25" i="8"/>
  <c r="AN12" i="8" s="1"/>
  <c r="AV25" i="8"/>
  <c r="AV12" i="8" s="1"/>
  <c r="BD25" i="8"/>
  <c r="BD12" i="8" s="1"/>
  <c r="AD25" i="8"/>
  <c r="AD12" i="8" s="1"/>
  <c r="AG25" i="8"/>
  <c r="AG12" i="8" s="1"/>
  <c r="AO25" i="8"/>
  <c r="AO12" i="8" s="1"/>
  <c r="AW25" i="8"/>
  <c r="AW12" i="8" s="1"/>
  <c r="BE25" i="8"/>
  <c r="BE12" i="8" s="1"/>
  <c r="AH25" i="8"/>
  <c r="AH12" i="8" s="1"/>
  <c r="AP25" i="8"/>
  <c r="AP12" i="8" s="1"/>
  <c r="AX25" i="8"/>
  <c r="AX12" i="8" s="1"/>
  <c r="BF25" i="8"/>
  <c r="BF12" i="8" s="1"/>
  <c r="AI25" i="8"/>
  <c r="AI12" i="8" s="1"/>
  <c r="AQ25" i="8"/>
  <c r="AQ12" i="8" s="1"/>
  <c r="AY25" i="8"/>
  <c r="AY12" i="8" s="1"/>
  <c r="BG25" i="8"/>
  <c r="BG12" i="8" s="1"/>
  <c r="AZ25" i="8"/>
  <c r="AZ12" i="8" s="1"/>
  <c r="BA25" i="8"/>
  <c r="BA12" i="8" s="1"/>
  <c r="BH25" i="8"/>
  <c r="BH12" i="8" s="1"/>
  <c r="BI25" i="8"/>
  <c r="BI12" i="8" s="1"/>
  <c r="AJ25" i="8"/>
  <c r="AJ12" i="8" s="1"/>
  <c r="AK25" i="8"/>
  <c r="AK12" i="8" s="1"/>
  <c r="AR25" i="8"/>
  <c r="AR12" i="8" s="1"/>
  <c r="AS25" i="8"/>
  <c r="AS12" i="8" s="1"/>
  <c r="C37" i="5"/>
  <c r="S9" i="1"/>
  <c r="S20" i="1" s="1"/>
  <c r="R11" i="8" s="1"/>
  <c r="R24" i="8" s="1"/>
  <c r="AA9" i="1"/>
  <c r="AA20" i="1" s="1"/>
  <c r="Z11" i="8" s="1"/>
  <c r="Z24" i="8" s="1"/>
  <c r="T9" i="1"/>
  <c r="T20" i="1" s="1"/>
  <c r="S11" i="8" s="1"/>
  <c r="S24" i="8" s="1"/>
  <c r="AB9" i="1"/>
  <c r="AB20" i="1" s="1"/>
  <c r="AA11" i="8" s="1"/>
  <c r="AA24" i="8" s="1"/>
  <c r="M9" i="1"/>
  <c r="M20" i="1" s="1"/>
  <c r="L11" i="8" s="1"/>
  <c r="L24" i="8" s="1"/>
  <c r="U9" i="1"/>
  <c r="U20" i="1" s="1"/>
  <c r="T11" i="8" s="1"/>
  <c r="T24" i="8" s="1"/>
  <c r="AC9" i="1"/>
  <c r="AC20" i="1" s="1"/>
  <c r="AB11" i="8" s="1"/>
  <c r="AB24" i="8" s="1"/>
  <c r="N9" i="1"/>
  <c r="N20" i="1" s="1"/>
  <c r="M11" i="8" s="1"/>
  <c r="M24" i="8" s="1"/>
  <c r="V9" i="1"/>
  <c r="V20" i="1" s="1"/>
  <c r="U11" i="8" s="1"/>
  <c r="U24" i="8" s="1"/>
  <c r="AD9" i="1"/>
  <c r="AD20" i="1" s="1"/>
  <c r="AC11" i="8" s="1"/>
  <c r="AC24" i="8" s="1"/>
  <c r="O9" i="1"/>
  <c r="O20" i="1" s="1"/>
  <c r="N11" i="8" s="1"/>
  <c r="N24" i="8" s="1"/>
  <c r="W9" i="1"/>
  <c r="W20" i="1" s="1"/>
  <c r="V11" i="8" s="1"/>
  <c r="V24" i="8" s="1"/>
  <c r="L9" i="1"/>
  <c r="L20" i="1" s="1"/>
  <c r="K11" i="8" s="1"/>
  <c r="K24" i="8" s="1"/>
  <c r="P9" i="1"/>
  <c r="P20" i="1" s="1"/>
  <c r="O11" i="8" s="1"/>
  <c r="O24" i="8" s="1"/>
  <c r="AK24" i="8" s="1"/>
  <c r="AK11" i="8" s="1"/>
  <c r="X9" i="1"/>
  <c r="X20" i="1" s="1"/>
  <c r="W11" i="8" s="1"/>
  <c r="W24" i="8" s="1"/>
  <c r="Q9" i="1"/>
  <c r="Q20" i="1" s="1"/>
  <c r="P11" i="8" s="1"/>
  <c r="P24" i="8" s="1"/>
  <c r="Y9" i="1"/>
  <c r="Y20" i="1" s="1"/>
  <c r="X11" i="8" s="1"/>
  <c r="X24" i="8" s="1"/>
  <c r="R9" i="1"/>
  <c r="R20" i="1" s="1"/>
  <c r="Q11" i="8" s="1"/>
  <c r="Q24" i="8" s="1"/>
  <c r="Z9" i="1"/>
  <c r="Z20" i="1" s="1"/>
  <c r="Y11" i="8" s="1"/>
  <c r="Y24" i="8" s="1"/>
  <c r="D9" i="8"/>
  <c r="D22" i="8" s="1"/>
  <c r="D24" i="8"/>
  <c r="AT24" i="8" s="1"/>
  <c r="AT11" i="8" s="1"/>
  <c r="AL24" i="8"/>
  <c r="AL11" i="8" s="1"/>
  <c r="AD24" i="8"/>
  <c r="AD11" i="8" s="1"/>
  <c r="BE24" i="8"/>
  <c r="BE11" i="8" s="1"/>
  <c r="BG24" i="8"/>
  <c r="BG11" i="8" s="1"/>
  <c r="AS24" i="8"/>
  <c r="AS11" i="8" s="1"/>
  <c r="B23" i="8"/>
  <c r="B9" i="8"/>
  <c r="B22" i="8" s="1"/>
  <c r="AL26" i="8"/>
  <c r="AL13" i="8" s="1"/>
  <c r="AT26" i="8"/>
  <c r="AT13" i="8" s="1"/>
  <c r="BB26" i="8"/>
  <c r="BB13" i="8" s="1"/>
  <c r="BJ26" i="8"/>
  <c r="BJ13" i="8" s="1"/>
  <c r="AE26" i="8"/>
  <c r="AE13" i="8" s="1"/>
  <c r="AF26" i="8"/>
  <c r="AF13" i="8" s="1"/>
  <c r="AN26" i="8"/>
  <c r="AN13" i="8" s="1"/>
  <c r="AV26" i="8"/>
  <c r="AV13" i="8" s="1"/>
  <c r="BD26" i="8"/>
  <c r="BD13" i="8" s="1"/>
  <c r="AG26" i="8"/>
  <c r="AG13" i="8" s="1"/>
  <c r="AO26" i="8"/>
  <c r="AO13" i="8" s="1"/>
  <c r="AW26" i="8"/>
  <c r="AW13" i="8" s="1"/>
  <c r="BE26" i="8"/>
  <c r="BE13" i="8" s="1"/>
  <c r="AD26" i="8"/>
  <c r="AD13" i="8" s="1"/>
  <c r="AH26" i="8"/>
  <c r="AH13" i="8" s="1"/>
  <c r="AP26" i="8"/>
  <c r="AP13" i="8" s="1"/>
  <c r="AX26" i="8"/>
  <c r="AX13" i="8" s="1"/>
  <c r="BF26" i="8"/>
  <c r="BF13" i="8" s="1"/>
  <c r="AI26" i="8"/>
  <c r="AI13" i="8" s="1"/>
  <c r="AQ26" i="8"/>
  <c r="AQ13" i="8" s="1"/>
  <c r="AY26" i="8"/>
  <c r="AY13" i="8" s="1"/>
  <c r="BG26" i="8"/>
  <c r="BG13" i="8" s="1"/>
  <c r="AS26" i="8"/>
  <c r="AS13" i="8" s="1"/>
  <c r="AU26" i="8"/>
  <c r="AU13" i="8" s="1"/>
  <c r="AZ26" i="8"/>
  <c r="AZ13" i="8" s="1"/>
  <c r="BA26" i="8"/>
  <c r="BA13" i="8" s="1"/>
  <c r="AJ26" i="8"/>
  <c r="AJ13" i="8" s="1"/>
  <c r="BC26" i="8"/>
  <c r="BC13" i="8" s="1"/>
  <c r="AK26" i="8"/>
  <c r="AK13" i="8" s="1"/>
  <c r="BH26" i="8"/>
  <c r="BH13" i="8" s="1"/>
  <c r="AM26" i="8"/>
  <c r="AM13" i="8" s="1"/>
  <c r="BI26" i="8"/>
  <c r="BI13" i="8" s="1"/>
  <c r="AR26" i="8"/>
  <c r="AR13" i="8" s="1"/>
  <c r="G9" i="8"/>
  <c r="G22" i="8" s="1"/>
  <c r="G23" i="8"/>
  <c r="C9" i="8"/>
  <c r="C22" i="8" s="1"/>
  <c r="H9" i="8"/>
  <c r="H22" i="8" s="1"/>
  <c r="J9" i="8"/>
  <c r="J22" i="8" s="1"/>
  <c r="E9" i="8"/>
  <c r="E22" i="8" s="1"/>
  <c r="F9" i="8"/>
  <c r="F22" i="8" s="1"/>
  <c r="I9" i="8"/>
  <c r="I22" i="8" s="1"/>
  <c r="I22" i="5"/>
  <c r="F18" i="5"/>
  <c r="F25" i="5"/>
  <c r="I21" i="5"/>
  <c r="F24" i="5"/>
  <c r="I20" i="5"/>
  <c r="F23" i="5"/>
  <c r="I19" i="5"/>
  <c r="I18" i="5"/>
  <c r="F21" i="5"/>
  <c r="I24" i="5"/>
  <c r="F22" i="5"/>
  <c r="I17" i="5"/>
  <c r="F17" i="5" s="1"/>
  <c r="C28" i="5" s="1" a="1"/>
  <c r="F20" i="5"/>
  <c r="I25" i="5"/>
  <c r="F19" i="5"/>
  <c r="AD6" i="1"/>
  <c r="AD17" i="1" s="1"/>
  <c r="AC7" i="8" s="1"/>
  <c r="AC20" i="8" s="1"/>
  <c r="X7" i="1"/>
  <c r="X18" i="1" s="1"/>
  <c r="W8" i="8" s="1"/>
  <c r="W21" i="8" s="1"/>
  <c r="Z7" i="1"/>
  <c r="Z18" i="1" s="1"/>
  <c r="Y8" i="8" s="1"/>
  <c r="Y21" i="8" s="1"/>
  <c r="AD7" i="1"/>
  <c r="AD18" i="1" s="1"/>
  <c r="AC8" i="8" s="1"/>
  <c r="AC21" i="8" s="1"/>
  <c r="AG25" i="3"/>
  <c r="AG26" i="3" s="1"/>
  <c r="AF25" i="3"/>
  <c r="AE25" i="3"/>
  <c r="AD25" i="3"/>
  <c r="AC25" i="3"/>
  <c r="AB25" i="3"/>
  <c r="AB7" i="1" s="1"/>
  <c r="AB18" i="1" s="1"/>
  <c r="AA8" i="8" s="1"/>
  <c r="AA21" i="8" s="1"/>
  <c r="AA25" i="3"/>
  <c r="AA7" i="1" s="1"/>
  <c r="AA18" i="1" s="1"/>
  <c r="Z8" i="8" s="1"/>
  <c r="Z21" i="8" s="1"/>
  <c r="Z25" i="3"/>
  <c r="Z26" i="3" s="1"/>
  <c r="Z6" i="1" s="1"/>
  <c r="Z17" i="1" s="1"/>
  <c r="Y7" i="8" s="1"/>
  <c r="Y20" i="8" s="1"/>
  <c r="Y25" i="3"/>
  <c r="Y26" i="3" s="1"/>
  <c r="Y6" i="1" s="1"/>
  <c r="Y17" i="1" s="1"/>
  <c r="X7" i="8" s="1"/>
  <c r="X20" i="8" s="1"/>
  <c r="X25" i="3"/>
  <c r="AG24" i="3"/>
  <c r="AF24" i="3"/>
  <c r="AE24" i="3"/>
  <c r="AE26" i="3" s="1"/>
  <c r="AD24" i="3"/>
  <c r="AD26" i="3" s="1"/>
  <c r="AC24" i="3"/>
  <c r="AB24" i="3"/>
  <c r="AB26" i="3" s="1"/>
  <c r="AB6" i="1" s="1"/>
  <c r="AB17" i="1" s="1"/>
  <c r="AA7" i="8" s="1"/>
  <c r="AA24" i="3"/>
  <c r="AA26" i="3" s="1"/>
  <c r="AA6" i="1" s="1"/>
  <c r="AA17" i="1" s="1"/>
  <c r="Z7" i="8" s="1"/>
  <c r="Z20" i="8" s="1"/>
  <c r="Z24" i="3"/>
  <c r="Y24" i="3"/>
  <c r="X24" i="3"/>
  <c r="W23" i="3"/>
  <c r="V23" i="3"/>
  <c r="U23" i="3"/>
  <c r="T23" i="3"/>
  <c r="S23" i="3"/>
  <c r="R23" i="3"/>
  <c r="Q23" i="3"/>
  <c r="P23" i="3"/>
  <c r="O23" i="3"/>
  <c r="N23" i="3"/>
  <c r="M23" i="3"/>
  <c r="L23" i="3"/>
  <c r="K23" i="3"/>
  <c r="J23" i="3"/>
  <c r="I23" i="3"/>
  <c r="H23" i="3"/>
  <c r="G23" i="3"/>
  <c r="F23" i="3"/>
  <c r="E23" i="3"/>
  <c r="D23" i="3"/>
  <c r="C23" i="3"/>
  <c r="W22" i="3"/>
  <c r="V22" i="3"/>
  <c r="U22" i="3"/>
  <c r="T22" i="3"/>
  <c r="S22" i="3"/>
  <c r="R22" i="3"/>
  <c r="Q22" i="3"/>
  <c r="P22" i="3"/>
  <c r="O22" i="3"/>
  <c r="N22" i="3"/>
  <c r="M22" i="3"/>
  <c r="L22" i="3"/>
  <c r="K22" i="3"/>
  <c r="J22" i="3"/>
  <c r="I22" i="3"/>
  <c r="H22" i="3"/>
  <c r="G22" i="3"/>
  <c r="F22" i="3"/>
  <c r="E22" i="3"/>
  <c r="D22" i="3"/>
  <c r="C22" i="3"/>
  <c r="T21" i="3"/>
  <c r="S21" i="3"/>
  <c r="R21" i="3"/>
  <c r="Q21" i="3"/>
  <c r="P21" i="3"/>
  <c r="O21" i="3"/>
  <c r="N21" i="3"/>
  <c r="M21" i="3"/>
  <c r="L21" i="3"/>
  <c r="K21" i="3"/>
  <c r="J21" i="3"/>
  <c r="I21" i="3"/>
  <c r="H21" i="3"/>
  <c r="G21" i="3"/>
  <c r="F21" i="3"/>
  <c r="E21" i="3"/>
  <c r="D21" i="3"/>
  <c r="C21" i="3"/>
  <c r="W20" i="3"/>
  <c r="W24" i="3" s="1"/>
  <c r="V20" i="3"/>
  <c r="U20" i="3"/>
  <c r="T20" i="3"/>
  <c r="S20" i="3"/>
  <c r="R20" i="3"/>
  <c r="Q20" i="3"/>
  <c r="P20" i="3"/>
  <c r="O20" i="3"/>
  <c r="N20" i="3"/>
  <c r="M20" i="3"/>
  <c r="L20" i="3"/>
  <c r="K20" i="3"/>
  <c r="J20" i="3"/>
  <c r="I20" i="3"/>
  <c r="H20" i="3"/>
  <c r="G20" i="3"/>
  <c r="F20" i="3"/>
  <c r="E20" i="3"/>
  <c r="D20" i="3"/>
  <c r="C20" i="3"/>
  <c r="S19" i="3"/>
  <c r="R19" i="3"/>
  <c r="Q19" i="3"/>
  <c r="P19" i="3"/>
  <c r="O19" i="3"/>
  <c r="N19" i="3"/>
  <c r="M19" i="3"/>
  <c r="L19" i="3"/>
  <c r="K19" i="3"/>
  <c r="J19" i="3"/>
  <c r="I19" i="3"/>
  <c r="H19" i="3"/>
  <c r="G19" i="3"/>
  <c r="F19" i="3"/>
  <c r="E19" i="3"/>
  <c r="D19" i="3"/>
  <c r="C19" i="3"/>
  <c r="N18" i="3"/>
  <c r="M18" i="3"/>
  <c r="L18" i="3"/>
  <c r="K18" i="3"/>
  <c r="J18" i="3"/>
  <c r="I18" i="3"/>
  <c r="H18" i="3"/>
  <c r="G18" i="3"/>
  <c r="F18" i="3"/>
  <c r="E18" i="3"/>
  <c r="D18" i="3"/>
  <c r="C18" i="3"/>
  <c r="N17" i="3"/>
  <c r="M17" i="3"/>
  <c r="L17" i="3"/>
  <c r="K17" i="3"/>
  <c r="J17" i="3"/>
  <c r="I17" i="3"/>
  <c r="H17" i="3"/>
  <c r="G17" i="3"/>
  <c r="F17" i="3"/>
  <c r="E17" i="3"/>
  <c r="D17" i="3"/>
  <c r="C17" i="3"/>
  <c r="P16" i="3"/>
  <c r="O16" i="3"/>
  <c r="N16" i="3"/>
  <c r="M16" i="3"/>
  <c r="L16" i="3"/>
  <c r="K16" i="3"/>
  <c r="J16" i="3"/>
  <c r="I16" i="3"/>
  <c r="H16" i="3"/>
  <c r="G16" i="3"/>
  <c r="F16" i="3"/>
  <c r="E16" i="3"/>
  <c r="D16" i="3"/>
  <c r="C16" i="3"/>
  <c r="O15" i="3"/>
  <c r="N15" i="3"/>
  <c r="M15" i="3"/>
  <c r="L15" i="3"/>
  <c r="K15" i="3"/>
  <c r="J15" i="3"/>
  <c r="I15" i="3"/>
  <c r="H15" i="3"/>
  <c r="G15" i="3"/>
  <c r="F15" i="3"/>
  <c r="E15" i="3"/>
  <c r="D15" i="3"/>
  <c r="C15" i="3"/>
  <c r="N14" i="3"/>
  <c r="M14" i="3"/>
  <c r="L14" i="3"/>
  <c r="K14" i="3"/>
  <c r="J14" i="3"/>
  <c r="I14" i="3"/>
  <c r="H14" i="3"/>
  <c r="G14" i="3"/>
  <c r="F14" i="3"/>
  <c r="E14" i="3"/>
  <c r="D14" i="3"/>
  <c r="C14" i="3"/>
  <c r="V13" i="3"/>
  <c r="U13" i="3"/>
  <c r="U24" i="3" s="1"/>
  <c r="T13" i="3"/>
  <c r="T24" i="3" s="1"/>
  <c r="S13" i="3"/>
  <c r="S24" i="3" s="1"/>
  <c r="R13" i="3"/>
  <c r="Q13" i="3"/>
  <c r="P13" i="3"/>
  <c r="O13" i="3"/>
  <c r="N13" i="3"/>
  <c r="M13" i="3"/>
  <c r="L13" i="3"/>
  <c r="K13" i="3"/>
  <c r="J13" i="3"/>
  <c r="I13" i="3"/>
  <c r="H13" i="3"/>
  <c r="G13" i="3"/>
  <c r="F13" i="3"/>
  <c r="E13" i="3"/>
  <c r="D13" i="3"/>
  <c r="C13" i="3"/>
  <c r="O12" i="3"/>
  <c r="N12" i="3"/>
  <c r="M12" i="3"/>
  <c r="L12" i="3"/>
  <c r="K12" i="3"/>
  <c r="J12" i="3"/>
  <c r="I12" i="3"/>
  <c r="H12" i="3"/>
  <c r="G12" i="3"/>
  <c r="F12" i="3"/>
  <c r="E12" i="3"/>
  <c r="D12" i="3"/>
  <c r="C12" i="3"/>
  <c r="N11" i="3"/>
  <c r="M11" i="3"/>
  <c r="M25" i="3" s="1"/>
  <c r="M7" i="1" s="1"/>
  <c r="M18" i="1" s="1"/>
  <c r="L8" i="8" s="1"/>
  <c r="L21" i="8" s="1"/>
  <c r="L11" i="3"/>
  <c r="L24" i="3" s="1"/>
  <c r="K11" i="3"/>
  <c r="J11" i="3"/>
  <c r="I11" i="3"/>
  <c r="H11" i="3"/>
  <c r="G11" i="3"/>
  <c r="F11" i="3"/>
  <c r="E11" i="3"/>
  <c r="E25" i="3" s="1"/>
  <c r="E7" i="1" s="1"/>
  <c r="E18" i="1" s="1"/>
  <c r="D8" i="8" s="1"/>
  <c r="D21" i="8" s="1"/>
  <c r="D11" i="3"/>
  <c r="D24" i="3" s="1"/>
  <c r="C11" i="3"/>
  <c r="N10" i="3"/>
  <c r="M10" i="3"/>
  <c r="L10" i="3"/>
  <c r="K10" i="3"/>
  <c r="J10" i="3"/>
  <c r="I10" i="3"/>
  <c r="I24" i="3" s="1"/>
  <c r="H10" i="3"/>
  <c r="H24" i="3" s="1"/>
  <c r="G10" i="3"/>
  <c r="F10" i="3"/>
  <c r="E10" i="3"/>
  <c r="D10" i="3"/>
  <c r="C10" i="3"/>
  <c r="BJ20" i="8" l="1"/>
  <c r="BJ7" i="8" s="1"/>
  <c r="AU20" i="8"/>
  <c r="AU7" i="8" s="1"/>
  <c r="BD20" i="8"/>
  <c r="BD7" i="8" s="1"/>
  <c r="AW20" i="8"/>
  <c r="AW7" i="8" s="1"/>
  <c r="BF20" i="8"/>
  <c r="BF7" i="8" s="1"/>
  <c r="AY20" i="8"/>
  <c r="AY7" i="8" s="1"/>
  <c r="BH20" i="8"/>
  <c r="BH7" i="8" s="1"/>
  <c r="AS20" i="8"/>
  <c r="AS7" i="8" s="1"/>
  <c r="BA20" i="8"/>
  <c r="BA7" i="8" s="1"/>
  <c r="AA20" i="8"/>
  <c r="AD20" i="8" s="1"/>
  <c r="AD7" i="8" s="1"/>
  <c r="N25" i="3"/>
  <c r="N7" i="1" s="1"/>
  <c r="N18" i="1" s="1"/>
  <c r="M8" i="8" s="1"/>
  <c r="M21" i="8" s="1"/>
  <c r="K24" i="3"/>
  <c r="K26" i="3" s="1"/>
  <c r="K6" i="1" s="1"/>
  <c r="K17" i="1" s="1"/>
  <c r="J7" i="8" s="1"/>
  <c r="J20" i="8" s="1"/>
  <c r="G25" i="3"/>
  <c r="G7" i="1" s="1"/>
  <c r="G18" i="1" s="1"/>
  <c r="F8" i="8" s="1"/>
  <c r="F21" i="8" s="1"/>
  <c r="V25" i="3"/>
  <c r="V7" i="1" s="1"/>
  <c r="V18" i="1" s="1"/>
  <c r="U8" i="8" s="1"/>
  <c r="U21" i="8" s="1"/>
  <c r="AR24" i="8"/>
  <c r="AR11" i="8" s="1"/>
  <c r="AY24" i="8"/>
  <c r="AY11" i="8" s="1"/>
  <c r="AW24" i="8"/>
  <c r="AW11" i="8" s="1"/>
  <c r="BC24" i="8"/>
  <c r="BC11" i="8" s="1"/>
  <c r="O25" i="3"/>
  <c r="O7" i="1" s="1"/>
  <c r="O18" i="1" s="1"/>
  <c r="N8" i="8" s="1"/>
  <c r="N21" i="8" s="1"/>
  <c r="J24" i="3"/>
  <c r="C24" i="3"/>
  <c r="H25" i="3"/>
  <c r="H7" i="1" s="1"/>
  <c r="H18" i="1" s="1"/>
  <c r="G8" i="8" s="1"/>
  <c r="G21" i="8" s="1"/>
  <c r="AC26" i="3"/>
  <c r="AC6" i="1" s="1"/>
  <c r="AC17" i="1" s="1"/>
  <c r="AB7" i="8" s="1"/>
  <c r="AB20" i="8" s="1"/>
  <c r="AQ20" i="8" s="1"/>
  <c r="AQ7" i="8" s="1"/>
  <c r="AQ24" i="8"/>
  <c r="AQ11" i="8" s="1"/>
  <c r="AO24" i="8"/>
  <c r="AO11" i="8" s="1"/>
  <c r="AU24" i="8"/>
  <c r="AU11" i="8" s="1"/>
  <c r="Y7" i="1"/>
  <c r="Y18" i="1" s="1"/>
  <c r="X8" i="8" s="1"/>
  <c r="X21" i="8" s="1"/>
  <c r="P25" i="3"/>
  <c r="P7" i="1" s="1"/>
  <c r="P18" i="1" s="1"/>
  <c r="O8" i="8" s="1"/>
  <c r="O21" i="8" s="1"/>
  <c r="E24" i="3"/>
  <c r="E26" i="3" s="1"/>
  <c r="E6" i="1" s="1"/>
  <c r="E17" i="1" s="1"/>
  <c r="D7" i="8" s="1"/>
  <c r="D20" i="8" s="1"/>
  <c r="M24" i="3"/>
  <c r="M26" i="3" s="1"/>
  <c r="M6" i="1" s="1"/>
  <c r="M17" i="1" s="1"/>
  <c r="L7" i="8" s="1"/>
  <c r="L20" i="8" s="1"/>
  <c r="X26" i="3"/>
  <c r="X6" i="1" s="1"/>
  <c r="X17" i="1" s="1"/>
  <c r="W7" i="8" s="1"/>
  <c r="AF26" i="3"/>
  <c r="AC7" i="1"/>
  <c r="AC18" i="1" s="1"/>
  <c r="AB8" i="8" s="1"/>
  <c r="AB21" i="8" s="1"/>
  <c r="AJ24" i="8"/>
  <c r="AJ11" i="8" s="1"/>
  <c r="AI24" i="8"/>
  <c r="AI11" i="8" s="1"/>
  <c r="AG24" i="8"/>
  <c r="AG11" i="8" s="1"/>
  <c r="AM24" i="8"/>
  <c r="AM11" i="8" s="1"/>
  <c r="H26" i="3"/>
  <c r="H6" i="1" s="1"/>
  <c r="H17" i="1" s="1"/>
  <c r="G7" i="8" s="1"/>
  <c r="F25" i="3"/>
  <c r="F7" i="1" s="1"/>
  <c r="F18" i="1" s="1"/>
  <c r="E8" i="8" s="1"/>
  <c r="E21" i="8" s="1"/>
  <c r="F24" i="3"/>
  <c r="N24" i="3"/>
  <c r="J25" i="3"/>
  <c r="J7" i="1" s="1"/>
  <c r="J18" i="1" s="1"/>
  <c r="I8" i="8" s="1"/>
  <c r="I21" i="8" s="1"/>
  <c r="I25" i="3"/>
  <c r="I7" i="1" s="1"/>
  <c r="I18" i="1" s="1"/>
  <c r="H8" i="8" s="1"/>
  <c r="H21" i="8" s="1"/>
  <c r="Q25" i="3"/>
  <c r="Q7" i="1" s="1"/>
  <c r="Q18" i="1" s="1"/>
  <c r="P8" i="8" s="1"/>
  <c r="P21" i="8" s="1"/>
  <c r="V24" i="3"/>
  <c r="BI24" i="8"/>
  <c r="BI11" i="8" s="1"/>
  <c r="BF24" i="8"/>
  <c r="BF11" i="8" s="1"/>
  <c r="BD24" i="8"/>
  <c r="BD11" i="8" s="1"/>
  <c r="AE24" i="8"/>
  <c r="AE11" i="8" s="1"/>
  <c r="G24" i="3"/>
  <c r="C25" i="3"/>
  <c r="C7" i="1" s="1"/>
  <c r="C18" i="1" s="1"/>
  <c r="B8" i="8" s="1"/>
  <c r="B21" i="8" s="1"/>
  <c r="K25" i="3"/>
  <c r="K7" i="1" s="1"/>
  <c r="K18" i="1" s="1"/>
  <c r="J8" i="8" s="1"/>
  <c r="J21" i="8" s="1"/>
  <c r="O24" i="3"/>
  <c r="R24" i="3"/>
  <c r="BH24" i="8"/>
  <c r="BH11" i="8" s="1"/>
  <c r="AX24" i="8"/>
  <c r="AX11" i="8" s="1"/>
  <c r="AV24" i="8"/>
  <c r="AV11" i="8" s="1"/>
  <c r="BJ24" i="8"/>
  <c r="BJ11" i="8" s="1"/>
  <c r="C28" i="5"/>
  <c r="P8" i="1"/>
  <c r="P19" i="1" s="1"/>
  <c r="O10" i="8" s="1"/>
  <c r="X8" i="1"/>
  <c r="X19" i="1" s="1"/>
  <c r="W10" i="8" s="1"/>
  <c r="Q8" i="1"/>
  <c r="Q19" i="1" s="1"/>
  <c r="P10" i="8" s="1"/>
  <c r="Y8" i="1"/>
  <c r="Y19" i="1" s="1"/>
  <c r="X10" i="8" s="1"/>
  <c r="R8" i="1"/>
  <c r="R19" i="1" s="1"/>
  <c r="Q10" i="8" s="1"/>
  <c r="Z8" i="1"/>
  <c r="Z19" i="1" s="1"/>
  <c r="Y10" i="8" s="1"/>
  <c r="S8" i="1"/>
  <c r="S19" i="1" s="1"/>
  <c r="R10" i="8" s="1"/>
  <c r="AA8" i="1"/>
  <c r="AA19" i="1" s="1"/>
  <c r="Z10" i="8" s="1"/>
  <c r="T8" i="1"/>
  <c r="T19" i="1" s="1"/>
  <c r="S10" i="8" s="1"/>
  <c r="AB8" i="1"/>
  <c r="M8" i="1"/>
  <c r="M19" i="1" s="1"/>
  <c r="L10" i="8" s="1"/>
  <c r="U8" i="1"/>
  <c r="U19" i="1" s="1"/>
  <c r="T10" i="8" s="1"/>
  <c r="AC8" i="1"/>
  <c r="N8" i="1"/>
  <c r="N19" i="1" s="1"/>
  <c r="M10" i="8" s="1"/>
  <c r="V8" i="1"/>
  <c r="V19" i="1" s="1"/>
  <c r="U10" i="8" s="1"/>
  <c r="AD8" i="1"/>
  <c r="AD19" i="1" s="1"/>
  <c r="AC10" i="8" s="1"/>
  <c r="O8" i="1"/>
  <c r="O19" i="1" s="1"/>
  <c r="N10" i="8" s="1"/>
  <c r="W8" i="1"/>
  <c r="W19" i="1" s="1"/>
  <c r="V10" i="8" s="1"/>
  <c r="L8" i="1"/>
  <c r="L19" i="1" s="1"/>
  <c r="K10" i="8" s="1"/>
  <c r="BA24" i="8"/>
  <c r="BA11" i="8" s="1"/>
  <c r="AP24" i="8"/>
  <c r="AP11" i="8" s="1"/>
  <c r="AN24" i="8"/>
  <c r="AN11" i="8" s="1"/>
  <c r="BB24" i="8"/>
  <c r="BB11" i="8" s="1"/>
  <c r="AZ24" i="8"/>
  <c r="AZ11" i="8" s="1"/>
  <c r="AH24" i="8"/>
  <c r="AH11" i="8" s="1"/>
  <c r="AF24" i="8"/>
  <c r="AF11" i="8" s="1"/>
  <c r="AB19" i="1"/>
  <c r="AA10" i="8" s="1"/>
  <c r="AC19" i="1"/>
  <c r="AB10" i="8" s="1"/>
  <c r="U26" i="3"/>
  <c r="U6" i="1" s="1"/>
  <c r="U17" i="1" s="1"/>
  <c r="T7" i="8" s="1"/>
  <c r="T20" i="8" s="1"/>
  <c r="F26" i="3"/>
  <c r="F6" i="1" s="1"/>
  <c r="F17" i="1" s="1"/>
  <c r="E7" i="8" s="1"/>
  <c r="E20" i="8" s="1"/>
  <c r="N26" i="3"/>
  <c r="N6" i="1" s="1"/>
  <c r="N17" i="1" s="1"/>
  <c r="M7" i="8" s="1"/>
  <c r="M20" i="8" s="1"/>
  <c r="V26" i="3"/>
  <c r="V6" i="1" s="1"/>
  <c r="V17" i="1" s="1"/>
  <c r="U7" i="8" s="1"/>
  <c r="U20" i="8" s="1"/>
  <c r="G26" i="3"/>
  <c r="G6" i="1" s="1"/>
  <c r="G17" i="1" s="1"/>
  <c r="F7" i="8" s="1"/>
  <c r="F20" i="8" s="1"/>
  <c r="T26" i="3"/>
  <c r="T6" i="1" s="1"/>
  <c r="T17" i="1" s="1"/>
  <c r="S7" i="8" s="1"/>
  <c r="Q24" i="3"/>
  <c r="Q26" i="3" s="1"/>
  <c r="Q6" i="1" s="1"/>
  <c r="Q17" i="1" s="1"/>
  <c r="P7" i="8" s="1"/>
  <c r="P20" i="8" s="1"/>
  <c r="R25" i="3"/>
  <c r="P24" i="3"/>
  <c r="P26" i="3" s="1"/>
  <c r="P6" i="1" s="1"/>
  <c r="P17" i="1" s="1"/>
  <c r="O7" i="8" s="1"/>
  <c r="S25" i="3"/>
  <c r="S7" i="1" s="1"/>
  <c r="S18" i="1" s="1"/>
  <c r="R8" i="8" s="1"/>
  <c r="R21" i="8" s="1"/>
  <c r="D25" i="3"/>
  <c r="L25" i="3"/>
  <c r="L7" i="1" s="1"/>
  <c r="L18" i="1" s="1"/>
  <c r="K8" i="8" s="1"/>
  <c r="K21" i="8" s="1"/>
  <c r="T25" i="3"/>
  <c r="T7" i="1" s="1"/>
  <c r="T18" i="1" s="1"/>
  <c r="S8" i="8" s="1"/>
  <c r="S21" i="8" s="1"/>
  <c r="U25" i="3"/>
  <c r="U7" i="1" s="1"/>
  <c r="U18" i="1" s="1"/>
  <c r="T8" i="8" s="1"/>
  <c r="T21" i="8" s="1"/>
  <c r="W25" i="3"/>
  <c r="D5" i="1"/>
  <c r="E5" i="1"/>
  <c r="F5" i="1"/>
  <c r="G5" i="1"/>
  <c r="H5" i="1"/>
  <c r="I5" i="1"/>
  <c r="J5" i="1"/>
  <c r="K5" i="1"/>
  <c r="L5" i="1"/>
  <c r="M5" i="1"/>
  <c r="N5" i="1"/>
  <c r="O5" i="1"/>
  <c r="P5" i="1"/>
  <c r="Q5" i="1"/>
  <c r="R5" i="1"/>
  <c r="S5" i="1"/>
  <c r="T5" i="1"/>
  <c r="U5" i="1"/>
  <c r="V5" i="1"/>
  <c r="W5" i="1"/>
  <c r="X5" i="1"/>
  <c r="Y5" i="1"/>
  <c r="Z5" i="1"/>
  <c r="AA5" i="1"/>
  <c r="AB5" i="1"/>
  <c r="AC5" i="1"/>
  <c r="AD5" i="1"/>
  <c r="C5" i="1"/>
  <c r="Z23" i="8" l="1"/>
  <c r="Z9" i="8"/>
  <c r="Z22" i="8" s="1"/>
  <c r="AC23" i="8"/>
  <c r="AC9" i="8"/>
  <c r="AC22" i="8" s="1"/>
  <c r="Y23" i="8"/>
  <c r="Y9" i="8"/>
  <c r="Y22" i="8" s="1"/>
  <c r="N12" i="1"/>
  <c r="N23" i="1" s="1"/>
  <c r="M14" i="8" s="1"/>
  <c r="M27" i="8" s="1"/>
  <c r="N16" i="1"/>
  <c r="M6" i="8" s="1"/>
  <c r="AC12" i="1"/>
  <c r="AC23" i="1" s="1"/>
  <c r="AB14" i="8" s="1"/>
  <c r="AB27" i="8" s="1"/>
  <c r="AC16" i="1"/>
  <c r="AB6" i="8" s="1"/>
  <c r="O26" i="3"/>
  <c r="O6" i="1" s="1"/>
  <c r="O17" i="1" s="1"/>
  <c r="N7" i="8" s="1"/>
  <c r="N20" i="8" s="1"/>
  <c r="C26" i="3"/>
  <c r="C6" i="1" s="1"/>
  <c r="C17" i="1" s="1"/>
  <c r="B7" i="8" s="1"/>
  <c r="B20" i="8" s="1"/>
  <c r="AO20" i="8"/>
  <c r="AO7" i="8" s="1"/>
  <c r="AM20" i="8"/>
  <c r="AM7" i="8" s="1"/>
  <c r="AD12" i="1"/>
  <c r="AD23" i="1" s="1"/>
  <c r="AC14" i="8" s="1"/>
  <c r="AC27" i="8" s="1"/>
  <c r="AD16" i="1"/>
  <c r="AC6" i="8" s="1"/>
  <c r="F12" i="1"/>
  <c r="F23" i="1" s="1"/>
  <c r="E14" i="8" s="1"/>
  <c r="E27" i="8" s="1"/>
  <c r="F16" i="1"/>
  <c r="E6" i="8" s="1"/>
  <c r="L23" i="8"/>
  <c r="L9" i="8"/>
  <c r="L22" i="8" s="1"/>
  <c r="U12" i="1"/>
  <c r="U23" i="1" s="1"/>
  <c r="T14" i="8" s="1"/>
  <c r="T27" i="8" s="1"/>
  <c r="U16" i="1"/>
  <c r="T6" i="8" s="1"/>
  <c r="M12" i="1"/>
  <c r="M23" i="1" s="1"/>
  <c r="L14" i="8" s="1"/>
  <c r="L27" i="8" s="1"/>
  <c r="M16" i="1"/>
  <c r="L6" i="8" s="1"/>
  <c r="E12" i="1"/>
  <c r="E23" i="1" s="1"/>
  <c r="D14" i="8" s="1"/>
  <c r="D27" i="8" s="1"/>
  <c r="E16" i="1"/>
  <c r="D6" i="8" s="1"/>
  <c r="O20" i="8"/>
  <c r="V23" i="8"/>
  <c r="V9" i="8"/>
  <c r="V22" i="8" s="1"/>
  <c r="W9" i="8"/>
  <c r="W22" i="8" s="1"/>
  <c r="W23" i="8"/>
  <c r="AB12" i="1"/>
  <c r="AB23" i="1" s="1"/>
  <c r="AA14" i="8" s="1"/>
  <c r="AA27" i="8" s="1"/>
  <c r="AB16" i="1"/>
  <c r="AA6" i="8" s="1"/>
  <c r="T12" i="1"/>
  <c r="T23" i="1" s="1"/>
  <c r="S14" i="8" s="1"/>
  <c r="S27" i="8" s="1"/>
  <c r="T16" i="1"/>
  <c r="S6" i="8" s="1"/>
  <c r="S19" i="8" s="1"/>
  <c r="L12" i="1"/>
  <c r="L23" i="1" s="1"/>
  <c r="K14" i="8" s="1"/>
  <c r="K27" i="8" s="1"/>
  <c r="L16" i="1"/>
  <c r="K6" i="8" s="1"/>
  <c r="K19" i="8" s="1"/>
  <c r="D16" i="1"/>
  <c r="C6" i="8" s="1"/>
  <c r="C19" i="8" s="1"/>
  <c r="R26" i="3"/>
  <c r="R6" i="1" s="1"/>
  <c r="R17" i="1" s="1"/>
  <c r="Q7" i="8" s="1"/>
  <c r="Q20" i="8" s="1"/>
  <c r="R7" i="1"/>
  <c r="R18" i="1" s="1"/>
  <c r="Q8" i="8" s="1"/>
  <c r="Q21" i="8" s="1"/>
  <c r="N23" i="8"/>
  <c r="N9" i="8"/>
  <c r="N22" i="8" s="1"/>
  <c r="S23" i="8"/>
  <c r="S9" i="8"/>
  <c r="S22" i="8" s="1"/>
  <c r="O9" i="8"/>
  <c r="O22" i="8" s="1"/>
  <c r="O23" i="8"/>
  <c r="J26" i="3"/>
  <c r="J6" i="1" s="1"/>
  <c r="J17" i="1" s="1"/>
  <c r="I7" i="8" s="1"/>
  <c r="I20" i="8" s="1"/>
  <c r="AK20" i="8"/>
  <c r="AK7" i="8" s="1"/>
  <c r="AI20" i="8"/>
  <c r="AI7" i="8" s="1"/>
  <c r="AG20" i="8"/>
  <c r="AG7" i="8" s="1"/>
  <c r="AE20" i="8"/>
  <c r="AE7" i="8" s="1"/>
  <c r="P23" i="8"/>
  <c r="P9" i="8"/>
  <c r="P22" i="8" s="1"/>
  <c r="S5" i="8"/>
  <c r="S18" i="8" s="1"/>
  <c r="S20" i="8"/>
  <c r="AB23" i="8"/>
  <c r="AB9" i="8"/>
  <c r="AB22" i="8" s="1"/>
  <c r="U23" i="8"/>
  <c r="U9" i="8"/>
  <c r="U22" i="8" s="1"/>
  <c r="R23" i="8"/>
  <c r="R9" i="8"/>
  <c r="R22" i="8" s="1"/>
  <c r="I26" i="3"/>
  <c r="I6" i="1" s="1"/>
  <c r="I17" i="1" s="1"/>
  <c r="H7" i="8" s="1"/>
  <c r="H20" i="8" s="1"/>
  <c r="AZ20" i="8"/>
  <c r="AZ7" i="8" s="1"/>
  <c r="AX20" i="8"/>
  <c r="AX7" i="8" s="1"/>
  <c r="AV20" i="8"/>
  <c r="AV7" i="8" s="1"/>
  <c r="BB20" i="8"/>
  <c r="BB7" i="8" s="1"/>
  <c r="AA12" i="1"/>
  <c r="AA23" i="1" s="1"/>
  <c r="Z14" i="8" s="1"/>
  <c r="Z27" i="8" s="1"/>
  <c r="AA16" i="1"/>
  <c r="Z6" i="8" s="1"/>
  <c r="K12" i="1"/>
  <c r="K23" i="1" s="1"/>
  <c r="J14" i="8" s="1"/>
  <c r="J27" i="8" s="1"/>
  <c r="K16" i="1"/>
  <c r="J6" i="8" s="1"/>
  <c r="R12" i="1"/>
  <c r="R23" i="1" s="1"/>
  <c r="Q14" i="8" s="1"/>
  <c r="Q27" i="8" s="1"/>
  <c r="R16" i="1"/>
  <c r="Q6" i="8" s="1"/>
  <c r="S26" i="3"/>
  <c r="S6" i="1" s="1"/>
  <c r="S17" i="1" s="1"/>
  <c r="R7" i="8" s="1"/>
  <c r="R20" i="8" s="1"/>
  <c r="M23" i="8"/>
  <c r="M9" i="8"/>
  <c r="M22" i="8" s="1"/>
  <c r="AR20" i="8"/>
  <c r="AR7" i="8" s="1"/>
  <c r="AP20" i="8"/>
  <c r="AP7" i="8" s="1"/>
  <c r="AN20" i="8"/>
  <c r="AN7" i="8" s="1"/>
  <c r="AT20" i="8"/>
  <c r="AT7" i="8" s="1"/>
  <c r="K23" i="8"/>
  <c r="K9" i="8"/>
  <c r="K22" i="8" s="1"/>
  <c r="S16" i="1"/>
  <c r="R6" i="8" s="1"/>
  <c r="AP21" i="8"/>
  <c r="AP8" i="8" s="1"/>
  <c r="BA21" i="8"/>
  <c r="BA8" i="8" s="1"/>
  <c r="Z12" i="1"/>
  <c r="Z23" i="1" s="1"/>
  <c r="Y14" i="8" s="1"/>
  <c r="Y27" i="8" s="1"/>
  <c r="Z16" i="1"/>
  <c r="Y6" i="8" s="1"/>
  <c r="J12" i="1"/>
  <c r="J23" i="1" s="1"/>
  <c r="I14" i="8" s="1"/>
  <c r="I27" i="8" s="1"/>
  <c r="J16" i="1"/>
  <c r="I6" i="8" s="1"/>
  <c r="Y12" i="1"/>
  <c r="Y23" i="1" s="1"/>
  <c r="X14" i="8" s="1"/>
  <c r="X27" i="8" s="1"/>
  <c r="Y16" i="1"/>
  <c r="X6" i="8" s="1"/>
  <c r="Q12" i="1"/>
  <c r="Q23" i="1" s="1"/>
  <c r="P14" i="8" s="1"/>
  <c r="P27" i="8" s="1"/>
  <c r="Q16" i="1"/>
  <c r="P6" i="8" s="1"/>
  <c r="I16" i="1"/>
  <c r="H6" i="8" s="1"/>
  <c r="X12" i="1"/>
  <c r="X23" i="1" s="1"/>
  <c r="W14" i="8" s="1"/>
  <c r="W27" i="8" s="1"/>
  <c r="X16" i="1"/>
  <c r="W6" i="8" s="1"/>
  <c r="W19" i="8" s="1"/>
  <c r="P12" i="1"/>
  <c r="P23" i="1" s="1"/>
  <c r="O14" i="8" s="1"/>
  <c r="O27" i="8" s="1"/>
  <c r="P16" i="1"/>
  <c r="O6" i="8" s="1"/>
  <c r="O19" i="8" s="1"/>
  <c r="H12" i="1"/>
  <c r="H23" i="1" s="1"/>
  <c r="G14" i="8" s="1"/>
  <c r="G27" i="8" s="1"/>
  <c r="H16" i="1"/>
  <c r="G6" i="8" s="1"/>
  <c r="G19" i="8" s="1"/>
  <c r="L26" i="3"/>
  <c r="L6" i="1" s="1"/>
  <c r="L17" i="1" s="1"/>
  <c r="K7" i="8" s="1"/>
  <c r="Q23" i="8"/>
  <c r="Q9" i="8"/>
  <c r="Q22" i="8" s="1"/>
  <c r="AJ20" i="8"/>
  <c r="AJ7" i="8" s="1"/>
  <c r="AH20" i="8"/>
  <c r="AH7" i="8" s="1"/>
  <c r="AF20" i="8"/>
  <c r="AF7" i="8" s="1"/>
  <c r="AL20" i="8"/>
  <c r="AL7" i="8" s="1"/>
  <c r="V12" i="1"/>
  <c r="V23" i="1" s="1"/>
  <c r="U14" i="8" s="1"/>
  <c r="U27" i="8" s="1"/>
  <c r="V16" i="1"/>
  <c r="U6" i="8" s="1"/>
  <c r="AA23" i="8"/>
  <c r="AA9" i="8"/>
  <c r="AA22" i="8" s="1"/>
  <c r="G5" i="8"/>
  <c r="G18" i="8" s="1"/>
  <c r="G20" i="8"/>
  <c r="W26" i="3"/>
  <c r="W6" i="1" s="1"/>
  <c r="W17" i="1" s="1"/>
  <c r="V7" i="8" s="1"/>
  <c r="V20" i="8" s="1"/>
  <c r="W7" i="1"/>
  <c r="W18" i="1" s="1"/>
  <c r="V8" i="8" s="1"/>
  <c r="V21" i="8" s="1"/>
  <c r="AR21" i="8" s="1"/>
  <c r="AR8" i="8" s="1"/>
  <c r="C12" i="1"/>
  <c r="C23" i="1" s="1"/>
  <c r="B14" i="8" s="1"/>
  <c r="B27" i="8" s="1"/>
  <c r="C16" i="1"/>
  <c r="B6" i="8" s="1"/>
  <c r="W12" i="1"/>
  <c r="W23" i="1" s="1"/>
  <c r="V14" i="8" s="1"/>
  <c r="V27" i="8" s="1"/>
  <c r="W16" i="1"/>
  <c r="V6" i="8" s="1"/>
  <c r="O12" i="1"/>
  <c r="O23" i="1" s="1"/>
  <c r="N14" i="8" s="1"/>
  <c r="N27" i="8" s="1"/>
  <c r="O16" i="1"/>
  <c r="N6" i="8" s="1"/>
  <c r="G12" i="1"/>
  <c r="G23" i="1" s="1"/>
  <c r="F14" i="8" s="1"/>
  <c r="F27" i="8" s="1"/>
  <c r="G16" i="1"/>
  <c r="F6" i="8" s="1"/>
  <c r="D26" i="3"/>
  <c r="D6" i="1" s="1"/>
  <c r="D17" i="1" s="1"/>
  <c r="C7" i="8" s="1"/>
  <c r="D7" i="1"/>
  <c r="D18" i="1" s="1"/>
  <c r="C8" i="8" s="1"/>
  <c r="C21" i="8" s="1"/>
  <c r="BB21" i="8" s="1"/>
  <c r="BB8" i="8" s="1"/>
  <c r="T23" i="8"/>
  <c r="T9" i="8"/>
  <c r="T22" i="8" s="1"/>
  <c r="X23" i="8"/>
  <c r="X9" i="8"/>
  <c r="X22" i="8" s="1"/>
  <c r="W5" i="8"/>
  <c r="W18" i="8" s="1"/>
  <c r="W20" i="8"/>
  <c r="BI20" i="8"/>
  <c r="BI7" i="8" s="1"/>
  <c r="BG20" i="8"/>
  <c r="BG7" i="8" s="1"/>
  <c r="BE20" i="8"/>
  <c r="BE7" i="8" s="1"/>
  <c r="BC20" i="8"/>
  <c r="BC7" i="8" s="1"/>
  <c r="AN21" i="8" l="1"/>
  <c r="AN8" i="8" s="1"/>
  <c r="J5" i="8"/>
  <c r="J18" i="8" s="1"/>
  <c r="J19" i="8"/>
  <c r="L5" i="8"/>
  <c r="L18" i="8" s="1"/>
  <c r="L19" i="8"/>
  <c r="M5" i="8"/>
  <c r="M18" i="8" s="1"/>
  <c r="M19" i="8"/>
  <c r="B19" i="8"/>
  <c r="B5" i="8"/>
  <c r="B18" i="8" s="1"/>
  <c r="U5" i="8"/>
  <c r="U18" i="8" s="1"/>
  <c r="U19" i="8"/>
  <c r="K5" i="8"/>
  <c r="K18" i="8" s="1"/>
  <c r="K20" i="8"/>
  <c r="I12" i="1"/>
  <c r="I23" i="1" s="1"/>
  <c r="H14" i="8" s="1"/>
  <c r="H27" i="8" s="1"/>
  <c r="BB27" i="8" s="1"/>
  <c r="BB14" i="8" s="1"/>
  <c r="AZ21" i="8"/>
  <c r="AZ8" i="8" s="1"/>
  <c r="AH21" i="8"/>
  <c r="AH8" i="8" s="1"/>
  <c r="AF21" i="8"/>
  <c r="AF8" i="8" s="1"/>
  <c r="AL21" i="8"/>
  <c r="AL8" i="8" s="1"/>
  <c r="D12" i="1"/>
  <c r="D23" i="1" s="1"/>
  <c r="C14" i="8" s="1"/>
  <c r="C27" i="8" s="1"/>
  <c r="AT21" i="8"/>
  <c r="AT8" i="8" s="1"/>
  <c r="AC5" i="8"/>
  <c r="AC18" i="8" s="1"/>
  <c r="AC19" i="8"/>
  <c r="C5" i="8"/>
  <c r="C18" i="8" s="1"/>
  <c r="C20" i="8"/>
  <c r="AV27" i="8"/>
  <c r="AV14" i="8" s="1"/>
  <c r="AX27" i="8"/>
  <c r="AX14" i="8" s="1"/>
  <c r="BC27" i="8"/>
  <c r="BC14" i="8" s="1"/>
  <c r="AZ27" i="8"/>
  <c r="AZ14" i="8" s="1"/>
  <c r="P5" i="8"/>
  <c r="P18" i="8" s="1"/>
  <c r="P19" i="8"/>
  <c r="AS21" i="8"/>
  <c r="AS8" i="8" s="1"/>
  <c r="BG21" i="8"/>
  <c r="BG8" i="8" s="1"/>
  <c r="BE21" i="8"/>
  <c r="BE8" i="8" s="1"/>
  <c r="BC21" i="8"/>
  <c r="BC8" i="8" s="1"/>
  <c r="AD21" i="8"/>
  <c r="AD8" i="8" s="1"/>
  <c r="Z5" i="8"/>
  <c r="Z18" i="8" s="1"/>
  <c r="Z19" i="8"/>
  <c r="T5" i="8"/>
  <c r="T18" i="8" s="1"/>
  <c r="T19" i="8"/>
  <c r="Y5" i="8"/>
  <c r="Y18" i="8" s="1"/>
  <c r="Y19" i="8"/>
  <c r="F5" i="8"/>
  <c r="F18" i="8" s="1"/>
  <c r="F19" i="8"/>
  <c r="AW21" i="8"/>
  <c r="AW8" i="8" s="1"/>
  <c r="AY21" i="8"/>
  <c r="AY8" i="8" s="1"/>
  <c r="X5" i="8"/>
  <c r="X18" i="8" s="1"/>
  <c r="X19" i="8"/>
  <c r="AK21" i="8"/>
  <c r="AK8" i="8" s="1"/>
  <c r="AQ21" i="8"/>
  <c r="AQ8" i="8" s="1"/>
  <c r="AO21" i="8"/>
  <c r="AO8" i="8" s="1"/>
  <c r="AM21" i="8"/>
  <c r="AM8" i="8" s="1"/>
  <c r="S12" i="1"/>
  <c r="S23" i="1" s="1"/>
  <c r="R14" i="8" s="1"/>
  <c r="R27" i="8" s="1"/>
  <c r="AL27" i="8" s="1"/>
  <c r="AL14" i="8" s="1"/>
  <c r="H5" i="8"/>
  <c r="H18" i="8" s="1"/>
  <c r="H19" i="8"/>
  <c r="AU21" i="8"/>
  <c r="AU8" i="8" s="1"/>
  <c r="AK22" i="8"/>
  <c r="AK9" i="8" s="1"/>
  <c r="AS22" i="8"/>
  <c r="AS9" i="8" s="1"/>
  <c r="BA22" i="8"/>
  <c r="BA9" i="8" s="1"/>
  <c r="BI22" i="8"/>
  <c r="BI9" i="8" s="1"/>
  <c r="AD22" i="8"/>
  <c r="AD9" i="8" s="1"/>
  <c r="AL22" i="8"/>
  <c r="AL9" i="8" s="1"/>
  <c r="AT22" i="8"/>
  <c r="AT9" i="8" s="1"/>
  <c r="BB22" i="8"/>
  <c r="BB9" i="8" s="1"/>
  <c r="BJ22" i="8"/>
  <c r="BJ9" i="8" s="1"/>
  <c r="AE22" i="8"/>
  <c r="AE9" i="8" s="1"/>
  <c r="AM22" i="8"/>
  <c r="AM9" i="8" s="1"/>
  <c r="AU22" i="8"/>
  <c r="AU9" i="8" s="1"/>
  <c r="BC22" i="8"/>
  <c r="BC9" i="8" s="1"/>
  <c r="AF22" i="8"/>
  <c r="AF9" i="8" s="1"/>
  <c r="AN22" i="8"/>
  <c r="AN9" i="8" s="1"/>
  <c r="AV22" i="8"/>
  <c r="AV9" i="8" s="1"/>
  <c r="BD22" i="8"/>
  <c r="BD9" i="8" s="1"/>
  <c r="AG22" i="8"/>
  <c r="AG9" i="8" s="1"/>
  <c r="AO22" i="8"/>
  <c r="AO9" i="8" s="1"/>
  <c r="AW22" i="8"/>
  <c r="AW9" i="8" s="1"/>
  <c r="BE22" i="8"/>
  <c r="BE9" i="8" s="1"/>
  <c r="AH22" i="8"/>
  <c r="AH9" i="8" s="1"/>
  <c r="AP22" i="8"/>
  <c r="AP9" i="8" s="1"/>
  <c r="AX22" i="8"/>
  <c r="AX9" i="8" s="1"/>
  <c r="BF22" i="8"/>
  <c r="BF9" i="8" s="1"/>
  <c r="AI22" i="8"/>
  <c r="AI9" i="8" s="1"/>
  <c r="AQ22" i="8"/>
  <c r="AQ9" i="8" s="1"/>
  <c r="AY22" i="8"/>
  <c r="AY9" i="8" s="1"/>
  <c r="BG22" i="8"/>
  <c r="BG9" i="8" s="1"/>
  <c r="AJ22" i="8"/>
  <c r="AJ9" i="8" s="1"/>
  <c r="AR22" i="8"/>
  <c r="AR9" i="8" s="1"/>
  <c r="AZ22" i="8"/>
  <c r="AZ9" i="8" s="1"/>
  <c r="BH22" i="8"/>
  <c r="BH9" i="8" s="1"/>
  <c r="AJ21" i="8"/>
  <c r="AJ8" i="8" s="1"/>
  <c r="AI21" i="8"/>
  <c r="AI8" i="8" s="1"/>
  <c r="AG21" i="8"/>
  <c r="AG8" i="8" s="1"/>
  <c r="AE21" i="8"/>
  <c r="AE8" i="8" s="1"/>
  <c r="O5" i="8"/>
  <c r="O18" i="8" s="1"/>
  <c r="R5" i="8"/>
  <c r="R18" i="8" s="1"/>
  <c r="R19" i="8"/>
  <c r="N5" i="8"/>
  <c r="N18" i="8" s="1"/>
  <c r="N19" i="8"/>
  <c r="I5" i="8"/>
  <c r="I18" i="8" s="1"/>
  <c r="I19" i="8"/>
  <c r="BI21" i="8"/>
  <c r="BI8" i="8" s="1"/>
  <c r="BF21" i="8"/>
  <c r="BF8" i="8" s="1"/>
  <c r="BD21" i="8"/>
  <c r="BD8" i="8" s="1"/>
  <c r="BJ21" i="8"/>
  <c r="BJ8" i="8" s="1"/>
  <c r="Q5" i="8"/>
  <c r="Q18" i="8" s="1"/>
  <c r="Q19" i="8"/>
  <c r="AA19" i="8"/>
  <c r="AA5" i="8"/>
  <c r="AA18" i="8" s="1"/>
  <c r="D5" i="8"/>
  <c r="D18" i="8" s="1"/>
  <c r="D19" i="8"/>
  <c r="E5" i="8"/>
  <c r="E18" i="8" s="1"/>
  <c r="E19" i="8"/>
  <c r="AB5" i="8"/>
  <c r="AB18" i="8" s="1"/>
  <c r="AB19" i="8"/>
  <c r="AK23" i="8"/>
  <c r="AK10" i="8" s="1"/>
  <c r="AS23" i="8"/>
  <c r="AS10" i="8" s="1"/>
  <c r="BA23" i="8"/>
  <c r="BA10" i="8" s="1"/>
  <c r="BI23" i="8"/>
  <c r="BI10" i="8" s="1"/>
  <c r="AL23" i="8"/>
  <c r="AL10" i="8" s="1"/>
  <c r="AT23" i="8"/>
  <c r="AT10" i="8" s="1"/>
  <c r="BB23" i="8"/>
  <c r="BB10" i="8" s="1"/>
  <c r="BJ23" i="8"/>
  <c r="BJ10" i="8" s="1"/>
  <c r="AE23" i="8"/>
  <c r="AE10" i="8" s="1"/>
  <c r="AM23" i="8"/>
  <c r="AM10" i="8" s="1"/>
  <c r="AU23" i="8"/>
  <c r="AU10" i="8" s="1"/>
  <c r="BC23" i="8"/>
  <c r="BC10" i="8" s="1"/>
  <c r="AD23" i="8"/>
  <c r="AD10" i="8" s="1"/>
  <c r="AF23" i="8"/>
  <c r="AF10" i="8" s="1"/>
  <c r="AN23" i="8"/>
  <c r="AN10" i="8" s="1"/>
  <c r="AV23" i="8"/>
  <c r="AV10" i="8" s="1"/>
  <c r="BD23" i="8"/>
  <c r="BD10" i="8" s="1"/>
  <c r="AG23" i="8"/>
  <c r="AG10" i="8" s="1"/>
  <c r="AO23" i="8"/>
  <c r="AO10" i="8" s="1"/>
  <c r="AW23" i="8"/>
  <c r="AW10" i="8" s="1"/>
  <c r="BE23" i="8"/>
  <c r="BE10" i="8" s="1"/>
  <c r="AH23" i="8"/>
  <c r="AH10" i="8" s="1"/>
  <c r="AP23" i="8"/>
  <c r="AP10" i="8" s="1"/>
  <c r="AX23" i="8"/>
  <c r="AX10" i="8" s="1"/>
  <c r="BF23" i="8"/>
  <c r="BF10" i="8" s="1"/>
  <c r="AI23" i="8"/>
  <c r="AI10" i="8" s="1"/>
  <c r="AQ23" i="8"/>
  <c r="AQ10" i="8" s="1"/>
  <c r="AY23" i="8"/>
  <c r="AY10" i="8" s="1"/>
  <c r="BG23" i="8"/>
  <c r="BG10" i="8" s="1"/>
  <c r="AR23" i="8"/>
  <c r="AR10" i="8" s="1"/>
  <c r="AZ23" i="8"/>
  <c r="AZ10" i="8" s="1"/>
  <c r="BH23" i="8"/>
  <c r="BH10" i="8" s="1"/>
  <c r="AJ23" i="8"/>
  <c r="AJ10" i="8" s="1"/>
  <c r="V5" i="8"/>
  <c r="V18" i="8" s="1"/>
  <c r="V19" i="8"/>
  <c r="BH21" i="8"/>
  <c r="BH8" i="8" s="1"/>
  <c r="AX21" i="8"/>
  <c r="AX8" i="8" s="1"/>
  <c r="AV21" i="8"/>
  <c r="AV8" i="8" s="1"/>
  <c r="AE27" i="8" l="1"/>
  <c r="AE14" i="8" s="1"/>
  <c r="AK27" i="8"/>
  <c r="AK14" i="8" s="1"/>
  <c r="BF27" i="8"/>
  <c r="BF14" i="8" s="1"/>
  <c r="BD27" i="8"/>
  <c r="BD14" i="8" s="1"/>
  <c r="AD19" i="8"/>
  <c r="AD6" i="8" s="1"/>
  <c r="AK19" i="8"/>
  <c r="AK6" i="8" s="1"/>
  <c r="AS19" i="8"/>
  <c r="AS6" i="8" s="1"/>
  <c r="BA19" i="8"/>
  <c r="BA6" i="8" s="1"/>
  <c r="BI19" i="8"/>
  <c r="BI6" i="8" s="1"/>
  <c r="AL19" i="8"/>
  <c r="AL6" i="8" s="1"/>
  <c r="AT19" i="8"/>
  <c r="AT6" i="8" s="1"/>
  <c r="BB19" i="8"/>
  <c r="BB6" i="8" s="1"/>
  <c r="BJ19" i="8"/>
  <c r="BJ6" i="8" s="1"/>
  <c r="AE19" i="8"/>
  <c r="AE6" i="8" s="1"/>
  <c r="AM19" i="8"/>
  <c r="AM6" i="8" s="1"/>
  <c r="AU19" i="8"/>
  <c r="AU6" i="8" s="1"/>
  <c r="BC19" i="8"/>
  <c r="BC6" i="8" s="1"/>
  <c r="AF19" i="8"/>
  <c r="AF6" i="8" s="1"/>
  <c r="AN19" i="8"/>
  <c r="AN6" i="8" s="1"/>
  <c r="AV19" i="8"/>
  <c r="AV6" i="8" s="1"/>
  <c r="BD19" i="8"/>
  <c r="BD6" i="8" s="1"/>
  <c r="AG19" i="8"/>
  <c r="AG6" i="8" s="1"/>
  <c r="AO19" i="8"/>
  <c r="AO6" i="8" s="1"/>
  <c r="AW19" i="8"/>
  <c r="AW6" i="8" s="1"/>
  <c r="BE19" i="8"/>
  <c r="BE6" i="8" s="1"/>
  <c r="AH19" i="8"/>
  <c r="AH6" i="8" s="1"/>
  <c r="AP19" i="8"/>
  <c r="AP6" i="8" s="1"/>
  <c r="AX19" i="8"/>
  <c r="AX6" i="8" s="1"/>
  <c r="BF19" i="8"/>
  <c r="BF6" i="8" s="1"/>
  <c r="AI19" i="8"/>
  <c r="AI6" i="8" s="1"/>
  <c r="AQ19" i="8"/>
  <c r="AQ6" i="8" s="1"/>
  <c r="AY19" i="8"/>
  <c r="AY6" i="8" s="1"/>
  <c r="BG19" i="8"/>
  <c r="BG6" i="8" s="1"/>
  <c r="AJ19" i="8"/>
  <c r="AJ6" i="8" s="1"/>
  <c r="AR19" i="8"/>
  <c r="AR6" i="8" s="1"/>
  <c r="AZ19" i="8"/>
  <c r="AZ6" i="8" s="1"/>
  <c r="BH19" i="8"/>
  <c r="BH6" i="8" s="1"/>
  <c r="AU27" i="8"/>
  <c r="AU14" i="8" s="1"/>
  <c r="AJ27" i="8"/>
  <c r="AJ14" i="8" s="1"/>
  <c r="AP27" i="8"/>
  <c r="AP14" i="8" s="1"/>
  <c r="AN27" i="8"/>
  <c r="AN14" i="8" s="1"/>
  <c r="AS27" i="8"/>
  <c r="AS14" i="8" s="1"/>
  <c r="BG27" i="8"/>
  <c r="BG14" i="8" s="1"/>
  <c r="AH27" i="8"/>
  <c r="AH14" i="8" s="1"/>
  <c r="AF27" i="8"/>
  <c r="AF14" i="8" s="1"/>
  <c r="AR27" i="8"/>
  <c r="AR14" i="8" s="1"/>
  <c r="AY27" i="8"/>
  <c r="AY14" i="8" s="1"/>
  <c r="BE27" i="8"/>
  <c r="BE14" i="8" s="1"/>
  <c r="BJ27" i="8"/>
  <c r="BJ14" i="8" s="1"/>
  <c r="BI27" i="8"/>
  <c r="BI14" i="8" s="1"/>
  <c r="AQ27" i="8"/>
  <c r="AQ14" i="8" s="1"/>
  <c r="AW27" i="8"/>
  <c r="AW14" i="8" s="1"/>
  <c r="AM27" i="8"/>
  <c r="AM14" i="8" s="1"/>
  <c r="AI27" i="8"/>
  <c r="AI14" i="8" s="1"/>
  <c r="AO27" i="8"/>
  <c r="AO14" i="8" s="1"/>
  <c r="AT27" i="8"/>
  <c r="AT14" i="8" s="1"/>
  <c r="BA27" i="8"/>
  <c r="BA14" i="8" s="1"/>
  <c r="BH27" i="8"/>
  <c r="BH14" i="8" s="1"/>
  <c r="AD27" i="8"/>
  <c r="AD14" i="8" s="1"/>
  <c r="AG27" i="8"/>
  <c r="AG14" i="8" s="1"/>
  <c r="AK18" i="8"/>
  <c r="AK5" i="8" s="1"/>
  <c r="AS18" i="8"/>
  <c r="AS5" i="8" s="1"/>
  <c r="BA18" i="8"/>
  <c r="BA5" i="8" s="1"/>
  <c r="BI18" i="8"/>
  <c r="BI5" i="8" s="1"/>
  <c r="AL18" i="8"/>
  <c r="AL5" i="8" s="1"/>
  <c r="AT18" i="8"/>
  <c r="AT5" i="8" s="1"/>
  <c r="BB18" i="8"/>
  <c r="BB5" i="8" s="1"/>
  <c r="BJ18" i="8"/>
  <c r="BJ5" i="8" s="1"/>
  <c r="AE18" i="8"/>
  <c r="AE5" i="8" s="1"/>
  <c r="AM18" i="8"/>
  <c r="AM5" i="8" s="1"/>
  <c r="AU18" i="8"/>
  <c r="AU5" i="8" s="1"/>
  <c r="BC18" i="8"/>
  <c r="BC5" i="8" s="1"/>
  <c r="AF18" i="8"/>
  <c r="AF5" i="8" s="1"/>
  <c r="AN18" i="8"/>
  <c r="AN5" i="8" s="1"/>
  <c r="AV18" i="8"/>
  <c r="AV5" i="8" s="1"/>
  <c r="BD18" i="8"/>
  <c r="BD5" i="8" s="1"/>
  <c r="AG18" i="8"/>
  <c r="AG5" i="8" s="1"/>
  <c r="AO18" i="8"/>
  <c r="AO5" i="8" s="1"/>
  <c r="AW18" i="8"/>
  <c r="AW5" i="8" s="1"/>
  <c r="BE18" i="8"/>
  <c r="BE5" i="8" s="1"/>
  <c r="AH18" i="8"/>
  <c r="AH5" i="8" s="1"/>
  <c r="AP18" i="8"/>
  <c r="AP5" i="8" s="1"/>
  <c r="AX18" i="8"/>
  <c r="AX5" i="8" s="1"/>
  <c r="BF18" i="8"/>
  <c r="BF5" i="8" s="1"/>
  <c r="AI18" i="8"/>
  <c r="AI5" i="8" s="1"/>
  <c r="AQ18" i="8"/>
  <c r="AQ5" i="8" s="1"/>
  <c r="AY18" i="8"/>
  <c r="AY5" i="8" s="1"/>
  <c r="BG18" i="8"/>
  <c r="BG5" i="8" s="1"/>
  <c r="AD18" i="8"/>
  <c r="AD5" i="8" s="1"/>
  <c r="AJ18" i="8"/>
  <c r="AJ5" i="8" s="1"/>
  <c r="AR18" i="8"/>
  <c r="AR5" i="8" s="1"/>
  <c r="AZ18" i="8"/>
  <c r="AZ5" i="8" s="1"/>
  <c r="BH18" i="8"/>
  <c r="BH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<sst xmlns="http://schemas.openxmlformats.org/spreadsheetml/2006/main" count="301" uniqueCount="202">
  <si>
    <t>Crops</t>
  </si>
  <si>
    <t>Source: 2019 Alberta Agriculutre Statistics Yearbook (45th Ed.)</t>
  </si>
  <si>
    <t>Grain and Oilseed</t>
  </si>
  <si>
    <t>Fruit and Veg.</t>
  </si>
  <si>
    <t>Greenhouse and Nursery</t>
  </si>
  <si>
    <t>Livestock</t>
  </si>
  <si>
    <t>Cattle</t>
  </si>
  <si>
    <t>Hog</t>
  </si>
  <si>
    <t>Poultry and Eggs</t>
  </si>
  <si>
    <t>Dairy</t>
  </si>
  <si>
    <t>Other</t>
  </si>
  <si>
    <t>Other Products</t>
  </si>
  <si>
    <t>Table 1: Annual Production Data (As Presented)</t>
  </si>
  <si>
    <t>Estimated areas, yield, production, average farm price and total farm value of principal field crops, in metric and imperial units c 1 2 3 4 5 6</t>
  </si>
  <si>
    <t>Annual</t>
  </si>
  <si>
    <t>Table: 32-10-0359-01 (formerly CANSIM 001-0017)</t>
  </si>
  <si>
    <t>Release date: 2021-06-29</t>
  </si>
  <si>
    <t>Geography: Canada, Geographical region of Canada, Province or territory</t>
  </si>
  <si>
    <t>Alberta</t>
  </si>
  <si>
    <t>Production (metric tonnes)</t>
  </si>
  <si>
    <t>Type of crop</t>
  </si>
  <si>
    <t>Barley 7 8</t>
  </si>
  <si>
    <t>..</t>
  </si>
  <si>
    <t>Canola (rapeseed) 7 10</t>
  </si>
  <si>
    <t>Corn for grain 7 11</t>
  </si>
  <si>
    <t>Flaxseed 7 12</t>
  </si>
  <si>
    <t>Lentils 7</t>
  </si>
  <si>
    <t>167,600r</t>
  </si>
  <si>
    <t>Mustard seed 7 13</t>
  </si>
  <si>
    <t>Oats 7 8</t>
  </si>
  <si>
    <t>Rye, all 7 14 15</t>
  </si>
  <si>
    <t>Wheat, all 7 18 19</t>
  </si>
  <si>
    <t>Symbol legend:</t>
  </si>
  <si>
    <t>not available for a specific reference period</t>
  </si>
  <si>
    <t>r</t>
  </si>
  <si>
    <t>revised</t>
  </si>
  <si>
    <t>X</t>
  </si>
  <si>
    <t>suppressed to meet the confidentiality requirements of the Statistics Act</t>
  </si>
  <si>
    <t>F</t>
  </si>
  <si>
    <t>too unreliable to be published</t>
  </si>
  <si>
    <t>Corrections:</t>
  </si>
  <si>
    <t>Date:</t>
  </si>
  <si>
    <t>Note:</t>
  </si>
  <si>
    <t>2019-10-11T04:00:00Z</t>
  </si>
  <si>
    <t>On October 11, 2019, a correction was made to the 2018 Saskatchewan and Canada total summerfallow areas in hectares only. The area in acres was correct.</t>
  </si>
  <si>
    <t>2019-12-12T05:00:00Z</t>
  </si>
  <si>
    <t>On December 12, 2019, a correction has been made to the number for the production of dry coloured beans in hundredweight for Ontario and Canada in 2019. Both numbers have been divided by one thousand and yields have been adjusted to reflect the updated estimates.</t>
  </si>
  <si>
    <t>2021-03-04T05:00:00Z</t>
  </si>
  <si>
    <t>On March 4, 2021, the data for 2020 canary seed production in Manitoba were revised in both imperial and metric units.</t>
  </si>
  <si>
    <t>2016-12-13T05:00:00Z</t>
  </si>
  <si>
    <t>On December 13, 2016, estimates for category "Wheat, all excluding durum wheat" in 2016 were corrected for the following geographies: Maritime provinces, East and Canada.</t>
  </si>
  <si>
    <t>Footnotes:</t>
  </si>
  <si>
    <t>Field crop surveys collect data from Quebec, Ontario, Manitoba, Saskatchewan and Alberta at all five occasions during the crop year (which extends from December to the following November). However, data are collected twice a year (in the Field Crops Survey - June on seeded areas and in the Field Crops Survey - November on final crop production) for Newfoundland and Labrador, Prince Edward Island, Nova Scotia, New Brunswick and British Columbia, which represent between 2% and 4% of national totals. As of July 2014 for the Atlantic Provinces and British Columbia, July and September production estimates are calculated using the final estimates of the last three crop years. The harvested area is first estimated based on the ratio obtained from the sum of harvested areas of the last three years over the sum of the seeded areas of the last three years. This average ratio is applied to their 2014 reported seeded acreage from the June survey. This estimated harvested area is then multiplied by the average yield of the last three years to estimate production.</t>
  </si>
  <si>
    <t>Totals may not equal the sum of their parts due to the use of conversion factors or rounding of fractions to whole numbers.</t>
  </si>
  <si>
    <t>Starting in June 2018, the Canadian total for a given crop includes all provincial estimates, whether they are published or not based on quality and confidentiality factors. Note that overall, the estimates of the most important crops non-published in the past generally represent less than 5% of the Canadian total.</t>
  </si>
  <si>
    <t xml:space="preserve">Starting in July 2020, model-based data was used to estimate the July occasion yield and production for the provinces of Ontario, Quebec, Manitoba, Alberta, and Saskatchewan.  The July model incorporates coarse resolution satellite data from Statistics Canada's Crop Condition Assessment Program, data from Statistics Canada's field crop reporting series, and agroclimatic data.  </t>
  </si>
  <si>
    <t>Starting in September 2016, model-based data was used to estimate the September survey occasion yield and production for the provinces of Ontario, Quebec, Manitoba, Alberta, and Saskatchewan. The September model incorporates coarse resolution satellite data from Statistics Canada's Crop Condition Assessment Program, data from Statistics Canada's field crop reporting series, and agroclimatic data up until the end of August.  In September 2020, an enhanced crop yield model that incorporates crop insurance was used.</t>
  </si>
  <si>
    <t>Metric data were previously released in CANSIM table 001-0010, which is no longer available as of December 2017. Metric and imperial data are now both included in table 32-10-0359-01 (previously known as 001-0017).</t>
  </si>
  <si>
    <t>Data for British Columbia begin in 1910.</t>
  </si>
  <si>
    <t>Data were discontinued in 1941 for Prince Edward Island and Nova Scotia. Ontario data were discontinued in 1980 and re-activated in 1986. Data for Manitoba begin in 1925.</t>
  </si>
  <si>
    <t>Estimates are not available for small area, which were grown in Alberta and Ontario between 1943 and 1945. Data begin in 1943 for Manitoba and Saskatchewan, in 1955 for Alberta, in 1967 for British Columbia, in 1983 for Ontario, in 1996 for Quebec, and in 2012 for New Brunswick, Prince Edward Island, Nova Scotia and Newfoundland and Labrador.</t>
  </si>
  <si>
    <t>Data begin in 1941 for Manitoba, in 1979 for Alberta and in 1981 for Nova Scotia.  Data begin in 2006 for New Brunswick, in 2012 for Prince Edward Island, and in 2018 for Saskatchewan and British Columbia.</t>
  </si>
  <si>
    <t>Data for Quebec begin in 1910 and were discontinued in 1972. Data for Ontario also begin in 1910, but were discontinued in 1973, and data for British Columbia begin in 1924 and were discontinued in 1972.</t>
  </si>
  <si>
    <t>Data begin in 1951 for Alberta, 1952 for Manitoba and in 1960 for Saskatchewan.</t>
  </si>
  <si>
    <t>Data for Nova Scotia were discontinued in 1931, re-activated in 1981 and discontinued again in 1986. Data for New Brunswick were also discontinued in 1931. Data for Quebec were discontinued in 1981 and re-activated in 1991. Data for British Columbia begin in 1910.</t>
  </si>
  <si>
    <t>All rye includes spring rye and fall rye seeded in the previous fall.</t>
  </si>
  <si>
    <t>Most of the soybean crop is grown in Ontario but it was also grown in small areas in other provinces in the years 1942 to 1945. The total for Canada included this production but provincial data were not shown. Data for Manitoba begin in 1956, were discontinued in 1960 and re-activated in 2001. Data begin in 1986 for Quebec and in 1991 for Prince Edward Island.  Data for Nova Scotia and New Brunswick start in 2010, in 2013 for Saskatchewan, and in 2018 for Newfoundland and Labrador, Alberta and British Columbia.</t>
  </si>
  <si>
    <t>Data for Manitoba, Alberta and Saskatchewan begin in 1943.  Data were discontinued in 2005 for Alberta and in 2008 for Saskatchewan. Both re-start in 2018.</t>
  </si>
  <si>
    <t>Seeded area, yield and production of all wheat in Alberta include relatively small estimates of winter wheat for years 1921 to 1977.</t>
  </si>
  <si>
    <t>All wheat includes spring wheat, durum wheat and winter wheat seeded in the fall.</t>
  </si>
  <si>
    <t>Winter wheat remaining and fall rye remaining indicate the areas seeded in the fall of the previous year that are remaining after winterkill.</t>
  </si>
  <si>
    <t xml:space="preserve">Data begin in 1908 for Ontario, in 1976 for Canada, Prairies and Alberta, in 1981 for Manitoba and Saskatchewan, in 1986 for Prince Edward Island, Nova Scotia, New Brunswick, and Quebec. Data begin in Newfoundland and Labrador and British Columbia in 2018. Average farm price and total farm value begin in 1978. </t>
  </si>
  <si>
    <t>How to cite: Statistics Canada. Table 32-10-0359-01 Estimated areas, yield, production, average farm price and total farm value of principal field crops, in metric and imperial units</t>
  </si>
  <si>
    <t>https://www150.statcan.gc.ca/t1/tbl1/en/tv.action?pid=3210035901</t>
  </si>
  <si>
    <t>DOI: https://doi.org/10.25318/3210035901-eng</t>
  </si>
  <si>
    <t>Table 2: Annual Production Data ('000 Tonnes)</t>
  </si>
  <si>
    <t>Grain and Oilseed (tonnes)</t>
  </si>
  <si>
    <t>Area, production and farm gate value of marketed vegetables 1</t>
  </si>
  <si>
    <t>Table: 32-10-0365-01 (formerly CANSIM 001-0013)</t>
  </si>
  <si>
    <t>Release date: 2021-02-10</t>
  </si>
  <si>
    <t>interpolated value</t>
  </si>
  <si>
    <t>extrapolated value (linear)</t>
  </si>
  <si>
    <t>Estimates</t>
  </si>
  <si>
    <t>Commodity 2 3</t>
  </si>
  <si>
    <t>Metric tonnes</t>
  </si>
  <si>
    <t>Fresh green and wax beans  [114221621]</t>
  </si>
  <si>
    <t>Fresh cabbage  [11422132] 4</t>
  </si>
  <si>
    <t>Fresh carrots  [11422111] 5</t>
  </si>
  <si>
    <t>Fresh cauliflowers  [114221831]</t>
  </si>
  <si>
    <t>Fresh sweet corn  [114221811]</t>
  </si>
  <si>
    <t>Fresh cucumbers and fresh gherkins (all varieties) 6</t>
  </si>
  <si>
    <t>Fresh dry onions  [114221211]</t>
  </si>
  <si>
    <t>Fresh parsnips  [114221151]</t>
  </si>
  <si>
    <t>Fresh green peas  [114221611]</t>
  </si>
  <si>
    <t>Fresh pumpkins  [114221551]</t>
  </si>
  <si>
    <t>Fresh French shallots and green onions  [11422123]</t>
  </si>
  <si>
    <t>Fresh squash and zucchini  [114221561]</t>
  </si>
  <si>
    <t>Fresh radishes   [11422113] 8</t>
  </si>
  <si>
    <t>Fresh rutabagas and turnips  [11422112]</t>
  </si>
  <si>
    <t>E</t>
  </si>
  <si>
    <t>use with caution</t>
  </si>
  <si>
    <t>Data expressed in imperial and metric units of measure may not always be equivalent due to rounding.</t>
  </si>
  <si>
    <t xml:space="preserve">Prior to 2018, fresh eggplants, other fresh fine herbs, fresh kale and fresh sweet potatoes were included in the other fresh vegetables category.   As of 2018 they are published in their own categories in this table. </t>
  </si>
  <si>
    <t xml:space="preserve">Commodity names have been adjusted to align with the Variant of North American Product Classification System (NAPCS) Canada 2017 Version 2.0 - Agricultural goods. These commodities include fresh and processed vegetables. 
</t>
  </si>
  <si>
    <t>“Fresh cabbage” includes the following products according to the North American Product Classification System: fresh regular cabbage (114221321), fresh Chinese cabbage (114221322) and fresh kale (114221323). For the purpose of this table, other fresh non regular cabbage (114221324) is included in the other fresh vegetables commodity, and not with fresh cabbage.</t>
  </si>
  <si>
    <t>“Fresh carrots” includes the following products according to the North American Product Classification System: fresh baby carrots (114221112) and fresh regular size carrots (114221111).</t>
  </si>
  <si>
    <t xml:space="preserve">“Fresh cucumbers and fresh gherkins (all varieties)” includes the following products according to the North American Product Classification System: fresh cucumbers (11422152) and fresh gherkins (11422153). </t>
  </si>
  <si>
    <t xml:space="preserve">“Fresh lettuce” includes the following products according to the North American Product Classification System: fresh head lettuce (114221311), fresh leaf lettuce (except mixed lettuce) (114221312) and fresh mixed lettuce (114221313). </t>
  </si>
  <si>
    <t>Prior to 2018, all radishes were published together in the “Fresh radishes” category. As of 2018, the “Fresh radishes” category has been split into “Fresh radishes (except Asian radishes)” and “Fresh Asian radishes.”</t>
  </si>
  <si>
    <t xml:space="preserve">"Other fresh vegetables” includes the following products according to the North American Product Classification System: other fresh root type vegetables (114221171), other fresh bulb type vegetables (114221251), other fresh leaf and stem type vegetables (114221391), other fresh non regular cabbage (114221324), other fresh fruit type vegetables (except melons) (114221581), and other green leguminous vegetables (114221631). </t>
  </si>
  <si>
    <t xml:space="preserve">“Total fresh vegetables” is equivalent to the sum of all North American Product Classification System variant codes found in this table. </t>
  </si>
  <si>
    <t>How to cite: Statistics Canada. Table 32-10-0365-01 Area, production and farm gate value of marketed vegetables</t>
  </si>
  <si>
    <t>https://www150.statcan.gc.ca/t1/tbl1/en/tv.action?pid=3210036501</t>
  </si>
  <si>
    <t>DOI: https://doi.org/10.25318/3210036501-eng</t>
  </si>
  <si>
    <t>Fruit and Veg. (tonnes)</t>
  </si>
  <si>
    <t>Total</t>
  </si>
  <si>
    <t>Greenhouse &amp; Nursery</t>
  </si>
  <si>
    <t>Fruit &amp; Veg.</t>
  </si>
  <si>
    <t>Greenhouse &amp; Nursery: Green Beans, Cabbage, Cauliflower, Onions, Green Peas</t>
  </si>
  <si>
    <r>
      <rPr>
        <b/>
        <sz val="9"/>
        <rFont val="Arial"/>
        <family val="2"/>
      </rPr>
      <t>2018r</t>
    </r>
  </si>
  <si>
    <r>
      <rPr>
        <b/>
        <sz val="9"/>
        <rFont val="Arial"/>
        <family val="2"/>
      </rPr>
      <t>2019p</t>
    </r>
  </si>
  <si>
    <r>
      <rPr>
        <b/>
        <sz val="9"/>
        <rFont val="Arial"/>
        <family val="2"/>
      </rPr>
      <t>2017r</t>
    </r>
  </si>
  <si>
    <t>Western Canada</t>
  </si>
  <si>
    <t>Ontario</t>
  </si>
  <si>
    <t>Canada</t>
  </si>
  <si>
    <t>Cattle (Head)</t>
  </si>
  <si>
    <t>Hogs (Head)</t>
  </si>
  <si>
    <t>SK &amp; MB</t>
  </si>
  <si>
    <t>BC</t>
  </si>
  <si>
    <t>West. Can</t>
  </si>
  <si>
    <t>Ont</t>
  </si>
  <si>
    <t>Quebec &amp; Atl</t>
  </si>
  <si>
    <t>Quebec &amp; Atlantic</t>
  </si>
  <si>
    <t>Data from 2006, 2012, 2019 Alberta Agriculture Statistics Yearbooks</t>
  </si>
  <si>
    <t>Alberta / Western Canada Share</t>
  </si>
  <si>
    <t>-</t>
  </si>
  <si>
    <t>Average Cattle Mass</t>
  </si>
  <si>
    <t>Average Hog Mass</t>
  </si>
  <si>
    <t>tonne</t>
  </si>
  <si>
    <t>https://www.albertapork.com/social-circle/facts-and-stats/</t>
  </si>
  <si>
    <t>need source!</t>
  </si>
  <si>
    <t>Greenhouse and Nursery (Tonnes)</t>
  </si>
  <si>
    <t>Cattle (head)</t>
  </si>
  <si>
    <t>Hog (head)</t>
  </si>
  <si>
    <t>extrapolated data</t>
  </si>
  <si>
    <t>DOI: https://doi.org/10.25318/3210011701-eng</t>
  </si>
  <si>
    <t>https://www150.statcan.gc.ca/t1/tbl1/en/tv.action?pid=3210011701</t>
  </si>
  <si>
    <t>How to cite: Statistics Canada. Table 32-10-0117-01 Production, disposition and farm value of poultry meat (x 1,000)</t>
  </si>
  <si>
    <t>Beginning in 2002, Total poultry and Chicken (including stewing hen) includes home consumption of chicken.</t>
  </si>
  <si>
    <t>As of 2006, newly available data sources and updates to factors have been integrated.</t>
  </si>
  <si>
    <t>Weight is expressed in thousand kilograms, value is expressed in thousand dollars and birds are expressed in thousands of numbers.</t>
  </si>
  <si>
    <t>Weight (kilograms)</t>
  </si>
  <si>
    <t>Turkey</t>
  </si>
  <si>
    <t>Chicken (including stewing hen)</t>
  </si>
  <si>
    <t>Total poultry</t>
  </si>
  <si>
    <t>Commodity</t>
  </si>
  <si>
    <t>Production, total 3</t>
  </si>
  <si>
    <t>Release date: 2021-05-27</t>
  </si>
  <si>
    <t>Table: 32-10-0117-01 (formerly CANSIM 003-0018)</t>
  </si>
  <si>
    <t>Production, disposition and farm value of poultry meat (x 1,000) 1 2</t>
  </si>
  <si>
    <t>Poultry and Eggs (kg)</t>
  </si>
  <si>
    <t>AB Milk Production ('000 Litres)</t>
  </si>
  <si>
    <t>Source: Alberta Agriculture Statistics Yearbook (2006, 2013, 2019)</t>
  </si>
  <si>
    <t>Dairy ('000 Litres)</t>
  </si>
  <si>
    <t>*In original model, "other" includes hay baling, grain drying, and cultivation, and production is within 0.5% of Grain and Oilseed level</t>
  </si>
  <si>
    <t>AB Population (2020 CER)</t>
  </si>
  <si>
    <t>Crop Production ('000 tonnes)</t>
  </si>
  <si>
    <t>Grain &amp; Oilseed</t>
  </si>
  <si>
    <t>Livestock Production ('000 tonnes)</t>
  </si>
  <si>
    <t>Poultry &amp; Eggs</t>
  </si>
  <si>
    <t>Other Production ('000 tonnes)</t>
  </si>
  <si>
    <t>Production Data</t>
  </si>
  <si>
    <t>Production Per Capita Data</t>
  </si>
  <si>
    <t>Crop Production (tonnes per capita)</t>
  </si>
  <si>
    <t>Livestock Production (tonnes per capita)</t>
  </si>
  <si>
    <t>Other Production (tonnes per capita)</t>
  </si>
  <si>
    <t>Energy Demand Final Units</t>
  </si>
  <si>
    <t>Scenario: Reference, Region: Alberta</t>
  </si>
  <si>
    <t>Branch: Demand\Agriculture</t>
  </si>
  <si>
    <t>Fuel</t>
  </si>
  <si>
    <t>Electricity</t>
  </si>
  <si>
    <t>Natural Gas</t>
  </si>
  <si>
    <t>Gasoline</t>
  </si>
  <si>
    <t>Diesel</t>
  </si>
  <si>
    <t>LPG</t>
  </si>
  <si>
    <t>Baseline LEAP Demand</t>
  </si>
  <si>
    <t>Total Energy Use (PJ)</t>
  </si>
  <si>
    <t>Energy Use by End-Use (PJ)</t>
  </si>
  <si>
    <t>Non-Motive Energy Use</t>
  </si>
  <si>
    <r>
      <t>Motive Energy Use</t>
    </r>
    <r>
      <rPr>
        <vertAlign val="superscript"/>
        <sz val="10"/>
        <color indexed="8"/>
        <rFont val="Arial"/>
        <family val="2"/>
      </rPr>
      <t>2</t>
    </r>
  </si>
  <si>
    <t>Energy Use by Energy Source (PJ)</t>
  </si>
  <si>
    <t>Motor Gasoline</t>
  </si>
  <si>
    <t>Diesel Fuel Oil</t>
  </si>
  <si>
    <t>Light Fuel Oil</t>
  </si>
  <si>
    <t>Kerosene</t>
  </si>
  <si>
    <t>Heavy Fuel Oil</t>
  </si>
  <si>
    <t>Propane</t>
  </si>
  <si>
    <t>Steam</t>
  </si>
  <si>
    <t>Calibration Factors</t>
  </si>
  <si>
    <t>Units: Million Gigajoules</t>
  </si>
  <si>
    <t>NRCan Historical Demand</t>
  </si>
  <si>
    <t>Fuel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</si>
</sst>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_-;\-* #,##0.00_-;_-* &quot;-&quot;??_-;_-@_-"/>
    <numFmt numFmtId="165" formatCode="_-* #,##0.0_-;\-* #,##0.0_-;_-* &quot;-&quot;?_-;_-@_-"/>
    <numFmt numFmtId="166" formatCode="0.0"/>
    <numFmt numFmtId="167" formatCode="_ * #,##0.000_ ;_ * \-#,##0.000_ ;_ * &quot;&quot;\-&quot;&quot;??_ ;_ @_ "/>
  </numFmts>
  <fonts count="23"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sz val="11"/>
      <color theme="5"/>
      <name val="Calibri"/>
      <family val="2"/>
      <scheme val="minor"/>
    </font>
    <font>
      <b/>
      <i/>
      <sz val="11"/>
      <color theme="1"/>
      <name val="Calibri"/>
      <family val="2"/>
      <scheme val="minor"/>
    </font>
    <font>
      <b/>
      <sz val="9"/>
      <color rgb="FF000000"/>
      <name val="Arial"/>
      <family val="2"/>
    </font>
    <font>
      <sz val="9"/>
      <color rgb="FF000000"/>
      <name val="Arial"/>
      <family val="2"/>
    </font>
    <font>
      <b/>
      <sz val="9"/>
      <name val="Arial"/>
      <family val="2"/>
    </font>
    <font>
      <sz val="6.5"/>
      <color rgb="FF000000"/>
      <name val="Arial MT"/>
      <family val="2"/>
    </font>
    <font>
      <i/>
      <sz val="9"/>
      <color rgb="FFFF0000"/>
      <name val="Arial"/>
      <family val="2"/>
    </font>
    <font>
      <i/>
      <sz val="11"/>
      <color theme="5"/>
      <name val="Calibri"/>
      <family val="2"/>
      <scheme val="minor"/>
    </font>
    <font>
      <sz val="11"/>
      <name val="Calibri"/>
      <family val="2"/>
      <scheme val="minor"/>
    </font>
    <font>
      <sz val="9"/>
      <name val="Arial"/>
      <family val="2"/>
    </font>
    <font>
      <sz val="11"/>
      <color theme="1"/>
      <name val="Calibri"/>
      <family val="2"/>
      <scheme val="minor"/>
    </font>
    <font>
      <b/>
      <sz val="10"/>
      <name val="Arial"/>
      <family val="2"/>
    </font>
    <font>
      <b/>
      <i/>
      <sz val="10"/>
      <color indexed="8"/>
      <name val="Arial"/>
      <family val="2"/>
    </font>
    <font>
      <sz val="10"/>
      <color indexed="8"/>
      <name val="Arial"/>
      <family val="2"/>
    </font>
    <font>
      <vertAlign val="superscript"/>
      <sz val="10"/>
      <color indexed="8"/>
      <name val="Arial"/>
      <family val="2"/>
    </font>
    <font>
      <b/>
      <i/>
      <sz val="10"/>
      <name val="Arial"/>
      <family val="2"/>
    </font>
    <font>
      <u/>
      <sz val="11"/>
      <color theme="10"/>
      <name val="Calibri"/>
      <family val="2"/>
      <scheme val="minor"/>
    </font>
    <font>
      <b/>
      <sz val="11"/>
      <color theme="1"/>
      <name val="Times New Roman"/>
      <family val="1"/>
    </font>
    <font>
      <sz val="11"/>
      <color theme="1"/>
      <name val="Times New Roman"/>
      <family val="1"/>
    </font>
  </fonts>
  <fills count="4">
    <fill>
      <patternFill patternType="none"/>
    </fill>
    <fill>
      <patternFill patternType="gray125"/>
    </fill>
    <fill>
      <patternFill patternType="solid">
        <fgColor rgb="FFCCCCCE"/>
        <bgColor indexed="64"/>
      </patternFill>
    </fill>
    <fill>
      <patternFill patternType="solid">
        <fgColor rgb="FFFFFF00"/>
        <bgColor indexed="64"/>
      </patternFill>
    </fill>
  </fills>
  <borders count="1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164" fontId="14" fillId="0" borderId="0" applyFont="0" applyFill="0" applyBorder="0" applyAlignment="0" applyProtection="0"/>
    <xf numFmtId="43" fontId="14" fillId="0" borderId="0" applyFont="0" applyFill="0" applyBorder="0" applyAlignment="0" applyProtection="0"/>
    <xf numFmtId="0" fontId="20" fillId="0" borderId="0" applyNumberFormat="0" applyFill="0" applyBorder="0" applyAlignment="0" applyProtection="0"/>
  </cellStyleXfs>
  <cellXfs count="139">
    <xf numFmtId="0" fontId="0" fillId="0" borderId="0" xfId="0"/>
    <xf numFmtId="0" fontId="2" fillId="0" borderId="0" xfId="0" applyFont="1"/>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4" xfId="0" applyFont="1" applyBorder="1"/>
    <xf numFmtId="0" fontId="0" fillId="0" borderId="6" xfId="0" applyBorder="1"/>
    <xf numFmtId="0" fontId="0" fillId="0" borderId="7" xfId="0" applyBorder="1"/>
    <xf numFmtId="0" fontId="0" fillId="0" borderId="0" xfId="0" applyBorder="1"/>
    <xf numFmtId="0" fontId="3" fillId="0" borderId="0" xfId="0" applyFont="1"/>
    <xf numFmtId="0" fontId="4" fillId="0" borderId="0" xfId="0" applyFont="1"/>
    <xf numFmtId="0" fontId="4" fillId="0" borderId="6" xfId="0" applyFont="1" applyBorder="1"/>
    <xf numFmtId="0" fontId="3" fillId="0" borderId="6" xfId="0" applyFont="1" applyBorder="1"/>
    <xf numFmtId="3" fontId="0" fillId="0" borderId="0" xfId="0" applyNumberFormat="1"/>
    <xf numFmtId="3" fontId="3" fillId="0" borderId="0" xfId="0" applyNumberFormat="1" applyFont="1"/>
    <xf numFmtId="0" fontId="4" fillId="0" borderId="2" xfId="0" applyFont="1" applyBorder="1"/>
    <xf numFmtId="3" fontId="0" fillId="0" borderId="2" xfId="0" applyNumberFormat="1" applyBorder="1"/>
    <xf numFmtId="0" fontId="0" fillId="0" borderId="0" xfId="0" applyAlignment="1">
      <alignment wrapText="1"/>
    </xf>
    <xf numFmtId="0" fontId="5" fillId="0" borderId="0" xfId="0" applyFont="1"/>
    <xf numFmtId="0" fontId="0" fillId="0" borderId="0" xfId="0" applyAlignment="1">
      <alignment horizontal="left" wrapText="1"/>
    </xf>
    <xf numFmtId="0" fontId="8" fillId="0" borderId="0" xfId="0" applyFont="1" applyAlignment="1">
      <alignment horizontal="left" vertical="top" wrapText="1" indent="2"/>
    </xf>
    <xf numFmtId="0" fontId="8" fillId="0" borderId="0" xfId="0" applyFont="1" applyAlignment="1">
      <alignment horizontal="right" vertical="top" wrapText="1"/>
    </xf>
    <xf numFmtId="0" fontId="0" fillId="0" borderId="0" xfId="0" applyBorder="1" applyAlignment="1">
      <alignment horizontal="left" wrapText="1"/>
    </xf>
    <xf numFmtId="3" fontId="7" fillId="0" borderId="0" xfId="0" applyNumberFormat="1" applyFont="1" applyBorder="1" applyAlignment="1">
      <alignment horizontal="right" vertical="top" shrinkToFit="1"/>
    </xf>
    <xf numFmtId="0" fontId="8" fillId="0" borderId="0" xfId="0" applyFont="1" applyAlignment="1">
      <alignment vertical="top" wrapText="1"/>
    </xf>
    <xf numFmtId="3" fontId="9" fillId="0" borderId="0" xfId="0" applyNumberFormat="1" applyFont="1" applyAlignment="1">
      <alignment vertical="top" shrinkToFit="1"/>
    </xf>
    <xf numFmtId="3" fontId="7" fillId="0" borderId="1" xfId="0" applyNumberFormat="1" applyFont="1" applyBorder="1" applyAlignment="1">
      <alignment horizontal="right" vertical="top" shrinkToFit="1"/>
    </xf>
    <xf numFmtId="3" fontId="9" fillId="0" borderId="0" xfId="0" applyNumberFormat="1" applyFont="1" applyBorder="1" applyAlignment="1">
      <alignment vertical="top" shrinkToFit="1"/>
    </xf>
    <xf numFmtId="0" fontId="8" fillId="0" borderId="0" xfId="0" applyFont="1" applyBorder="1" applyAlignment="1">
      <alignment horizontal="left" vertical="top" wrapText="1" indent="1"/>
    </xf>
    <xf numFmtId="1" fontId="6" fillId="0" borderId="9" xfId="0" applyNumberFormat="1" applyFont="1" applyBorder="1" applyAlignment="1">
      <alignment horizontal="left" vertical="top" indent="1" shrinkToFit="1"/>
    </xf>
    <xf numFmtId="0" fontId="8" fillId="0" borderId="9" xfId="0" applyFont="1" applyBorder="1" applyAlignment="1">
      <alignment horizontal="left" vertical="top" wrapText="1" indent="1"/>
    </xf>
    <xf numFmtId="0" fontId="8" fillId="0" borderId="10" xfId="0" applyFont="1" applyBorder="1" applyAlignment="1">
      <alignment horizontal="left" vertical="top" wrapText="1" indent="1"/>
    </xf>
    <xf numFmtId="3" fontId="7" fillId="0" borderId="2" xfId="0" applyNumberFormat="1" applyFont="1" applyBorder="1" applyAlignment="1">
      <alignment horizontal="right" vertical="top" shrinkToFit="1"/>
    </xf>
    <xf numFmtId="3" fontId="7" fillId="0" borderId="3" xfId="0" applyNumberFormat="1" applyFont="1" applyBorder="1" applyAlignment="1">
      <alignment horizontal="right" vertical="top" shrinkToFit="1"/>
    </xf>
    <xf numFmtId="0" fontId="0" fillId="0" borderId="11" xfId="0" applyBorder="1"/>
    <xf numFmtId="0" fontId="0" fillId="0" borderId="11" xfId="0" applyBorder="1" applyAlignment="1">
      <alignment horizontal="left" wrapText="1"/>
    </xf>
    <xf numFmtId="3" fontId="10" fillId="0" borderId="0" xfId="0" applyNumberFormat="1" applyFont="1" applyBorder="1" applyAlignment="1">
      <alignment horizontal="right" vertical="top" shrinkToFit="1"/>
    </xf>
    <xf numFmtId="3" fontId="10" fillId="0" borderId="2" xfId="0" applyNumberFormat="1" applyFont="1" applyBorder="1" applyAlignment="1">
      <alignment horizontal="right" vertical="top" shrinkToFit="1"/>
    </xf>
    <xf numFmtId="0" fontId="11" fillId="0" borderId="1" xfId="0" applyFont="1" applyBorder="1"/>
    <xf numFmtId="0" fontId="11" fillId="0" borderId="0" xfId="0" applyFont="1" applyBorder="1"/>
    <xf numFmtId="3" fontId="7" fillId="0" borderId="6" xfId="0" applyNumberFormat="1" applyFont="1" applyBorder="1" applyAlignment="1">
      <alignment horizontal="right" vertical="top" shrinkToFit="1"/>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3" fontId="0" fillId="0" borderId="0" xfId="0" applyNumberFormat="1" applyBorder="1"/>
    <xf numFmtId="3" fontId="12" fillId="0" borderId="0" xfId="0" applyNumberFormat="1" applyFont="1" applyBorder="1"/>
    <xf numFmtId="2" fontId="0" fillId="0" borderId="8" xfId="0" applyNumberFormat="1" applyBorder="1"/>
    <xf numFmtId="2" fontId="0" fillId="0" borderId="6" xfId="0" applyNumberFormat="1" applyBorder="1"/>
    <xf numFmtId="2" fontId="0" fillId="0" borderId="7" xfId="0" applyNumberFormat="1" applyBorder="1"/>
    <xf numFmtId="2" fontId="0" fillId="0" borderId="9" xfId="0" applyNumberFormat="1" applyBorder="1"/>
    <xf numFmtId="2" fontId="0" fillId="0" borderId="0" xfId="0" applyNumberFormat="1" applyBorder="1"/>
    <xf numFmtId="2" fontId="0" fillId="0" borderId="1" xfId="0" applyNumberFormat="1" applyBorder="1"/>
    <xf numFmtId="2" fontId="11" fillId="0" borderId="0" xfId="0" applyNumberFormat="1" applyFont="1" applyBorder="1"/>
    <xf numFmtId="0" fontId="0" fillId="0" borderId="5" xfId="0" applyBorder="1" applyAlignment="1">
      <alignment horizontal="right"/>
    </xf>
    <xf numFmtId="0" fontId="11" fillId="0" borderId="4" xfId="0" applyFont="1" applyBorder="1"/>
    <xf numFmtId="0" fontId="0" fillId="0" borderId="4" xfId="0" applyFill="1" applyBorder="1"/>
    <xf numFmtId="0" fontId="0" fillId="0" borderId="6" xfId="0" applyFill="1" applyBorder="1"/>
    <xf numFmtId="2" fontId="0" fillId="0" borderId="2" xfId="0" applyNumberFormat="1" applyBorder="1"/>
    <xf numFmtId="0" fontId="0" fillId="0" borderId="4" xfId="0" applyFont="1" applyBorder="1" applyAlignment="1">
      <alignment horizontal="right" wrapText="1"/>
    </xf>
    <xf numFmtId="1" fontId="7" fillId="0" borderId="4" xfId="0" applyNumberFormat="1" applyFont="1" applyBorder="1" applyAlignment="1">
      <alignment horizontal="right" vertical="top" indent="1" shrinkToFit="1"/>
    </xf>
    <xf numFmtId="0" fontId="13" fillId="0" borderId="4" xfId="0" applyFont="1" applyBorder="1" applyAlignment="1">
      <alignment horizontal="right" vertical="top" wrapText="1" indent="1"/>
    </xf>
    <xf numFmtId="165" fontId="0" fillId="0" borderId="0" xfId="0" applyNumberFormat="1"/>
    <xf numFmtId="165" fontId="0" fillId="0" borderId="0" xfId="0" applyNumberFormat="1"/>
    <xf numFmtId="0" fontId="1" fillId="0" borderId="4" xfId="0" applyFont="1" applyBorder="1"/>
    <xf numFmtId="0" fontId="1" fillId="0" borderId="5" xfId="0" applyFont="1" applyBorder="1"/>
    <xf numFmtId="0" fontId="0" fillId="0" borderId="1" xfId="0" applyBorder="1" applyAlignment="1">
      <alignment horizontal="right"/>
    </xf>
    <xf numFmtId="0" fontId="5" fillId="0" borderId="7" xfId="0" applyFont="1" applyBorder="1" applyAlignment="1">
      <alignment horizontal="right"/>
    </xf>
    <xf numFmtId="0" fontId="0" fillId="0" borderId="1" xfId="0" applyFill="1" applyBorder="1" applyAlignment="1">
      <alignment horizontal="right"/>
    </xf>
    <xf numFmtId="0" fontId="5" fillId="0" borderId="5" xfId="0" applyFont="1" applyBorder="1" applyAlignment="1">
      <alignment horizontal="right"/>
    </xf>
    <xf numFmtId="2" fontId="0" fillId="0" borderId="0" xfId="0" applyNumberFormat="1"/>
    <xf numFmtId="165" fontId="0" fillId="0" borderId="7" xfId="0" applyNumberFormat="1" applyBorder="1"/>
    <xf numFmtId="2" fontId="0" fillId="0" borderId="4" xfId="0" applyNumberFormat="1" applyBorder="1"/>
    <xf numFmtId="0" fontId="0" fillId="0" borderId="0" xfId="0" applyFill="1" applyBorder="1" applyAlignment="1">
      <alignment horizontal="right"/>
    </xf>
    <xf numFmtId="0" fontId="5" fillId="0" borderId="6" xfId="0" applyFont="1" applyBorder="1" applyAlignment="1">
      <alignment horizontal="right"/>
    </xf>
    <xf numFmtId="0" fontId="0" fillId="0" borderId="0" xfId="0" applyBorder="1" applyAlignment="1">
      <alignment horizontal="right"/>
    </xf>
    <xf numFmtId="0" fontId="5" fillId="0" borderId="4" xfId="0" applyFont="1" applyBorder="1" applyAlignment="1">
      <alignment horizontal="right"/>
    </xf>
    <xf numFmtId="2" fontId="0" fillId="0" borderId="11" xfId="0" applyNumberFormat="1" applyBorder="1"/>
    <xf numFmtId="0" fontId="1" fillId="0" borderId="6" xfId="0" applyFont="1" applyBorder="1"/>
    <xf numFmtId="0" fontId="1" fillId="0" borderId="7" xfId="0" applyFont="1" applyBorder="1"/>
    <xf numFmtId="2" fontId="11" fillId="0" borderId="8" xfId="0" applyNumberFormat="1" applyFont="1" applyBorder="1"/>
    <xf numFmtId="2" fontId="11" fillId="0" borderId="9" xfId="0" applyNumberFormat="1" applyFont="1" applyBorder="1"/>
    <xf numFmtId="2" fontId="11" fillId="0" borderId="11" xfId="0" applyNumberFormat="1" applyFont="1" applyBorder="1"/>
    <xf numFmtId="2" fontId="11" fillId="0" borderId="6" xfId="0" applyNumberFormat="1" applyFont="1" applyBorder="1"/>
    <xf numFmtId="2" fontId="11" fillId="0" borderId="7" xfId="0" applyNumberFormat="1" applyFont="1" applyBorder="1"/>
    <xf numFmtId="2" fontId="11" fillId="0" borderId="1" xfId="0" applyNumberFormat="1" applyFont="1" applyBorder="1"/>
    <xf numFmtId="2" fontId="11" fillId="0" borderId="4" xfId="0" applyNumberFormat="1" applyFont="1" applyBorder="1"/>
    <xf numFmtId="2" fontId="11" fillId="0" borderId="5" xfId="0" applyNumberFormat="1" applyFont="1" applyBorder="1"/>
    <xf numFmtId="164" fontId="11" fillId="0" borderId="0" xfId="0" applyNumberFormat="1" applyFont="1" applyBorder="1"/>
    <xf numFmtId="164" fontId="11" fillId="0" borderId="9" xfId="0" applyNumberFormat="1" applyFont="1" applyBorder="1"/>
    <xf numFmtId="164" fontId="11" fillId="0" borderId="10" xfId="0" applyNumberFormat="1" applyFont="1" applyBorder="1"/>
    <xf numFmtId="164" fontId="11" fillId="0" borderId="2" xfId="0" applyNumberFormat="1" applyFont="1" applyBorder="1"/>
    <xf numFmtId="165" fontId="0" fillId="0" borderId="11" xfId="0" applyNumberFormat="1" applyBorder="1"/>
    <xf numFmtId="165" fontId="0" fillId="0" borderId="4" xfId="0" applyNumberFormat="1" applyBorder="1"/>
    <xf numFmtId="165" fontId="0" fillId="0" borderId="5" xfId="0" applyNumberFormat="1" applyBorder="1"/>
    <xf numFmtId="164" fontId="11" fillId="0" borderId="11" xfId="0" applyNumberFormat="1" applyFont="1" applyBorder="1"/>
    <xf numFmtId="164" fontId="11" fillId="0" borderId="4" xfId="0" applyNumberFormat="1" applyFont="1" applyBorder="1"/>
    <xf numFmtId="164" fontId="11" fillId="0" borderId="1" xfId="0" applyNumberFormat="1" applyFont="1" applyBorder="1"/>
    <xf numFmtId="164" fontId="11" fillId="0" borderId="3" xfId="0" applyNumberFormat="1" applyFont="1" applyBorder="1"/>
    <xf numFmtId="164" fontId="11" fillId="0" borderId="5" xfId="0" applyNumberFormat="1" applyFont="1" applyBorder="1"/>
    <xf numFmtId="0" fontId="1" fillId="0" borderId="7"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0" fillId="2" borderId="0" xfId="0" applyFill="1"/>
    <xf numFmtId="0" fontId="0" fillId="3" borderId="2" xfId="0" applyFill="1" applyBorder="1"/>
    <xf numFmtId="0" fontId="1" fillId="3" borderId="10" xfId="0" applyFont="1" applyFill="1" applyBorder="1"/>
    <xf numFmtId="0" fontId="15" fillId="0" borderId="0" xfId="0" applyFont="1"/>
    <xf numFmtId="0" fontId="15" fillId="0" borderId="16" xfId="0" applyFont="1" applyBorder="1"/>
    <xf numFmtId="0" fontId="15" fillId="0" borderId="0" xfId="0" applyFont="1" applyAlignment="1">
      <alignment horizontal="left"/>
    </xf>
    <xf numFmtId="166" fontId="15" fillId="0" borderId="0" xfId="0" applyNumberFormat="1" applyFont="1"/>
    <xf numFmtId="2" fontId="16" fillId="0" borderId="0" xfId="0" applyNumberFormat="1" applyFont="1" applyBorder="1" applyAlignment="1">
      <alignment horizontal="left" indent="1"/>
    </xf>
    <xf numFmtId="166" fontId="0" fillId="0" borderId="0" xfId="0" applyNumberFormat="1"/>
    <xf numFmtId="2" fontId="17" fillId="0" borderId="0" xfId="0" quotePrefix="1" applyNumberFormat="1" applyFont="1" applyBorder="1" applyAlignment="1">
      <alignment horizontal="left" indent="2"/>
    </xf>
    <xf numFmtId="0" fontId="17" fillId="0" borderId="0" xfId="0" applyFont="1" applyBorder="1" applyAlignment="1">
      <alignment horizontal="left" indent="2"/>
    </xf>
    <xf numFmtId="0" fontId="19" fillId="0" borderId="0" xfId="0" applyFont="1" applyAlignment="1">
      <alignment horizontal="left" indent="1"/>
    </xf>
    <xf numFmtId="0" fontId="0" fillId="0" borderId="0" xfId="0" applyAlignment="1">
      <alignment horizontal="left" indent="2"/>
    </xf>
    <xf numFmtId="0" fontId="0" fillId="3" borderId="4" xfId="0" applyFill="1" applyBorder="1"/>
    <xf numFmtId="43" fontId="0" fillId="0" borderId="0" xfId="0" applyNumberFormat="1"/>
    <xf numFmtId="167" fontId="0" fillId="2" borderId="0" xfId="2" applyNumberFormat="1" applyFont="1" applyFill="1"/>
    <xf numFmtId="167" fontId="0" fillId="3" borderId="4" xfId="2" applyNumberFormat="1" applyFont="1" applyFill="1" applyBorder="1"/>
    <xf numFmtId="167" fontId="0" fillId="0" borderId="0" xfId="2" applyNumberFormat="1" applyFont="1"/>
    <xf numFmtId="0" fontId="20" fillId="0" borderId="0" xfId="3"/>
    <xf numFmtId="0" fontId="22" fillId="0" borderId="4" xfId="0" applyNumberFormat="1" applyFont="1" applyBorder="1" applyAlignment="1">
      <alignment horizontal="right"/>
    </xf>
    <xf numFmtId="0" fontId="22" fillId="0" borderId="1" xfId="0" applyFont="1" applyBorder="1" applyAlignment="1">
      <alignment horizontal="right"/>
    </xf>
    <xf numFmtId="43" fontId="22" fillId="0" borderId="0" xfId="0" applyNumberFormat="1" applyFont="1"/>
    <xf numFmtId="0" fontId="22" fillId="0" borderId="3" xfId="0" applyFont="1" applyBorder="1" applyAlignment="1">
      <alignment horizontal="right"/>
    </xf>
    <xf numFmtId="43" fontId="22" fillId="0" borderId="2" xfId="0" applyNumberFormat="1" applyFont="1" applyBorder="1"/>
    <xf numFmtId="0" fontId="21" fillId="0" borderId="0" xfId="0" applyFont="1" applyBorder="1" applyAlignment="1">
      <alignment horizontal="left" indent="2"/>
    </xf>
    <xf numFmtId="0" fontId="21" fillId="0" borderId="5" xfId="0" applyFont="1" applyFill="1" applyBorder="1" applyAlignment="1">
      <alignment horizontal="right" indent="2"/>
    </xf>
    <xf numFmtId="0" fontId="1" fillId="3" borderId="4" xfId="0" applyFont="1" applyFill="1" applyBorder="1"/>
    <xf numFmtId="165" fontId="0" fillId="3" borderId="0" xfId="0" applyNumberFormat="1" applyFill="1"/>
    <xf numFmtId="2" fontId="0" fillId="3" borderId="6" xfId="0" applyNumberFormat="1" applyFill="1" applyBorder="1"/>
    <xf numFmtId="2" fontId="0" fillId="3" borderId="0" xfId="0" applyNumberFormat="1" applyFill="1"/>
    <xf numFmtId="2" fontId="0" fillId="3" borderId="4" xfId="0" applyNumberFormat="1" applyFill="1" applyBorder="1"/>
  </cellXfs>
  <cellStyles count="4">
    <cellStyle name="Comma" xfId="2" builtinId="3"/>
    <cellStyle name="Comma 2" xfId="1" xr:uid="{B3132357-33A8-46E7-846E-B47623660491}"/>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CA"/>
              <a:t>Livestock Production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194889266431524"/>
          <c:y val="0.17171296296296296"/>
          <c:w val="0.69602357404657822"/>
          <c:h val="0.72088764946048411"/>
        </c:manualLayout>
      </c:layout>
      <c:scatterChart>
        <c:scatterStyle val="lineMarker"/>
        <c:varyColors val="0"/>
        <c:ser>
          <c:idx val="0"/>
          <c:order val="0"/>
          <c:tx>
            <c:strRef>
              <c:f>'Production Summary'!$B$19</c:f>
              <c:strCache>
                <c:ptCount val="1"/>
                <c:pt idx="0">
                  <c:v>Cattle</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7.6763560804899392E-2"/>
                  <c:y val="-0.1266057888597258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trendlineLbl>
          </c:trendline>
          <c:xVal>
            <c:numRef>
              <c:f>'Production Summary'!$L$15:$AD$15</c:f>
              <c:numCache>
                <c:formatCode>General</c:formatCode>
                <c:ptCount val="19"/>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numCache>
            </c:numRef>
          </c:xVal>
          <c:yVal>
            <c:numRef>
              <c:f>'Production Summary'!$L$19:$AD$19</c:f>
              <c:numCache>
                <c:formatCode>0.00</c:formatCode>
                <c:ptCount val="19"/>
                <c:pt idx="0">
                  <c:v>2322.3070000000002</c:v>
                </c:pt>
                <c:pt idx="1">
                  <c:v>2334.9030000000002</c:v>
                </c:pt>
                <c:pt idx="2">
                  <c:v>2342.002</c:v>
                </c:pt>
                <c:pt idx="3">
                  <c:v>2367.91</c:v>
                </c:pt>
                <c:pt idx="4">
                  <c:v>2071.4549999999999</c:v>
                </c:pt>
                <c:pt idx="5">
                  <c:v>2648.3409999999999</c:v>
                </c:pt>
                <c:pt idx="6">
                  <c:v>2462.98</c:v>
                </c:pt>
                <c:pt idx="7">
                  <c:v>2151.8110000000001</c:v>
                </c:pt>
                <c:pt idx="8">
                  <c:v>2200.2580000000003</c:v>
                </c:pt>
                <c:pt idx="9">
                  <c:v>2303.5320000000002</c:v>
                </c:pt>
                <c:pt idx="10">
                  <c:v>2396.0650000000001</c:v>
                </c:pt>
                <c:pt idx="11">
                  <c:v>2471.0630000000001</c:v>
                </c:pt>
                <c:pt idx="12">
                  <c:v>2046.6873927091865</c:v>
                </c:pt>
                <c:pt idx="13">
                  <c:v>1835.2412835253035</c:v>
                </c:pt>
                <c:pt idx="14">
                  <c:v>1853.1396194029924</c:v>
                </c:pt>
                <c:pt idx="15">
                  <c:v>1932.5596156879328</c:v>
                </c:pt>
                <c:pt idx="16">
                  <c:v>1833.1419161532817</c:v>
                </c:pt>
                <c:pt idx="17">
                  <c:v>1924.3706263074746</c:v>
                </c:pt>
                <c:pt idx="18">
                  <c:v>2058.2576438991473</c:v>
                </c:pt>
              </c:numCache>
            </c:numRef>
          </c:yVal>
          <c:smooth val="0"/>
          <c:extLst>
            <c:ext xmlns:c16="http://schemas.microsoft.com/office/drawing/2014/chart" uri="{C3380CC4-5D6E-409C-BE32-E72D297353CC}">
              <c16:uniqueId val="{00000000-DF48-495C-B32B-4AF50641A2B4}"/>
            </c:ext>
          </c:extLst>
        </c:ser>
        <c:ser>
          <c:idx val="1"/>
          <c:order val="1"/>
          <c:tx>
            <c:strRef>
              <c:f>'Production Summary'!$B$20</c:f>
              <c:strCache>
                <c:ptCount val="1"/>
                <c:pt idx="0">
                  <c:v>Hog</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12740244969378828"/>
                  <c:y val="-7.069335083114601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trendlineLbl>
          </c:trendline>
          <c:xVal>
            <c:numRef>
              <c:f>'Production Summary'!$L$15:$AD$15</c:f>
              <c:numCache>
                <c:formatCode>General</c:formatCode>
                <c:ptCount val="19"/>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numCache>
            </c:numRef>
          </c:xVal>
          <c:yVal>
            <c:numRef>
              <c:f>'Production Summary'!$L$20:$AD$20</c:f>
              <c:numCache>
                <c:formatCode>0.00</c:formatCode>
                <c:ptCount val="19"/>
                <c:pt idx="0">
                  <c:v>271.187545</c:v>
                </c:pt>
                <c:pt idx="1">
                  <c:v>265.61694400000005</c:v>
                </c:pt>
                <c:pt idx="2">
                  <c:v>281.69704899999999</c:v>
                </c:pt>
                <c:pt idx="3">
                  <c:v>328.57401900000002</c:v>
                </c:pt>
                <c:pt idx="4">
                  <c:v>357.96321600000005</c:v>
                </c:pt>
                <c:pt idx="5">
                  <c:v>382.14236499999998</c:v>
                </c:pt>
                <c:pt idx="6">
                  <c:v>396.52829000000003</c:v>
                </c:pt>
                <c:pt idx="7">
                  <c:v>411.71660100000003</c:v>
                </c:pt>
                <c:pt idx="8">
                  <c:v>372.70715400000006</c:v>
                </c:pt>
                <c:pt idx="9">
                  <c:v>343.07348200000001</c:v>
                </c:pt>
                <c:pt idx="10">
                  <c:v>330.09522500000003</c:v>
                </c:pt>
                <c:pt idx="11">
                  <c:v>338.08111200000002</c:v>
                </c:pt>
                <c:pt idx="12">
                  <c:v>318.39344499999999</c:v>
                </c:pt>
                <c:pt idx="13">
                  <c:v>305.56809600000003</c:v>
                </c:pt>
                <c:pt idx="14">
                  <c:v>299.470191</c:v>
                </c:pt>
                <c:pt idx="15">
                  <c:v>318.70243599999998</c:v>
                </c:pt>
                <c:pt idx="16">
                  <c:v>339.50363900000002</c:v>
                </c:pt>
                <c:pt idx="17">
                  <c:v>332.67459500000001</c:v>
                </c:pt>
                <c:pt idx="18">
                  <c:v>329.87945200000001</c:v>
                </c:pt>
              </c:numCache>
            </c:numRef>
          </c:yVal>
          <c:smooth val="0"/>
          <c:extLst>
            <c:ext xmlns:c16="http://schemas.microsoft.com/office/drawing/2014/chart" uri="{C3380CC4-5D6E-409C-BE32-E72D297353CC}">
              <c16:uniqueId val="{00000002-DF48-495C-B32B-4AF50641A2B4}"/>
            </c:ext>
          </c:extLst>
        </c:ser>
        <c:dLbls>
          <c:showLegendKey val="0"/>
          <c:showVal val="0"/>
          <c:showCatName val="0"/>
          <c:showSerName val="0"/>
          <c:showPercent val="0"/>
          <c:showBubbleSize val="0"/>
        </c:dLbls>
        <c:axId val="1706227631"/>
        <c:axId val="1706228463"/>
      </c:scatterChart>
      <c:valAx>
        <c:axId val="1706227631"/>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06228463"/>
        <c:crosses val="autoZero"/>
        <c:crossBetween val="midCat"/>
      </c:valAx>
      <c:valAx>
        <c:axId val="1706228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CA" b="1"/>
                  <a:t>Annual Production ('000 tonnes)</a:t>
                </a:r>
              </a:p>
            </c:rich>
          </c:tx>
          <c:layout>
            <c:manualLayout>
              <c:xMode val="edge"/>
              <c:yMode val="edge"/>
              <c:x val="2.2398922029831132E-2"/>
              <c:y val="0.20866141732283464"/>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0622763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CA"/>
              <a:t>Milk Production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0379943132108486"/>
                  <c:y val="-9.850904053659959E-2"/>
                </c:manualLayout>
              </c:layout>
              <c:numFmt formatCode="0.00E+00" sourceLinked="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trendlineLbl>
          </c:trendline>
          <c:xVal>
            <c:numRef>
              <c:f>Dairy!$N$4:$AD$4</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xVal>
          <c:yVal>
            <c:numRef>
              <c:f>Dairy!$N$5:$AD$5</c:f>
              <c:numCache>
                <c:formatCode>General</c:formatCode>
                <c:ptCount val="17"/>
                <c:pt idx="0">
                  <c:v>629690</c:v>
                </c:pt>
                <c:pt idx="1">
                  <c:v>639079</c:v>
                </c:pt>
                <c:pt idx="2">
                  <c:v>623380</c:v>
                </c:pt>
                <c:pt idx="3">
                  <c:v>635065</c:v>
                </c:pt>
                <c:pt idx="4">
                  <c:v>637044</c:v>
                </c:pt>
                <c:pt idx="5">
                  <c:v>624029</c:v>
                </c:pt>
                <c:pt idx="6">
                  <c:v>626151</c:v>
                </c:pt>
                <c:pt idx="7">
                  <c:v>667956</c:v>
                </c:pt>
                <c:pt idx="8">
                  <c:v>649667</c:v>
                </c:pt>
                <c:pt idx="9">
                  <c:v>649997</c:v>
                </c:pt>
                <c:pt idx="10">
                  <c:v>660059</c:v>
                </c:pt>
                <c:pt idx="11">
                  <c:v>679935</c:v>
                </c:pt>
                <c:pt idx="12">
                  <c:v>653530</c:v>
                </c:pt>
                <c:pt idx="13">
                  <c:v>668400</c:v>
                </c:pt>
                <c:pt idx="14">
                  <c:v>701242</c:v>
                </c:pt>
                <c:pt idx="15">
                  <c:v>732337</c:v>
                </c:pt>
                <c:pt idx="16">
                  <c:v>768059</c:v>
                </c:pt>
              </c:numCache>
            </c:numRef>
          </c:yVal>
          <c:smooth val="0"/>
          <c:extLst>
            <c:ext xmlns:c16="http://schemas.microsoft.com/office/drawing/2014/chart" uri="{C3380CC4-5D6E-409C-BE32-E72D297353CC}">
              <c16:uniqueId val="{00000001-E985-4082-B4A9-0C1BF0E8D74A}"/>
            </c:ext>
          </c:extLst>
        </c:ser>
        <c:dLbls>
          <c:showLegendKey val="0"/>
          <c:showVal val="0"/>
          <c:showCatName val="0"/>
          <c:showSerName val="0"/>
          <c:showPercent val="0"/>
          <c:showBubbleSize val="0"/>
        </c:dLbls>
        <c:axId val="191498079"/>
        <c:axId val="191494751"/>
      </c:scatterChart>
      <c:valAx>
        <c:axId val="191498079"/>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1494751"/>
        <c:crosses val="autoZero"/>
        <c:crossBetween val="midCat"/>
      </c:valAx>
      <c:valAx>
        <c:axId val="191494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CA" b="1"/>
                  <a:t>Annual Milk Production ('000 Litres)</a:t>
                </a:r>
              </a:p>
            </c:rich>
          </c:tx>
          <c:layout>
            <c:manualLayout>
              <c:xMode val="edge"/>
              <c:yMode val="edge"/>
              <c:x val="1.9444444444444445E-2"/>
              <c:y val="0.16202938174394868"/>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14980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AB Veg Production (Small)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0204974378202731E-2"/>
          <c:y val="0.11782030578853327"/>
          <c:w val="0.512047869016373"/>
          <c:h val="0.79107212767391788"/>
        </c:manualLayout>
      </c:layout>
      <c:scatterChart>
        <c:scatterStyle val="lineMarker"/>
        <c:varyColors val="0"/>
        <c:ser>
          <c:idx val="0"/>
          <c:order val="0"/>
          <c:tx>
            <c:strRef>
              <c:f>'[1]fruit and veg data'!$B$10</c:f>
              <c:strCache>
                <c:ptCount val="1"/>
                <c:pt idx="0">
                  <c:v>Fresh green and wax beans  [114221621]</c:v>
                </c:pt>
              </c:strCache>
            </c:strRef>
          </c:tx>
          <c:spPr>
            <a:ln w="2540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3584239470066242"/>
                  <c:y val="-6.5758574133093106E-2"/>
                </c:manualLayout>
              </c:layout>
              <c:numFmt formatCode="General" sourceLinked="0"/>
              <c:spPr>
                <a:noFill/>
                <a:ln>
                  <a:solidFill>
                    <a:schemeClr val="accent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data'!$O$8:$AG$8</c:f>
              <c:numCache>
                <c:formatCode>General</c:formatCode>
                <c:ptCount val="19"/>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numCache>
            </c:numRef>
          </c:xVal>
          <c:yVal>
            <c:numRef>
              <c:f>'[1]fruit and veg data'!$O$10:$AG$10</c:f>
              <c:numCache>
                <c:formatCode>General</c:formatCode>
                <c:ptCount val="19"/>
                <c:pt idx="0">
                  <c:v>308</c:v>
                </c:pt>
                <c:pt idx="1">
                  <c:v>329</c:v>
                </c:pt>
                <c:pt idx="2">
                  <c:v>363</c:v>
                </c:pt>
                <c:pt idx="3">
                  <c:v>272</c:v>
                </c:pt>
                <c:pt idx="4">
                  <c:v>226.5</c:v>
                </c:pt>
                <c:pt idx="5">
                  <c:v>181</c:v>
                </c:pt>
                <c:pt idx="6">
                  <c:v>209</c:v>
                </c:pt>
                <c:pt idx="7">
                  <c:v>207</c:v>
                </c:pt>
                <c:pt idx="8">
                  <c:v>206</c:v>
                </c:pt>
                <c:pt idx="9">
                  <c:v>204</c:v>
                </c:pt>
                <c:pt idx="10">
                  <c:v>211</c:v>
                </c:pt>
                <c:pt idx="11">
                  <c:v>205</c:v>
                </c:pt>
                <c:pt idx="12">
                  <c:v>217</c:v>
                </c:pt>
                <c:pt idx="13">
                  <c:v>219</c:v>
                </c:pt>
                <c:pt idx="14">
                  <c:v>233</c:v>
                </c:pt>
                <c:pt idx="15">
                  <c:v>129</c:v>
                </c:pt>
                <c:pt idx="16">
                  <c:v>145</c:v>
                </c:pt>
                <c:pt idx="17">
                  <c:v>161</c:v>
                </c:pt>
                <c:pt idx="18">
                  <c:v>129</c:v>
                </c:pt>
              </c:numCache>
            </c:numRef>
          </c:yVal>
          <c:smooth val="0"/>
          <c:extLst>
            <c:ext xmlns:c16="http://schemas.microsoft.com/office/drawing/2014/chart" uri="{C3380CC4-5D6E-409C-BE32-E72D297353CC}">
              <c16:uniqueId val="{00000001-44E4-4D86-A671-148A7E154F07}"/>
            </c:ext>
          </c:extLst>
        </c:ser>
        <c:ser>
          <c:idx val="1"/>
          <c:order val="1"/>
          <c:tx>
            <c:strRef>
              <c:f>'[1]fruit and veg data'!$B$13</c:f>
              <c:strCache>
                <c:ptCount val="1"/>
                <c:pt idx="0">
                  <c:v>Fresh cauliflowers  [114221831]</c:v>
                </c:pt>
              </c:strCache>
            </c:strRef>
          </c:tx>
          <c:spPr>
            <a:ln w="2540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1485408073990751"/>
                  <c:y val="-4.4624208887671171E-2"/>
                </c:manualLayout>
              </c:layout>
              <c:numFmt formatCode="General" sourceLinked="0"/>
              <c:spPr>
                <a:noFill/>
                <a:ln>
                  <a:solidFill>
                    <a:schemeClr val="accent2"/>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data'!$W$8:$AG$8</c:f>
              <c:numCache>
                <c:formatCode>General</c:formatCode>
                <c:ptCount val="11"/>
                <c:pt idx="0">
                  <c:v>2010</c:v>
                </c:pt>
                <c:pt idx="1">
                  <c:v>2011</c:v>
                </c:pt>
                <c:pt idx="2">
                  <c:v>2012</c:v>
                </c:pt>
                <c:pt idx="3">
                  <c:v>2013</c:v>
                </c:pt>
                <c:pt idx="4">
                  <c:v>2014</c:v>
                </c:pt>
                <c:pt idx="5">
                  <c:v>2015</c:v>
                </c:pt>
                <c:pt idx="6">
                  <c:v>2016</c:v>
                </c:pt>
                <c:pt idx="7">
                  <c:v>2017</c:v>
                </c:pt>
                <c:pt idx="8">
                  <c:v>2018</c:v>
                </c:pt>
                <c:pt idx="9">
                  <c:v>2019</c:v>
                </c:pt>
                <c:pt idx="10">
                  <c:v>2020</c:v>
                </c:pt>
              </c:numCache>
            </c:numRef>
          </c:xVal>
          <c:yVal>
            <c:numRef>
              <c:f>'[1]fruit and veg data'!$W$13:$AG$13</c:f>
              <c:numCache>
                <c:formatCode>General</c:formatCode>
                <c:ptCount val="11"/>
                <c:pt idx="0">
                  <c:v>44</c:v>
                </c:pt>
                <c:pt idx="1">
                  <c:v>335</c:v>
                </c:pt>
                <c:pt idx="2">
                  <c:v>360</c:v>
                </c:pt>
                <c:pt idx="3">
                  <c:v>377</c:v>
                </c:pt>
                <c:pt idx="4">
                  <c:v>331</c:v>
                </c:pt>
                <c:pt idx="5">
                  <c:v>187</c:v>
                </c:pt>
                <c:pt idx="6">
                  <c:v>134</c:v>
                </c:pt>
                <c:pt idx="7">
                  <c:v>82</c:v>
                </c:pt>
                <c:pt idx="8">
                  <c:v>117</c:v>
                </c:pt>
                <c:pt idx="9">
                  <c:v>79</c:v>
                </c:pt>
                <c:pt idx="10">
                  <c:v>74</c:v>
                </c:pt>
              </c:numCache>
            </c:numRef>
          </c:yVal>
          <c:smooth val="0"/>
          <c:extLst>
            <c:ext xmlns:c16="http://schemas.microsoft.com/office/drawing/2014/chart" uri="{C3380CC4-5D6E-409C-BE32-E72D297353CC}">
              <c16:uniqueId val="{00000003-44E4-4D86-A671-148A7E154F07}"/>
            </c:ext>
          </c:extLst>
        </c:ser>
        <c:ser>
          <c:idx val="2"/>
          <c:order val="2"/>
          <c:tx>
            <c:strRef>
              <c:f>'[1]fruit and veg data'!$B$15</c:f>
              <c:strCache>
                <c:ptCount val="1"/>
                <c:pt idx="0">
                  <c:v>Fresh cucumbers and fresh gherkins (all varieties) 6</c:v>
                </c:pt>
              </c:strCache>
            </c:strRef>
          </c:tx>
          <c:spPr>
            <a:ln w="25400" cap="rnd">
              <a:solidFill>
                <a:schemeClr val="bg2">
                  <a:lumMod val="75000"/>
                </a:schemeClr>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0.14619160104986878"/>
                  <c:y val="4.3407660113466209E-2"/>
                </c:manualLayout>
              </c:layout>
              <c:numFmt formatCode="General" sourceLinked="0"/>
              <c:spPr>
                <a:noFill/>
                <a:ln>
                  <a:solidFill>
                    <a:schemeClr val="bg2">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data'!$P$8:$AG$8</c:f>
              <c:numCache>
                <c:formatCode>General</c:formatCod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numCache>
            </c:numRef>
          </c:xVal>
          <c:yVal>
            <c:numRef>
              <c:f>'[1]fruit and veg data'!$P$15:$AG$15</c:f>
              <c:numCache>
                <c:formatCode>General</c:formatCode>
                <c:ptCount val="18"/>
                <c:pt idx="0">
                  <c:v>295</c:v>
                </c:pt>
                <c:pt idx="1">
                  <c:v>159</c:v>
                </c:pt>
                <c:pt idx="2">
                  <c:v>159</c:v>
                </c:pt>
                <c:pt idx="3">
                  <c:v>177</c:v>
                </c:pt>
                <c:pt idx="4">
                  <c:v>52</c:v>
                </c:pt>
                <c:pt idx="5">
                  <c:v>156</c:v>
                </c:pt>
                <c:pt idx="6">
                  <c:v>96</c:v>
                </c:pt>
                <c:pt idx="7">
                  <c:v>36</c:v>
                </c:pt>
                <c:pt idx="8">
                  <c:v>168</c:v>
                </c:pt>
                <c:pt idx="9">
                  <c:v>138</c:v>
                </c:pt>
                <c:pt idx="10">
                  <c:v>313</c:v>
                </c:pt>
                <c:pt idx="11">
                  <c:v>326</c:v>
                </c:pt>
                <c:pt idx="12">
                  <c:v>261</c:v>
                </c:pt>
                <c:pt idx="13">
                  <c:v>308</c:v>
                </c:pt>
                <c:pt idx="14">
                  <c:v>210</c:v>
                </c:pt>
                <c:pt idx="15">
                  <c:v>259</c:v>
                </c:pt>
                <c:pt idx="16">
                  <c:v>238</c:v>
                </c:pt>
                <c:pt idx="17">
                  <c:v>205</c:v>
                </c:pt>
              </c:numCache>
            </c:numRef>
          </c:yVal>
          <c:smooth val="0"/>
          <c:extLst>
            <c:ext xmlns:c16="http://schemas.microsoft.com/office/drawing/2014/chart" uri="{C3380CC4-5D6E-409C-BE32-E72D297353CC}">
              <c16:uniqueId val="{00000005-44E4-4D86-A671-148A7E154F07}"/>
            </c:ext>
          </c:extLst>
        </c:ser>
        <c:ser>
          <c:idx val="3"/>
          <c:order val="3"/>
          <c:tx>
            <c:strRef>
              <c:f>'[1]fruit and veg data'!$B$17</c:f>
              <c:strCache>
                <c:ptCount val="1"/>
                <c:pt idx="0">
                  <c:v>Fresh parsnips  [114221151]</c:v>
                </c:pt>
              </c:strCache>
            </c:strRef>
          </c:tx>
          <c:spPr>
            <a:ln w="2540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1"/>
            <c:trendlineLbl>
              <c:layout>
                <c:manualLayout>
                  <c:x val="0.15171541057367829"/>
                  <c:y val="2.3692086371870574E-2"/>
                </c:manualLayout>
              </c:layout>
              <c:numFmt formatCode="General" sourceLinked="0"/>
              <c:spPr>
                <a:noFill/>
                <a:ln>
                  <a:solidFill>
                    <a:schemeClr val="accent4"/>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data'!$X$8:$AG$8</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'[1]fruit and veg data'!$X$17:$AG$17</c:f>
              <c:numCache>
                <c:formatCode>General</c:formatCode>
                <c:ptCount val="10"/>
                <c:pt idx="0">
                  <c:v>193</c:v>
                </c:pt>
                <c:pt idx="1">
                  <c:v>150</c:v>
                </c:pt>
                <c:pt idx="2">
                  <c:v>180</c:v>
                </c:pt>
                <c:pt idx="3">
                  <c:v>116</c:v>
                </c:pt>
                <c:pt idx="4">
                  <c:v>125</c:v>
                </c:pt>
                <c:pt idx="5">
                  <c:v>115</c:v>
                </c:pt>
                <c:pt idx="6">
                  <c:v>167</c:v>
                </c:pt>
                <c:pt idx="7">
                  <c:v>123</c:v>
                </c:pt>
                <c:pt idx="8">
                  <c:v>79</c:v>
                </c:pt>
                <c:pt idx="9">
                  <c:v>39.5</c:v>
                </c:pt>
              </c:numCache>
            </c:numRef>
          </c:yVal>
          <c:smooth val="0"/>
          <c:extLst>
            <c:ext xmlns:c16="http://schemas.microsoft.com/office/drawing/2014/chart" uri="{C3380CC4-5D6E-409C-BE32-E72D297353CC}">
              <c16:uniqueId val="{00000007-44E4-4D86-A671-148A7E154F07}"/>
            </c:ext>
          </c:extLst>
        </c:ser>
        <c:ser>
          <c:idx val="4"/>
          <c:order val="4"/>
          <c:tx>
            <c:strRef>
              <c:f>'[1]fruit and veg data'!$B$21</c:f>
              <c:strCache>
                <c:ptCount val="1"/>
                <c:pt idx="0">
                  <c:v>Fresh squash and zucchini  [114221561]</c:v>
                </c:pt>
              </c:strCache>
            </c:strRef>
          </c:tx>
          <c:spPr>
            <a:ln w="25400" cap="rnd">
              <a:solidFill>
                <a:srgbClr val="00B0F0"/>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1"/>
            <c:trendlineLbl>
              <c:layout>
                <c:manualLayout>
                  <c:x val="0.14896937882764655"/>
                  <c:y val="4.1536760244645671E-2"/>
                </c:manualLayout>
              </c:layout>
              <c:numFmt formatCode="General" sourceLinked="0"/>
              <c:spPr>
                <a:noFill/>
                <a:ln>
                  <a:solidFill>
                    <a:schemeClr val="accent5">
                      <a:lumMod val="60000"/>
                      <a:lumOff val="40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data'!$U$8:$AG$8</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xVal>
          <c:yVal>
            <c:numRef>
              <c:f>'[1]fruit and veg data'!$U$21:$AG$21</c:f>
              <c:numCache>
                <c:formatCode>General</c:formatCode>
                <c:ptCount val="13"/>
                <c:pt idx="0">
                  <c:v>295</c:v>
                </c:pt>
                <c:pt idx="1">
                  <c:v>315</c:v>
                </c:pt>
                <c:pt idx="2">
                  <c:v>334</c:v>
                </c:pt>
                <c:pt idx="3">
                  <c:v>354</c:v>
                </c:pt>
                <c:pt idx="4">
                  <c:v>344</c:v>
                </c:pt>
                <c:pt idx="5">
                  <c:v>356</c:v>
                </c:pt>
                <c:pt idx="6">
                  <c:v>445</c:v>
                </c:pt>
                <c:pt idx="7">
                  <c:v>354</c:v>
                </c:pt>
                <c:pt idx="8">
                  <c:v>421</c:v>
                </c:pt>
                <c:pt idx="9">
                  <c:v>338</c:v>
                </c:pt>
                <c:pt idx="10">
                  <c:v>271</c:v>
                </c:pt>
                <c:pt idx="11">
                  <c:v>257.5</c:v>
                </c:pt>
                <c:pt idx="12">
                  <c:v>244</c:v>
                </c:pt>
              </c:numCache>
            </c:numRef>
          </c:yVal>
          <c:smooth val="0"/>
          <c:extLst>
            <c:ext xmlns:c16="http://schemas.microsoft.com/office/drawing/2014/chart" uri="{C3380CC4-5D6E-409C-BE32-E72D297353CC}">
              <c16:uniqueId val="{00000009-44E4-4D86-A671-148A7E154F07}"/>
            </c:ext>
          </c:extLst>
        </c:ser>
        <c:dLbls>
          <c:showLegendKey val="0"/>
          <c:showVal val="0"/>
          <c:showCatName val="0"/>
          <c:showSerName val="0"/>
          <c:showPercent val="0"/>
          <c:showBubbleSize val="0"/>
        </c:dLbls>
        <c:axId val="1784639359"/>
        <c:axId val="1784643519"/>
      </c:scatterChart>
      <c:valAx>
        <c:axId val="1784639359"/>
        <c:scaling>
          <c:orientation val="minMax"/>
          <c:max val="202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643519"/>
        <c:crosses val="autoZero"/>
        <c:crossBetween val="midCat"/>
      </c:valAx>
      <c:valAx>
        <c:axId val="1784643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CA" b="1">
                    <a:solidFill>
                      <a:schemeClr val="tx1"/>
                    </a:solidFill>
                  </a:rPr>
                  <a:t>Annual Production (Tonnes)</a:t>
                </a:r>
              </a:p>
            </c:rich>
          </c:tx>
          <c:layout>
            <c:manualLayout>
              <c:xMode val="edge"/>
              <c:yMode val="edge"/>
              <c:x val="1.2372953380827396E-2"/>
              <c:y val="0.2411914632539803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639359"/>
        <c:crosses val="autoZero"/>
        <c:crossBetween val="midCat"/>
      </c:valAx>
      <c:spPr>
        <a:noFill/>
        <a:ln>
          <a:noFill/>
        </a:ln>
        <a:effectLst/>
      </c:spPr>
    </c:plotArea>
    <c:legend>
      <c:legendPos val="r"/>
      <c:legendEntry>
        <c:idx val="5"/>
        <c:delete val="1"/>
      </c:legendEntry>
      <c:legendEntry>
        <c:idx val="6"/>
        <c:delete val="1"/>
      </c:legendEntry>
      <c:legendEntry>
        <c:idx val="7"/>
        <c:delete val="1"/>
      </c:legendEntry>
      <c:legendEntry>
        <c:idx val="8"/>
        <c:delete val="1"/>
      </c:legendEntry>
      <c:legendEntry>
        <c:idx val="9"/>
        <c:delete val="1"/>
      </c:legendEntry>
      <c:layout>
        <c:manualLayout>
          <c:xMode val="edge"/>
          <c:yMode val="edge"/>
          <c:x val="0.7412698412698413"/>
          <c:y val="0.1649278215223097"/>
          <c:w val="0.22486776652918383"/>
          <c:h val="0.520618862752641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AB Veg Production (Large)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491949737186889"/>
          <c:y val="0.11782030578853327"/>
          <c:w val="0.47733333995983096"/>
          <c:h val="0.79107212767391788"/>
        </c:manualLayout>
      </c:layout>
      <c:scatterChart>
        <c:scatterStyle val="lineMarker"/>
        <c:varyColors val="0"/>
        <c:ser>
          <c:idx val="0"/>
          <c:order val="0"/>
          <c:tx>
            <c:strRef>
              <c:f>'[1]fruit and veg data'!$B$11</c:f>
              <c:strCache>
                <c:ptCount val="1"/>
                <c:pt idx="0">
                  <c:v>Fresh cabbage  [11422132] 4</c:v>
                </c:pt>
              </c:strCache>
            </c:strRef>
          </c:tx>
          <c:spPr>
            <a:ln w="2540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4772374160525953"/>
                  <c:y val="-0.66376552608760797"/>
                </c:manualLayout>
              </c:layout>
              <c:numFmt formatCode="0.00E+00" sourceLinked="0"/>
              <c:spPr>
                <a:noFill/>
                <a:ln>
                  <a:solidFill>
                    <a:schemeClr val="accent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data'!$O$8:$AG$8</c:f>
              <c:numCache>
                <c:formatCode>General</c:formatCode>
                <c:ptCount val="19"/>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numCache>
            </c:numRef>
          </c:xVal>
          <c:yVal>
            <c:numRef>
              <c:f>'[1]fruit and veg data'!$O$11:$AG$11</c:f>
              <c:numCache>
                <c:formatCode>General</c:formatCode>
                <c:ptCount val="19"/>
                <c:pt idx="0">
                  <c:v>2200</c:v>
                </c:pt>
                <c:pt idx="1">
                  <c:v>3595</c:v>
                </c:pt>
                <c:pt idx="2">
                  <c:v>4990</c:v>
                </c:pt>
                <c:pt idx="3">
                  <c:v>2005</c:v>
                </c:pt>
                <c:pt idx="4">
                  <c:v>2359</c:v>
                </c:pt>
                <c:pt idx="5">
                  <c:v>2713</c:v>
                </c:pt>
                <c:pt idx="6">
                  <c:v>3066</c:v>
                </c:pt>
                <c:pt idx="7">
                  <c:v>3420</c:v>
                </c:pt>
                <c:pt idx="8">
                  <c:v>3774</c:v>
                </c:pt>
                <c:pt idx="9">
                  <c:v>3043</c:v>
                </c:pt>
                <c:pt idx="10">
                  <c:v>2527</c:v>
                </c:pt>
                <c:pt idx="11">
                  <c:v>3519</c:v>
                </c:pt>
                <c:pt idx="12">
                  <c:v>4669</c:v>
                </c:pt>
                <c:pt idx="13">
                  <c:v>4405</c:v>
                </c:pt>
                <c:pt idx="14">
                  <c:v>4022</c:v>
                </c:pt>
                <c:pt idx="15">
                  <c:v>4027</c:v>
                </c:pt>
                <c:pt idx="16">
                  <c:v>3643</c:v>
                </c:pt>
                <c:pt idx="17">
                  <c:v>3037</c:v>
                </c:pt>
                <c:pt idx="18">
                  <c:v>2594</c:v>
                </c:pt>
              </c:numCache>
            </c:numRef>
          </c:yVal>
          <c:smooth val="0"/>
          <c:extLst>
            <c:ext xmlns:c16="http://schemas.microsoft.com/office/drawing/2014/chart" uri="{C3380CC4-5D6E-409C-BE32-E72D297353CC}">
              <c16:uniqueId val="{00000001-035B-408B-8D3F-78909B79B516}"/>
            </c:ext>
          </c:extLst>
        </c:ser>
        <c:ser>
          <c:idx val="1"/>
          <c:order val="1"/>
          <c:tx>
            <c:strRef>
              <c:f>'[1]fruit and veg data'!$B$12</c:f>
              <c:strCache>
                <c:ptCount val="1"/>
                <c:pt idx="0">
                  <c:v>Fresh carrots  [11422111] 5</c:v>
                </c:pt>
              </c:strCache>
            </c:strRef>
          </c:tx>
          <c:spPr>
            <a:ln w="2540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30615211306728463"/>
                  <c:y val="-0.51424720697919513"/>
                </c:manualLayout>
              </c:layout>
              <c:numFmt formatCode="0.00E+00" sourceLinked="0"/>
              <c:spPr>
                <a:noFill/>
                <a:ln>
                  <a:solidFill>
                    <a:schemeClr val="accent2"/>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data'!$P$8:$AG$8</c:f>
              <c:numCache>
                <c:formatCode>General</c:formatCod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numCache>
            </c:numRef>
          </c:xVal>
          <c:yVal>
            <c:numRef>
              <c:f>'[1]fruit and veg data'!$P$12:$AG$12</c:f>
              <c:numCache>
                <c:formatCode>General</c:formatCode>
                <c:ptCount val="18"/>
                <c:pt idx="0">
                  <c:v>2155</c:v>
                </c:pt>
                <c:pt idx="1">
                  <c:v>4201.5</c:v>
                </c:pt>
                <c:pt idx="2">
                  <c:v>6248</c:v>
                </c:pt>
                <c:pt idx="3">
                  <c:v>6302</c:v>
                </c:pt>
                <c:pt idx="4">
                  <c:v>6355</c:v>
                </c:pt>
                <c:pt idx="5">
                  <c:v>4526</c:v>
                </c:pt>
                <c:pt idx="6">
                  <c:v>2697</c:v>
                </c:pt>
                <c:pt idx="7">
                  <c:v>1528</c:v>
                </c:pt>
                <c:pt idx="8">
                  <c:v>2244</c:v>
                </c:pt>
                <c:pt idx="9">
                  <c:v>2357</c:v>
                </c:pt>
                <c:pt idx="10">
                  <c:v>2446</c:v>
                </c:pt>
                <c:pt idx="11">
                  <c:v>3921</c:v>
                </c:pt>
                <c:pt idx="12">
                  <c:v>4517</c:v>
                </c:pt>
                <c:pt idx="13">
                  <c:v>2394</c:v>
                </c:pt>
                <c:pt idx="14">
                  <c:v>3243</c:v>
                </c:pt>
                <c:pt idx="15">
                  <c:v>2490</c:v>
                </c:pt>
                <c:pt idx="16">
                  <c:v>3616</c:v>
                </c:pt>
                <c:pt idx="17">
                  <c:v>3602</c:v>
                </c:pt>
              </c:numCache>
            </c:numRef>
          </c:yVal>
          <c:smooth val="0"/>
          <c:extLst>
            <c:ext xmlns:c16="http://schemas.microsoft.com/office/drawing/2014/chart" uri="{C3380CC4-5D6E-409C-BE32-E72D297353CC}">
              <c16:uniqueId val="{00000003-035B-408B-8D3F-78909B79B516}"/>
            </c:ext>
          </c:extLst>
        </c:ser>
        <c:ser>
          <c:idx val="2"/>
          <c:order val="2"/>
          <c:tx>
            <c:strRef>
              <c:f>'[1]fruit and veg data'!$B$14</c:f>
              <c:strCache>
                <c:ptCount val="1"/>
                <c:pt idx="0">
                  <c:v>Fresh sweet corn  [114221811]</c:v>
                </c:pt>
              </c:strCache>
            </c:strRef>
          </c:tx>
          <c:spPr>
            <a:ln w="25400" cap="rnd">
              <a:solidFill>
                <a:schemeClr val="bg2">
                  <a:lumMod val="75000"/>
                </a:schemeClr>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0.30615211306728463"/>
                  <c:y val="-0.41560416458744026"/>
                </c:manualLayout>
              </c:layout>
              <c:numFmt formatCode="0.00E+00" sourceLinked="0"/>
              <c:spPr>
                <a:noFill/>
                <a:ln>
                  <a:solidFill>
                    <a:schemeClr val="bg2">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data'!$O$8:$AG$8</c:f>
              <c:numCache>
                <c:formatCode>General</c:formatCode>
                <c:ptCount val="19"/>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numCache>
            </c:numRef>
          </c:xVal>
          <c:yVal>
            <c:numRef>
              <c:f>'[1]fruit and veg data'!$O$14:$AG$14</c:f>
              <c:numCache>
                <c:formatCode>General</c:formatCode>
                <c:ptCount val="19"/>
                <c:pt idx="0">
                  <c:v>18770</c:v>
                </c:pt>
                <c:pt idx="1">
                  <c:v>17282</c:v>
                </c:pt>
                <c:pt idx="2">
                  <c:v>16329</c:v>
                </c:pt>
                <c:pt idx="3">
                  <c:v>12247</c:v>
                </c:pt>
                <c:pt idx="4">
                  <c:v>14742</c:v>
                </c:pt>
                <c:pt idx="5">
                  <c:v>14560</c:v>
                </c:pt>
                <c:pt idx="6">
                  <c:v>14515</c:v>
                </c:pt>
                <c:pt idx="7">
                  <c:v>15422</c:v>
                </c:pt>
                <c:pt idx="8">
                  <c:v>13440</c:v>
                </c:pt>
                <c:pt idx="9">
                  <c:v>12727</c:v>
                </c:pt>
                <c:pt idx="10">
                  <c:v>12793</c:v>
                </c:pt>
                <c:pt idx="11">
                  <c:v>13069</c:v>
                </c:pt>
                <c:pt idx="12">
                  <c:v>15039</c:v>
                </c:pt>
                <c:pt idx="13">
                  <c:v>14114</c:v>
                </c:pt>
                <c:pt idx="14">
                  <c:v>15012</c:v>
                </c:pt>
                <c:pt idx="15">
                  <c:v>14749</c:v>
                </c:pt>
                <c:pt idx="16">
                  <c:v>13203</c:v>
                </c:pt>
                <c:pt idx="17">
                  <c:v>12904</c:v>
                </c:pt>
                <c:pt idx="18">
                  <c:v>13421</c:v>
                </c:pt>
              </c:numCache>
            </c:numRef>
          </c:yVal>
          <c:smooth val="0"/>
          <c:extLst>
            <c:ext xmlns:c16="http://schemas.microsoft.com/office/drawing/2014/chart" uri="{C3380CC4-5D6E-409C-BE32-E72D297353CC}">
              <c16:uniqueId val="{00000005-035B-408B-8D3F-78909B79B516}"/>
            </c:ext>
          </c:extLst>
        </c:ser>
        <c:ser>
          <c:idx val="3"/>
          <c:order val="3"/>
          <c:tx>
            <c:strRef>
              <c:f>'[1]fruit and veg data'!$B$18</c:f>
              <c:strCache>
                <c:ptCount val="1"/>
                <c:pt idx="0">
                  <c:v>Fresh green peas  [114221611]</c:v>
                </c:pt>
              </c:strCache>
            </c:strRef>
          </c:tx>
          <c:spPr>
            <a:ln w="2540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1"/>
            <c:trendlineLbl>
              <c:layout>
                <c:manualLayout>
                  <c:x val="-0.30615211306728463"/>
                  <c:y val="-0.55125794704665521"/>
                </c:manualLayout>
              </c:layout>
              <c:numFmt formatCode="0.00E+00" sourceLinked="0"/>
              <c:spPr>
                <a:noFill/>
                <a:ln>
                  <a:solidFill>
                    <a:schemeClr val="accent4"/>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data'!$O$8:$AG$8</c:f>
              <c:numCache>
                <c:formatCode>General</c:formatCode>
                <c:ptCount val="19"/>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numCache>
            </c:numRef>
          </c:xVal>
          <c:yVal>
            <c:numRef>
              <c:f>'[1]fruit and veg data'!$O$18:$AG$18</c:f>
              <c:numCache>
                <c:formatCode>General</c:formatCode>
                <c:ptCount val="19"/>
                <c:pt idx="0">
                  <c:v>5352</c:v>
                </c:pt>
                <c:pt idx="1">
                  <c:v>5790</c:v>
                </c:pt>
                <c:pt idx="2">
                  <c:v>6690</c:v>
                </c:pt>
                <c:pt idx="3">
                  <c:v>7682</c:v>
                </c:pt>
                <c:pt idx="4">
                  <c:v>6804</c:v>
                </c:pt>
                <c:pt idx="5">
                  <c:v>5557</c:v>
                </c:pt>
                <c:pt idx="6">
                  <c:v>5579</c:v>
                </c:pt>
                <c:pt idx="7">
                  <c:v>7023</c:v>
                </c:pt>
                <c:pt idx="8">
                  <c:v>2590</c:v>
                </c:pt>
                <c:pt idx="9">
                  <c:v>3713</c:v>
                </c:pt>
                <c:pt idx="10">
                  <c:v>4211</c:v>
                </c:pt>
                <c:pt idx="11">
                  <c:v>3432</c:v>
                </c:pt>
                <c:pt idx="12">
                  <c:v>4701</c:v>
                </c:pt>
                <c:pt idx="13">
                  <c:v>5271</c:v>
                </c:pt>
                <c:pt idx="14">
                  <c:v>4569</c:v>
                </c:pt>
                <c:pt idx="15">
                  <c:v>4309</c:v>
                </c:pt>
                <c:pt idx="16">
                  <c:v>4138</c:v>
                </c:pt>
                <c:pt idx="17">
                  <c:v>2818</c:v>
                </c:pt>
                <c:pt idx="18">
                  <c:v>4284</c:v>
                </c:pt>
              </c:numCache>
            </c:numRef>
          </c:yVal>
          <c:smooth val="0"/>
          <c:extLst>
            <c:ext xmlns:c16="http://schemas.microsoft.com/office/drawing/2014/chart" uri="{C3380CC4-5D6E-409C-BE32-E72D297353CC}">
              <c16:uniqueId val="{00000007-035B-408B-8D3F-78909B79B516}"/>
            </c:ext>
          </c:extLst>
        </c:ser>
        <c:ser>
          <c:idx val="4"/>
          <c:order val="4"/>
          <c:tx>
            <c:strRef>
              <c:f>'[1]fruit and veg data'!$B$19</c:f>
              <c:strCache>
                <c:ptCount val="1"/>
                <c:pt idx="0">
                  <c:v>Fresh pumpkins  [114221551]</c:v>
                </c:pt>
              </c:strCache>
            </c:strRef>
          </c:tx>
          <c:spPr>
            <a:ln w="25400" cap="rnd">
              <a:solidFill>
                <a:srgbClr val="00B0F0"/>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1"/>
            <c:trendlineLbl>
              <c:layout>
                <c:manualLayout>
                  <c:x val="-0.14931566655966089"/>
                  <c:y val="-0.63692522652332118"/>
                </c:manualLayout>
              </c:layout>
              <c:numFmt formatCode="0.00E+00" sourceLinked="0"/>
              <c:spPr>
                <a:noFill/>
                <a:ln>
                  <a:solidFill>
                    <a:srgbClr val="00B0F0"/>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data'!$T$8:$AG$8</c:f>
              <c:numCache>
                <c:formatCode>General</c:formatCode>
                <c:ptCount val="14"/>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numCache>
            </c:numRef>
          </c:xVal>
          <c:yVal>
            <c:numRef>
              <c:f>'[1]fruit and veg data'!$T$19:$AG$19</c:f>
              <c:numCache>
                <c:formatCode>General</c:formatCode>
                <c:ptCount val="14"/>
                <c:pt idx="0">
                  <c:v>1814</c:v>
                </c:pt>
                <c:pt idx="1">
                  <c:v>1724</c:v>
                </c:pt>
                <c:pt idx="2">
                  <c:v>2034</c:v>
                </c:pt>
                <c:pt idx="3">
                  <c:v>2344</c:v>
                </c:pt>
                <c:pt idx="4">
                  <c:v>2654</c:v>
                </c:pt>
                <c:pt idx="5">
                  <c:v>2709</c:v>
                </c:pt>
                <c:pt idx="6">
                  <c:v>1013</c:v>
                </c:pt>
                <c:pt idx="7">
                  <c:v>1575</c:v>
                </c:pt>
                <c:pt idx="8">
                  <c:v>2155</c:v>
                </c:pt>
                <c:pt idx="9">
                  <c:v>2937</c:v>
                </c:pt>
                <c:pt idx="10">
                  <c:v>3263</c:v>
                </c:pt>
                <c:pt idx="11">
                  <c:v>2826</c:v>
                </c:pt>
                <c:pt idx="12">
                  <c:v>2473</c:v>
                </c:pt>
                <c:pt idx="13">
                  <c:v>2315</c:v>
                </c:pt>
              </c:numCache>
            </c:numRef>
          </c:yVal>
          <c:smooth val="0"/>
          <c:extLst>
            <c:ext xmlns:c16="http://schemas.microsoft.com/office/drawing/2014/chart" uri="{C3380CC4-5D6E-409C-BE32-E72D297353CC}">
              <c16:uniqueId val="{00000009-035B-408B-8D3F-78909B79B516}"/>
            </c:ext>
          </c:extLst>
        </c:ser>
        <c:ser>
          <c:idx val="5"/>
          <c:order val="5"/>
          <c:tx>
            <c:strRef>
              <c:f>'[1]fruit and veg data'!$B$20</c:f>
              <c:strCache>
                <c:ptCount val="1"/>
                <c:pt idx="0">
                  <c:v>Fresh French shallots and green onions  [11422123]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1"/>
            <c:trendlineLbl>
              <c:layout>
                <c:manualLayout>
                  <c:x val="9.8768288804768952E-3"/>
                  <c:y val="-0.68051016779948015"/>
                </c:manualLayout>
              </c:layout>
              <c:numFmt formatCode="0.00E+00" sourceLinked="0"/>
              <c:spPr>
                <a:noFill/>
                <a:ln>
                  <a:solidFill>
                    <a:schemeClr val="accent6">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data'!$X$8:$AG$8</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'[1]fruit and veg data'!$X$20:$AG$20</c:f>
              <c:numCache>
                <c:formatCode>General</c:formatCode>
                <c:ptCount val="10"/>
                <c:pt idx="0">
                  <c:v>819</c:v>
                </c:pt>
                <c:pt idx="1">
                  <c:v>844</c:v>
                </c:pt>
                <c:pt idx="2">
                  <c:v>779</c:v>
                </c:pt>
                <c:pt idx="3">
                  <c:v>927</c:v>
                </c:pt>
                <c:pt idx="4">
                  <c:v>1124</c:v>
                </c:pt>
                <c:pt idx="5">
                  <c:v>1339</c:v>
                </c:pt>
                <c:pt idx="6">
                  <c:v>1360</c:v>
                </c:pt>
                <c:pt idx="7">
                  <c:v>802</c:v>
                </c:pt>
                <c:pt idx="8">
                  <c:v>725</c:v>
                </c:pt>
                <c:pt idx="9">
                  <c:v>977</c:v>
                </c:pt>
              </c:numCache>
            </c:numRef>
          </c:yVal>
          <c:smooth val="0"/>
          <c:extLst>
            <c:ext xmlns:c16="http://schemas.microsoft.com/office/drawing/2014/chart" uri="{C3380CC4-5D6E-409C-BE32-E72D297353CC}">
              <c16:uniqueId val="{0000000B-035B-408B-8D3F-78909B79B516}"/>
            </c:ext>
          </c:extLst>
        </c:ser>
        <c:ser>
          <c:idx val="6"/>
          <c:order val="6"/>
          <c:tx>
            <c:strRef>
              <c:f>'[1]fruit and veg data'!$B$22</c:f>
              <c:strCache>
                <c:ptCount val="1"/>
                <c:pt idx="0">
                  <c:v>Fresh radishes   [11422113] 8</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trendline>
            <c:spPr>
              <a:ln w="19050" cap="rnd">
                <a:solidFill>
                  <a:schemeClr val="accent1">
                    <a:lumMod val="60000"/>
                  </a:schemeClr>
                </a:solidFill>
                <a:prstDash val="sysDot"/>
              </a:ln>
              <a:effectLst/>
            </c:spPr>
            <c:trendlineType val="linear"/>
            <c:dispRSqr val="0"/>
            <c:dispEq val="1"/>
            <c:trendlineLbl>
              <c:layout>
                <c:manualLayout>
                  <c:x val="1.5416727721793691E-2"/>
                  <c:y val="-0.73594412818580346"/>
                </c:manualLayout>
              </c:layout>
              <c:numFmt formatCode="0.00E+00" sourceLinked="0"/>
              <c:spPr>
                <a:noFill/>
                <a:ln>
                  <a:solidFill>
                    <a:schemeClr val="accent1">
                      <a:lumMod val="50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data'!$X$8:$AG$8</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'[1]fruit and veg data'!$X$22:$AG$22</c:f>
              <c:numCache>
                <c:formatCode>General</c:formatCode>
                <c:ptCount val="10"/>
                <c:pt idx="0">
                  <c:v>866</c:v>
                </c:pt>
                <c:pt idx="1">
                  <c:v>1395</c:v>
                </c:pt>
                <c:pt idx="2">
                  <c:v>1134</c:v>
                </c:pt>
                <c:pt idx="3">
                  <c:v>1139</c:v>
                </c:pt>
                <c:pt idx="4">
                  <c:v>471</c:v>
                </c:pt>
                <c:pt idx="5">
                  <c:v>945</c:v>
                </c:pt>
                <c:pt idx="6">
                  <c:v>1247</c:v>
                </c:pt>
                <c:pt idx="7">
                  <c:v>1061</c:v>
                </c:pt>
                <c:pt idx="8">
                  <c:v>979</c:v>
                </c:pt>
                <c:pt idx="9">
                  <c:v>828</c:v>
                </c:pt>
              </c:numCache>
            </c:numRef>
          </c:yVal>
          <c:smooth val="0"/>
          <c:extLst>
            <c:ext xmlns:c16="http://schemas.microsoft.com/office/drawing/2014/chart" uri="{C3380CC4-5D6E-409C-BE32-E72D297353CC}">
              <c16:uniqueId val="{0000000D-035B-408B-8D3F-78909B79B516}"/>
            </c:ext>
          </c:extLst>
        </c:ser>
        <c:ser>
          <c:idx val="7"/>
          <c:order val="7"/>
          <c:tx>
            <c:strRef>
              <c:f>'[1]fruit and veg data'!$B$23</c:f>
              <c:strCache>
                <c:ptCount val="1"/>
                <c:pt idx="0">
                  <c:v>Fresh rutabagas and turnips  [11422112]</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trendline>
            <c:spPr>
              <a:ln w="19050" cap="rnd">
                <a:solidFill>
                  <a:schemeClr val="accent2">
                    <a:lumMod val="60000"/>
                  </a:schemeClr>
                </a:solidFill>
                <a:prstDash val="sysDot"/>
              </a:ln>
              <a:effectLst/>
            </c:spPr>
            <c:trendlineType val="linear"/>
            <c:dispRSqr val="0"/>
            <c:dispEq val="1"/>
            <c:trendlineLbl>
              <c:layout>
                <c:manualLayout>
                  <c:x val="-0.14377576771834411"/>
                  <c:y val="-0.59070426630852546"/>
                </c:manualLayout>
              </c:layout>
              <c:numFmt formatCode="0.00E+00" sourceLinked="0"/>
              <c:spPr>
                <a:noFill/>
                <a:ln>
                  <a:solidFill>
                    <a:schemeClr val="accent2">
                      <a:lumMod val="50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data'!$X$8:$AG$8</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'[1]fruit and veg data'!$X$23:$AG$23</c:f>
              <c:numCache>
                <c:formatCode>General</c:formatCode>
                <c:ptCount val="10"/>
                <c:pt idx="0">
                  <c:v>2649</c:v>
                </c:pt>
                <c:pt idx="1">
                  <c:v>1349</c:v>
                </c:pt>
                <c:pt idx="2">
                  <c:v>1821</c:v>
                </c:pt>
                <c:pt idx="3">
                  <c:v>2213</c:v>
                </c:pt>
                <c:pt idx="4">
                  <c:v>1639</c:v>
                </c:pt>
                <c:pt idx="5">
                  <c:v>3103</c:v>
                </c:pt>
                <c:pt idx="6">
                  <c:v>2222</c:v>
                </c:pt>
                <c:pt idx="7">
                  <c:v>2682</c:v>
                </c:pt>
                <c:pt idx="8">
                  <c:v>2066</c:v>
                </c:pt>
                <c:pt idx="9">
                  <c:v>1177</c:v>
                </c:pt>
              </c:numCache>
            </c:numRef>
          </c:yVal>
          <c:smooth val="0"/>
          <c:extLst>
            <c:ext xmlns:c16="http://schemas.microsoft.com/office/drawing/2014/chart" uri="{C3380CC4-5D6E-409C-BE32-E72D297353CC}">
              <c16:uniqueId val="{0000000F-035B-408B-8D3F-78909B79B516}"/>
            </c:ext>
          </c:extLst>
        </c:ser>
        <c:ser>
          <c:idx val="8"/>
          <c:order val="8"/>
          <c:tx>
            <c:strRef>
              <c:f>'[1]fruit and veg data'!$B$16</c:f>
              <c:strCache>
                <c:ptCount val="1"/>
                <c:pt idx="0">
                  <c:v>Fresh dry onions  [114221211]</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trendline>
            <c:spPr>
              <a:ln w="19050" cap="rnd">
                <a:solidFill>
                  <a:schemeClr val="accent3">
                    <a:lumMod val="60000"/>
                  </a:schemeClr>
                </a:solidFill>
                <a:prstDash val="sysDot"/>
              </a:ln>
              <a:effectLst/>
            </c:spPr>
            <c:trendlineType val="exp"/>
            <c:dispRSqr val="0"/>
            <c:dispEq val="1"/>
            <c:trendlineLbl>
              <c:layout>
                <c:manualLayout>
                  <c:x val="-0.32304857692702327"/>
                  <c:y val="-0.12590696297376999"/>
                </c:manualLayout>
              </c:layout>
              <c:numFmt formatCode="0.00E+00" sourceLinked="0"/>
              <c:spPr>
                <a:noFill/>
                <a:ln>
                  <a:solidFill>
                    <a:schemeClr val="tx1">
                      <a:lumMod val="85000"/>
                      <a:lumOff val="1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data'!$Q$8:$AG$8</c:f>
              <c:numCache>
                <c:formatCode>General</c:formatCode>
                <c:ptCount val="17"/>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numCache>
            </c:numRef>
          </c:xVal>
          <c:yVal>
            <c:numRef>
              <c:f>'[1]fruit and veg data'!$Q$16:$AG$16</c:f>
              <c:numCache>
                <c:formatCode>General</c:formatCode>
                <c:ptCount val="17"/>
                <c:pt idx="0">
                  <c:v>11113</c:v>
                </c:pt>
                <c:pt idx="1">
                  <c:v>15195</c:v>
                </c:pt>
                <c:pt idx="2">
                  <c:v>17237</c:v>
                </c:pt>
                <c:pt idx="3">
                  <c:v>11499</c:v>
                </c:pt>
                <c:pt idx="4">
                  <c:v>5761</c:v>
                </c:pt>
                <c:pt idx="5">
                  <c:v>8683</c:v>
                </c:pt>
                <c:pt idx="6">
                  <c:v>11606</c:v>
                </c:pt>
                <c:pt idx="7">
                  <c:v>14528</c:v>
                </c:pt>
                <c:pt idx="8">
                  <c:v>13597</c:v>
                </c:pt>
                <c:pt idx="9">
                  <c:v>6070</c:v>
                </c:pt>
                <c:pt idx="10">
                  <c:v>19115</c:v>
                </c:pt>
                <c:pt idx="11">
                  <c:v>16794</c:v>
                </c:pt>
                <c:pt idx="12">
                  <c:v>17661</c:v>
                </c:pt>
                <c:pt idx="13">
                  <c:v>23743</c:v>
                </c:pt>
                <c:pt idx="14">
                  <c:v>25178</c:v>
                </c:pt>
                <c:pt idx="15">
                  <c:v>23551</c:v>
                </c:pt>
                <c:pt idx="16">
                  <c:v>23097</c:v>
                </c:pt>
              </c:numCache>
            </c:numRef>
          </c:yVal>
          <c:smooth val="0"/>
          <c:extLst>
            <c:ext xmlns:c16="http://schemas.microsoft.com/office/drawing/2014/chart" uri="{C3380CC4-5D6E-409C-BE32-E72D297353CC}">
              <c16:uniqueId val="{00000011-035B-408B-8D3F-78909B79B516}"/>
            </c:ext>
          </c:extLst>
        </c:ser>
        <c:dLbls>
          <c:showLegendKey val="0"/>
          <c:showVal val="0"/>
          <c:showCatName val="0"/>
          <c:showSerName val="0"/>
          <c:showPercent val="0"/>
          <c:showBubbleSize val="0"/>
        </c:dLbls>
        <c:axId val="1784639359"/>
        <c:axId val="1784643519"/>
      </c:scatterChart>
      <c:valAx>
        <c:axId val="1784639359"/>
        <c:scaling>
          <c:orientation val="minMax"/>
          <c:max val="202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643519"/>
        <c:crosses val="autoZero"/>
        <c:crossBetween val="midCat"/>
      </c:valAx>
      <c:valAx>
        <c:axId val="1784643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CA" b="1">
                    <a:solidFill>
                      <a:schemeClr val="tx1"/>
                    </a:solidFill>
                  </a:rPr>
                  <a:t>Annual Production (Tonnes)</a:t>
                </a:r>
              </a:p>
            </c:rich>
          </c:tx>
          <c:layout>
            <c:manualLayout>
              <c:xMode val="edge"/>
              <c:yMode val="edge"/>
              <c:x val="1.2372953380827396E-2"/>
              <c:y val="0.2411914632539803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639359"/>
        <c:crosses val="autoZero"/>
        <c:crossBetween val="midCat"/>
      </c:valAx>
      <c:spPr>
        <a:noFill/>
        <a:ln>
          <a:noFill/>
        </a:ln>
        <a:effectLst/>
      </c:spPr>
    </c:plotArea>
    <c:legend>
      <c:legendPos val="r"/>
      <c:legendEntry>
        <c:idx val="9"/>
        <c:delete val="1"/>
      </c:legendEntry>
      <c:legendEntry>
        <c:idx val="10"/>
        <c:delete val="1"/>
      </c:legendEntry>
      <c:legendEntry>
        <c:idx val="11"/>
        <c:delete val="1"/>
      </c:legendEntry>
      <c:legendEntry>
        <c:idx val="12"/>
        <c:delete val="1"/>
      </c:legendEntry>
      <c:legendEntry>
        <c:idx val="13"/>
        <c:delete val="1"/>
      </c:legendEntry>
      <c:legendEntry>
        <c:idx val="14"/>
        <c:delete val="1"/>
      </c:legendEntry>
      <c:legendEntry>
        <c:idx val="15"/>
        <c:delete val="1"/>
      </c:legendEntry>
      <c:legendEntry>
        <c:idx val="16"/>
        <c:delete val="1"/>
      </c:legendEntry>
      <c:legendEntry>
        <c:idx val="17"/>
        <c:delete val="1"/>
      </c:legendEntry>
      <c:layout>
        <c:manualLayout>
          <c:xMode val="edge"/>
          <c:yMode val="edge"/>
          <c:x val="0.73654042876934578"/>
          <c:y val="0.12573424678210743"/>
          <c:w val="0.26345964967213331"/>
          <c:h val="0.874265641608424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AB Veg Production (Small)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0204974378202731E-2"/>
          <c:y val="0.11782030578853327"/>
          <c:w val="0.512047869016373"/>
          <c:h val="0.79107212767391788"/>
        </c:manualLayout>
      </c:layout>
      <c:scatterChart>
        <c:scatterStyle val="lineMarker"/>
        <c:varyColors val="0"/>
        <c:ser>
          <c:idx val="0"/>
          <c:order val="0"/>
          <c:tx>
            <c:strRef>
              <c:f>'[1]fruit and veg data'!$B$10</c:f>
              <c:strCache>
                <c:ptCount val="1"/>
                <c:pt idx="0">
                  <c:v>Fresh green and wax beans  [114221621]</c:v>
                </c:pt>
              </c:strCache>
            </c:strRef>
          </c:tx>
          <c:spPr>
            <a:ln w="2540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3584239470066242"/>
                  <c:y val="-6.5758574133093106E-2"/>
                </c:manualLayout>
              </c:layout>
              <c:numFmt formatCode="General" sourceLinked="0"/>
              <c:spPr>
                <a:noFill/>
                <a:ln>
                  <a:solidFill>
                    <a:schemeClr val="accent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data'!$O$8:$AG$8</c:f>
              <c:numCache>
                <c:formatCode>General</c:formatCode>
                <c:ptCount val="19"/>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numCache>
            </c:numRef>
          </c:xVal>
          <c:yVal>
            <c:numRef>
              <c:f>'[1]fruit and veg data'!$O$10:$AG$10</c:f>
              <c:numCache>
                <c:formatCode>General</c:formatCode>
                <c:ptCount val="19"/>
                <c:pt idx="0">
                  <c:v>308</c:v>
                </c:pt>
                <c:pt idx="1">
                  <c:v>329</c:v>
                </c:pt>
                <c:pt idx="2">
                  <c:v>363</c:v>
                </c:pt>
                <c:pt idx="3">
                  <c:v>272</c:v>
                </c:pt>
                <c:pt idx="4">
                  <c:v>226.5</c:v>
                </c:pt>
                <c:pt idx="5">
                  <c:v>181</c:v>
                </c:pt>
                <c:pt idx="6">
                  <c:v>209</c:v>
                </c:pt>
                <c:pt idx="7">
                  <c:v>207</c:v>
                </c:pt>
                <c:pt idx="8">
                  <c:v>206</c:v>
                </c:pt>
                <c:pt idx="9">
                  <c:v>204</c:v>
                </c:pt>
                <c:pt idx="10">
                  <c:v>211</c:v>
                </c:pt>
                <c:pt idx="11">
                  <c:v>205</c:v>
                </c:pt>
                <c:pt idx="12">
                  <c:v>217</c:v>
                </c:pt>
                <c:pt idx="13">
                  <c:v>219</c:v>
                </c:pt>
                <c:pt idx="14">
                  <c:v>233</c:v>
                </c:pt>
                <c:pt idx="15">
                  <c:v>129</c:v>
                </c:pt>
                <c:pt idx="16">
                  <c:v>145</c:v>
                </c:pt>
                <c:pt idx="17">
                  <c:v>161</c:v>
                </c:pt>
                <c:pt idx="18">
                  <c:v>129</c:v>
                </c:pt>
              </c:numCache>
            </c:numRef>
          </c:yVal>
          <c:smooth val="0"/>
          <c:extLst>
            <c:ext xmlns:c16="http://schemas.microsoft.com/office/drawing/2014/chart" uri="{C3380CC4-5D6E-409C-BE32-E72D297353CC}">
              <c16:uniqueId val="{00000001-1006-4659-9401-DEC471C3220E}"/>
            </c:ext>
          </c:extLst>
        </c:ser>
        <c:ser>
          <c:idx val="1"/>
          <c:order val="1"/>
          <c:tx>
            <c:strRef>
              <c:f>'[1]fruit and veg data'!$B$13</c:f>
              <c:strCache>
                <c:ptCount val="1"/>
                <c:pt idx="0">
                  <c:v>Fresh cauliflowers  [114221831]</c:v>
                </c:pt>
              </c:strCache>
            </c:strRef>
          </c:tx>
          <c:spPr>
            <a:ln w="2540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1485408073990751"/>
                  <c:y val="-4.4624208887671171E-2"/>
                </c:manualLayout>
              </c:layout>
              <c:numFmt formatCode="General" sourceLinked="0"/>
              <c:spPr>
                <a:noFill/>
                <a:ln>
                  <a:solidFill>
                    <a:schemeClr val="accent2"/>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data'!$W$8:$AG$8</c:f>
              <c:numCache>
                <c:formatCode>General</c:formatCode>
                <c:ptCount val="11"/>
                <c:pt idx="0">
                  <c:v>2010</c:v>
                </c:pt>
                <c:pt idx="1">
                  <c:v>2011</c:v>
                </c:pt>
                <c:pt idx="2">
                  <c:v>2012</c:v>
                </c:pt>
                <c:pt idx="3">
                  <c:v>2013</c:v>
                </c:pt>
                <c:pt idx="4">
                  <c:v>2014</c:v>
                </c:pt>
                <c:pt idx="5">
                  <c:v>2015</c:v>
                </c:pt>
                <c:pt idx="6">
                  <c:v>2016</c:v>
                </c:pt>
                <c:pt idx="7">
                  <c:v>2017</c:v>
                </c:pt>
                <c:pt idx="8">
                  <c:v>2018</c:v>
                </c:pt>
                <c:pt idx="9">
                  <c:v>2019</c:v>
                </c:pt>
                <c:pt idx="10">
                  <c:v>2020</c:v>
                </c:pt>
              </c:numCache>
            </c:numRef>
          </c:xVal>
          <c:yVal>
            <c:numRef>
              <c:f>'[1]fruit and veg data'!$W$13:$AG$13</c:f>
              <c:numCache>
                <c:formatCode>General</c:formatCode>
                <c:ptCount val="11"/>
                <c:pt idx="0">
                  <c:v>44</c:v>
                </c:pt>
                <c:pt idx="1">
                  <c:v>335</c:v>
                </c:pt>
                <c:pt idx="2">
                  <c:v>360</c:v>
                </c:pt>
                <c:pt idx="3">
                  <c:v>377</c:v>
                </c:pt>
                <c:pt idx="4">
                  <c:v>331</c:v>
                </c:pt>
                <c:pt idx="5">
                  <c:v>187</c:v>
                </c:pt>
                <c:pt idx="6">
                  <c:v>134</c:v>
                </c:pt>
                <c:pt idx="7">
                  <c:v>82</c:v>
                </c:pt>
                <c:pt idx="8">
                  <c:v>117</c:v>
                </c:pt>
                <c:pt idx="9">
                  <c:v>79</c:v>
                </c:pt>
                <c:pt idx="10">
                  <c:v>74</c:v>
                </c:pt>
              </c:numCache>
            </c:numRef>
          </c:yVal>
          <c:smooth val="0"/>
          <c:extLst>
            <c:ext xmlns:c16="http://schemas.microsoft.com/office/drawing/2014/chart" uri="{C3380CC4-5D6E-409C-BE32-E72D297353CC}">
              <c16:uniqueId val="{00000003-1006-4659-9401-DEC471C3220E}"/>
            </c:ext>
          </c:extLst>
        </c:ser>
        <c:ser>
          <c:idx val="2"/>
          <c:order val="2"/>
          <c:tx>
            <c:strRef>
              <c:f>'[1]fruit and veg data'!$B$15</c:f>
              <c:strCache>
                <c:ptCount val="1"/>
                <c:pt idx="0">
                  <c:v>Fresh cucumbers and fresh gherkins (all varieties) 6</c:v>
                </c:pt>
              </c:strCache>
            </c:strRef>
          </c:tx>
          <c:spPr>
            <a:ln w="25400" cap="rnd">
              <a:solidFill>
                <a:schemeClr val="bg2">
                  <a:lumMod val="75000"/>
                </a:schemeClr>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0.14619160104986878"/>
                  <c:y val="4.3407660113466209E-2"/>
                </c:manualLayout>
              </c:layout>
              <c:numFmt formatCode="General" sourceLinked="0"/>
              <c:spPr>
                <a:noFill/>
                <a:ln>
                  <a:solidFill>
                    <a:schemeClr val="bg2">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data'!$P$8:$AG$8</c:f>
              <c:numCache>
                <c:formatCode>General</c:formatCod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numCache>
            </c:numRef>
          </c:xVal>
          <c:yVal>
            <c:numRef>
              <c:f>'[1]fruit and veg data'!$P$15:$AG$15</c:f>
              <c:numCache>
                <c:formatCode>General</c:formatCode>
                <c:ptCount val="18"/>
                <c:pt idx="0">
                  <c:v>295</c:v>
                </c:pt>
                <c:pt idx="1">
                  <c:v>159</c:v>
                </c:pt>
                <c:pt idx="2">
                  <c:v>159</c:v>
                </c:pt>
                <c:pt idx="3">
                  <c:v>177</c:v>
                </c:pt>
                <c:pt idx="4">
                  <c:v>52</c:v>
                </c:pt>
                <c:pt idx="5">
                  <c:v>156</c:v>
                </c:pt>
                <c:pt idx="6">
                  <c:v>96</c:v>
                </c:pt>
                <c:pt idx="7">
                  <c:v>36</c:v>
                </c:pt>
                <c:pt idx="8">
                  <c:v>168</c:v>
                </c:pt>
                <c:pt idx="9">
                  <c:v>138</c:v>
                </c:pt>
                <c:pt idx="10">
                  <c:v>313</c:v>
                </c:pt>
                <c:pt idx="11">
                  <c:v>326</c:v>
                </c:pt>
                <c:pt idx="12">
                  <c:v>261</c:v>
                </c:pt>
                <c:pt idx="13">
                  <c:v>308</c:v>
                </c:pt>
                <c:pt idx="14">
                  <c:v>210</c:v>
                </c:pt>
                <c:pt idx="15">
                  <c:v>259</c:v>
                </c:pt>
                <c:pt idx="16">
                  <c:v>238</c:v>
                </c:pt>
                <c:pt idx="17">
                  <c:v>205</c:v>
                </c:pt>
              </c:numCache>
            </c:numRef>
          </c:yVal>
          <c:smooth val="0"/>
          <c:extLst>
            <c:ext xmlns:c16="http://schemas.microsoft.com/office/drawing/2014/chart" uri="{C3380CC4-5D6E-409C-BE32-E72D297353CC}">
              <c16:uniqueId val="{00000005-1006-4659-9401-DEC471C3220E}"/>
            </c:ext>
          </c:extLst>
        </c:ser>
        <c:ser>
          <c:idx val="3"/>
          <c:order val="3"/>
          <c:tx>
            <c:strRef>
              <c:f>'[1]fruit and veg data'!$B$17</c:f>
              <c:strCache>
                <c:ptCount val="1"/>
                <c:pt idx="0">
                  <c:v>Fresh parsnips  [114221151]</c:v>
                </c:pt>
              </c:strCache>
            </c:strRef>
          </c:tx>
          <c:spPr>
            <a:ln w="2540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1"/>
            <c:trendlineLbl>
              <c:layout>
                <c:manualLayout>
                  <c:x val="0.15171541057367829"/>
                  <c:y val="2.3692086371870574E-2"/>
                </c:manualLayout>
              </c:layout>
              <c:numFmt formatCode="General" sourceLinked="0"/>
              <c:spPr>
                <a:noFill/>
                <a:ln>
                  <a:solidFill>
                    <a:schemeClr val="accent4"/>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data'!$X$8:$AG$8</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'[1]fruit and veg data'!$X$17:$AG$17</c:f>
              <c:numCache>
                <c:formatCode>General</c:formatCode>
                <c:ptCount val="10"/>
                <c:pt idx="0">
                  <c:v>193</c:v>
                </c:pt>
                <c:pt idx="1">
                  <c:v>150</c:v>
                </c:pt>
                <c:pt idx="2">
                  <c:v>180</c:v>
                </c:pt>
                <c:pt idx="3">
                  <c:v>116</c:v>
                </c:pt>
                <c:pt idx="4">
                  <c:v>125</c:v>
                </c:pt>
                <c:pt idx="5">
                  <c:v>115</c:v>
                </c:pt>
                <c:pt idx="6">
                  <c:v>167</c:v>
                </c:pt>
                <c:pt idx="7">
                  <c:v>123</c:v>
                </c:pt>
                <c:pt idx="8">
                  <c:v>79</c:v>
                </c:pt>
                <c:pt idx="9">
                  <c:v>39.5</c:v>
                </c:pt>
              </c:numCache>
            </c:numRef>
          </c:yVal>
          <c:smooth val="0"/>
          <c:extLst>
            <c:ext xmlns:c16="http://schemas.microsoft.com/office/drawing/2014/chart" uri="{C3380CC4-5D6E-409C-BE32-E72D297353CC}">
              <c16:uniqueId val="{00000007-1006-4659-9401-DEC471C3220E}"/>
            </c:ext>
          </c:extLst>
        </c:ser>
        <c:ser>
          <c:idx val="4"/>
          <c:order val="4"/>
          <c:tx>
            <c:strRef>
              <c:f>'[1]fruit and veg data'!$B$21</c:f>
              <c:strCache>
                <c:ptCount val="1"/>
                <c:pt idx="0">
                  <c:v>Fresh squash and zucchini  [114221561]</c:v>
                </c:pt>
              </c:strCache>
            </c:strRef>
          </c:tx>
          <c:spPr>
            <a:ln w="25400" cap="rnd">
              <a:solidFill>
                <a:srgbClr val="00B0F0"/>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1"/>
            <c:trendlineLbl>
              <c:layout>
                <c:manualLayout>
                  <c:x val="0.14896937882764655"/>
                  <c:y val="4.1536760244645671E-2"/>
                </c:manualLayout>
              </c:layout>
              <c:numFmt formatCode="General" sourceLinked="0"/>
              <c:spPr>
                <a:noFill/>
                <a:ln>
                  <a:solidFill>
                    <a:schemeClr val="accent5">
                      <a:lumMod val="60000"/>
                      <a:lumOff val="40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data'!$U$8:$AG$8</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xVal>
          <c:yVal>
            <c:numRef>
              <c:f>'[1]fruit and veg data'!$U$21:$AG$21</c:f>
              <c:numCache>
                <c:formatCode>General</c:formatCode>
                <c:ptCount val="13"/>
                <c:pt idx="0">
                  <c:v>295</c:v>
                </c:pt>
                <c:pt idx="1">
                  <c:v>315</c:v>
                </c:pt>
                <c:pt idx="2">
                  <c:v>334</c:v>
                </c:pt>
                <c:pt idx="3">
                  <c:v>354</c:v>
                </c:pt>
                <c:pt idx="4">
                  <c:v>344</c:v>
                </c:pt>
                <c:pt idx="5">
                  <c:v>356</c:v>
                </c:pt>
                <c:pt idx="6">
                  <c:v>445</c:v>
                </c:pt>
                <c:pt idx="7">
                  <c:v>354</c:v>
                </c:pt>
                <c:pt idx="8">
                  <c:v>421</c:v>
                </c:pt>
                <c:pt idx="9">
                  <c:v>338</c:v>
                </c:pt>
                <c:pt idx="10">
                  <c:v>271</c:v>
                </c:pt>
                <c:pt idx="11">
                  <c:v>257.5</c:v>
                </c:pt>
                <c:pt idx="12">
                  <c:v>244</c:v>
                </c:pt>
              </c:numCache>
            </c:numRef>
          </c:yVal>
          <c:smooth val="0"/>
          <c:extLst>
            <c:ext xmlns:c16="http://schemas.microsoft.com/office/drawing/2014/chart" uri="{C3380CC4-5D6E-409C-BE32-E72D297353CC}">
              <c16:uniqueId val="{00000009-1006-4659-9401-DEC471C3220E}"/>
            </c:ext>
          </c:extLst>
        </c:ser>
        <c:dLbls>
          <c:showLegendKey val="0"/>
          <c:showVal val="0"/>
          <c:showCatName val="0"/>
          <c:showSerName val="0"/>
          <c:showPercent val="0"/>
          <c:showBubbleSize val="0"/>
        </c:dLbls>
        <c:axId val="1784639359"/>
        <c:axId val="1784643519"/>
      </c:scatterChart>
      <c:valAx>
        <c:axId val="1784639359"/>
        <c:scaling>
          <c:orientation val="minMax"/>
          <c:max val="202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643519"/>
        <c:crosses val="autoZero"/>
        <c:crossBetween val="midCat"/>
      </c:valAx>
      <c:valAx>
        <c:axId val="1784643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CA" b="1">
                    <a:solidFill>
                      <a:schemeClr val="tx1"/>
                    </a:solidFill>
                  </a:rPr>
                  <a:t>Annual Production (Tonnes)</a:t>
                </a:r>
              </a:p>
            </c:rich>
          </c:tx>
          <c:layout>
            <c:manualLayout>
              <c:xMode val="edge"/>
              <c:yMode val="edge"/>
              <c:x val="1.2372953380827396E-2"/>
              <c:y val="0.2411914632539803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639359"/>
        <c:crosses val="autoZero"/>
        <c:crossBetween val="midCat"/>
      </c:valAx>
      <c:spPr>
        <a:noFill/>
        <a:ln>
          <a:noFill/>
        </a:ln>
        <a:effectLst/>
      </c:spPr>
    </c:plotArea>
    <c:legend>
      <c:legendPos val="r"/>
      <c:legendEntry>
        <c:idx val="5"/>
        <c:delete val="1"/>
      </c:legendEntry>
      <c:legendEntry>
        <c:idx val="6"/>
        <c:delete val="1"/>
      </c:legendEntry>
      <c:legendEntry>
        <c:idx val="7"/>
        <c:delete val="1"/>
      </c:legendEntry>
      <c:legendEntry>
        <c:idx val="8"/>
        <c:delete val="1"/>
      </c:legendEntry>
      <c:legendEntry>
        <c:idx val="9"/>
        <c:delete val="1"/>
      </c:legendEntry>
      <c:layout>
        <c:manualLayout>
          <c:xMode val="edge"/>
          <c:yMode val="edge"/>
          <c:x val="0.7412698412698413"/>
          <c:y val="0.1649278215223097"/>
          <c:w val="0.22486776652918383"/>
          <c:h val="0.520618862752641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AB Veg Production (Large)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491949737186889"/>
          <c:y val="0.11782030578853327"/>
          <c:w val="0.47733333995983096"/>
          <c:h val="0.79107212767391788"/>
        </c:manualLayout>
      </c:layout>
      <c:scatterChart>
        <c:scatterStyle val="lineMarker"/>
        <c:varyColors val="0"/>
        <c:ser>
          <c:idx val="0"/>
          <c:order val="0"/>
          <c:tx>
            <c:strRef>
              <c:f>'[1]fruit and veg data'!$B$11</c:f>
              <c:strCache>
                <c:ptCount val="1"/>
                <c:pt idx="0">
                  <c:v>Fresh cabbage  [11422132] 4</c:v>
                </c:pt>
              </c:strCache>
            </c:strRef>
          </c:tx>
          <c:spPr>
            <a:ln w="2540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4772374160525953"/>
                  <c:y val="-0.66376552608760797"/>
                </c:manualLayout>
              </c:layout>
              <c:numFmt formatCode="0.00E+00" sourceLinked="0"/>
              <c:spPr>
                <a:noFill/>
                <a:ln>
                  <a:solidFill>
                    <a:schemeClr val="accent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data'!$O$8:$AG$8</c:f>
              <c:numCache>
                <c:formatCode>General</c:formatCode>
                <c:ptCount val="19"/>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numCache>
            </c:numRef>
          </c:xVal>
          <c:yVal>
            <c:numRef>
              <c:f>'[1]fruit and veg data'!$O$11:$AG$11</c:f>
              <c:numCache>
                <c:formatCode>General</c:formatCode>
                <c:ptCount val="19"/>
                <c:pt idx="0">
                  <c:v>2200</c:v>
                </c:pt>
                <c:pt idx="1">
                  <c:v>3595</c:v>
                </c:pt>
                <c:pt idx="2">
                  <c:v>4990</c:v>
                </c:pt>
                <c:pt idx="3">
                  <c:v>2005</c:v>
                </c:pt>
                <c:pt idx="4">
                  <c:v>2359</c:v>
                </c:pt>
                <c:pt idx="5">
                  <c:v>2713</c:v>
                </c:pt>
                <c:pt idx="6">
                  <c:v>3066</c:v>
                </c:pt>
                <c:pt idx="7">
                  <c:v>3420</c:v>
                </c:pt>
                <c:pt idx="8">
                  <c:v>3774</c:v>
                </c:pt>
                <c:pt idx="9">
                  <c:v>3043</c:v>
                </c:pt>
                <c:pt idx="10">
                  <c:v>2527</c:v>
                </c:pt>
                <c:pt idx="11">
                  <c:v>3519</c:v>
                </c:pt>
                <c:pt idx="12">
                  <c:v>4669</c:v>
                </c:pt>
                <c:pt idx="13">
                  <c:v>4405</c:v>
                </c:pt>
                <c:pt idx="14">
                  <c:v>4022</c:v>
                </c:pt>
                <c:pt idx="15">
                  <c:v>4027</c:v>
                </c:pt>
                <c:pt idx="16">
                  <c:v>3643</c:v>
                </c:pt>
                <c:pt idx="17">
                  <c:v>3037</c:v>
                </c:pt>
                <c:pt idx="18">
                  <c:v>2594</c:v>
                </c:pt>
              </c:numCache>
            </c:numRef>
          </c:yVal>
          <c:smooth val="0"/>
          <c:extLst>
            <c:ext xmlns:c16="http://schemas.microsoft.com/office/drawing/2014/chart" uri="{C3380CC4-5D6E-409C-BE32-E72D297353CC}">
              <c16:uniqueId val="{00000001-E669-4893-A728-F4BAF674D6C5}"/>
            </c:ext>
          </c:extLst>
        </c:ser>
        <c:ser>
          <c:idx val="1"/>
          <c:order val="1"/>
          <c:tx>
            <c:strRef>
              <c:f>'[1]fruit and veg data'!$B$12</c:f>
              <c:strCache>
                <c:ptCount val="1"/>
                <c:pt idx="0">
                  <c:v>Fresh carrots  [11422111] 5</c:v>
                </c:pt>
              </c:strCache>
            </c:strRef>
          </c:tx>
          <c:spPr>
            <a:ln w="2540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30615211306728463"/>
                  <c:y val="-0.51424720697919513"/>
                </c:manualLayout>
              </c:layout>
              <c:numFmt formatCode="0.00E+00" sourceLinked="0"/>
              <c:spPr>
                <a:noFill/>
                <a:ln>
                  <a:solidFill>
                    <a:schemeClr val="accent2"/>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data'!$P$8:$AG$8</c:f>
              <c:numCache>
                <c:formatCode>General</c:formatCod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numCache>
            </c:numRef>
          </c:xVal>
          <c:yVal>
            <c:numRef>
              <c:f>'[1]fruit and veg data'!$P$12:$AG$12</c:f>
              <c:numCache>
                <c:formatCode>General</c:formatCode>
                <c:ptCount val="18"/>
                <c:pt idx="0">
                  <c:v>2155</c:v>
                </c:pt>
                <c:pt idx="1">
                  <c:v>4201.5</c:v>
                </c:pt>
                <c:pt idx="2">
                  <c:v>6248</c:v>
                </c:pt>
                <c:pt idx="3">
                  <c:v>6302</c:v>
                </c:pt>
                <c:pt idx="4">
                  <c:v>6355</c:v>
                </c:pt>
                <c:pt idx="5">
                  <c:v>4526</c:v>
                </c:pt>
                <c:pt idx="6">
                  <c:v>2697</c:v>
                </c:pt>
                <c:pt idx="7">
                  <c:v>1528</c:v>
                </c:pt>
                <c:pt idx="8">
                  <c:v>2244</c:v>
                </c:pt>
                <c:pt idx="9">
                  <c:v>2357</c:v>
                </c:pt>
                <c:pt idx="10">
                  <c:v>2446</c:v>
                </c:pt>
                <c:pt idx="11">
                  <c:v>3921</c:v>
                </c:pt>
                <c:pt idx="12">
                  <c:v>4517</c:v>
                </c:pt>
                <c:pt idx="13">
                  <c:v>2394</c:v>
                </c:pt>
                <c:pt idx="14">
                  <c:v>3243</c:v>
                </c:pt>
                <c:pt idx="15">
                  <c:v>2490</c:v>
                </c:pt>
                <c:pt idx="16">
                  <c:v>3616</c:v>
                </c:pt>
                <c:pt idx="17">
                  <c:v>3602</c:v>
                </c:pt>
              </c:numCache>
            </c:numRef>
          </c:yVal>
          <c:smooth val="0"/>
          <c:extLst>
            <c:ext xmlns:c16="http://schemas.microsoft.com/office/drawing/2014/chart" uri="{C3380CC4-5D6E-409C-BE32-E72D297353CC}">
              <c16:uniqueId val="{00000003-E669-4893-A728-F4BAF674D6C5}"/>
            </c:ext>
          </c:extLst>
        </c:ser>
        <c:ser>
          <c:idx val="2"/>
          <c:order val="2"/>
          <c:tx>
            <c:strRef>
              <c:f>'[1]fruit and veg data'!$B$14</c:f>
              <c:strCache>
                <c:ptCount val="1"/>
                <c:pt idx="0">
                  <c:v>Fresh sweet corn  [114221811]</c:v>
                </c:pt>
              </c:strCache>
            </c:strRef>
          </c:tx>
          <c:spPr>
            <a:ln w="25400" cap="rnd">
              <a:solidFill>
                <a:schemeClr val="bg2">
                  <a:lumMod val="75000"/>
                </a:schemeClr>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0.30615211306728463"/>
                  <c:y val="-0.41560416458744026"/>
                </c:manualLayout>
              </c:layout>
              <c:numFmt formatCode="0.00E+00" sourceLinked="0"/>
              <c:spPr>
                <a:noFill/>
                <a:ln>
                  <a:solidFill>
                    <a:schemeClr val="bg2">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data'!$O$8:$AG$8</c:f>
              <c:numCache>
                <c:formatCode>General</c:formatCode>
                <c:ptCount val="19"/>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numCache>
            </c:numRef>
          </c:xVal>
          <c:yVal>
            <c:numRef>
              <c:f>'[1]fruit and veg data'!$O$14:$AG$14</c:f>
              <c:numCache>
                <c:formatCode>General</c:formatCode>
                <c:ptCount val="19"/>
                <c:pt idx="0">
                  <c:v>18770</c:v>
                </c:pt>
                <c:pt idx="1">
                  <c:v>17282</c:v>
                </c:pt>
                <c:pt idx="2">
                  <c:v>16329</c:v>
                </c:pt>
                <c:pt idx="3">
                  <c:v>12247</c:v>
                </c:pt>
                <c:pt idx="4">
                  <c:v>14742</c:v>
                </c:pt>
                <c:pt idx="5">
                  <c:v>14560</c:v>
                </c:pt>
                <c:pt idx="6">
                  <c:v>14515</c:v>
                </c:pt>
                <c:pt idx="7">
                  <c:v>15422</c:v>
                </c:pt>
                <c:pt idx="8">
                  <c:v>13440</c:v>
                </c:pt>
                <c:pt idx="9">
                  <c:v>12727</c:v>
                </c:pt>
                <c:pt idx="10">
                  <c:v>12793</c:v>
                </c:pt>
                <c:pt idx="11">
                  <c:v>13069</c:v>
                </c:pt>
                <c:pt idx="12">
                  <c:v>15039</c:v>
                </c:pt>
                <c:pt idx="13">
                  <c:v>14114</c:v>
                </c:pt>
                <c:pt idx="14">
                  <c:v>15012</c:v>
                </c:pt>
                <c:pt idx="15">
                  <c:v>14749</c:v>
                </c:pt>
                <c:pt idx="16">
                  <c:v>13203</c:v>
                </c:pt>
                <c:pt idx="17">
                  <c:v>12904</c:v>
                </c:pt>
                <c:pt idx="18">
                  <c:v>13421</c:v>
                </c:pt>
              </c:numCache>
            </c:numRef>
          </c:yVal>
          <c:smooth val="0"/>
          <c:extLst>
            <c:ext xmlns:c16="http://schemas.microsoft.com/office/drawing/2014/chart" uri="{C3380CC4-5D6E-409C-BE32-E72D297353CC}">
              <c16:uniqueId val="{00000005-E669-4893-A728-F4BAF674D6C5}"/>
            </c:ext>
          </c:extLst>
        </c:ser>
        <c:ser>
          <c:idx val="3"/>
          <c:order val="3"/>
          <c:tx>
            <c:strRef>
              <c:f>'[1]fruit and veg data'!$B$18</c:f>
              <c:strCache>
                <c:ptCount val="1"/>
                <c:pt idx="0">
                  <c:v>Fresh green peas  [114221611]</c:v>
                </c:pt>
              </c:strCache>
            </c:strRef>
          </c:tx>
          <c:spPr>
            <a:ln w="2540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1"/>
            <c:trendlineLbl>
              <c:layout>
                <c:manualLayout>
                  <c:x val="-0.30615211306728463"/>
                  <c:y val="-0.55125794704665521"/>
                </c:manualLayout>
              </c:layout>
              <c:numFmt formatCode="0.00E+00" sourceLinked="0"/>
              <c:spPr>
                <a:noFill/>
                <a:ln>
                  <a:solidFill>
                    <a:schemeClr val="accent4"/>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data'!$O$8:$AG$8</c:f>
              <c:numCache>
                <c:formatCode>General</c:formatCode>
                <c:ptCount val="19"/>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numCache>
            </c:numRef>
          </c:xVal>
          <c:yVal>
            <c:numRef>
              <c:f>'[1]fruit and veg data'!$O$18:$AG$18</c:f>
              <c:numCache>
                <c:formatCode>General</c:formatCode>
                <c:ptCount val="19"/>
                <c:pt idx="0">
                  <c:v>5352</c:v>
                </c:pt>
                <c:pt idx="1">
                  <c:v>5790</c:v>
                </c:pt>
                <c:pt idx="2">
                  <c:v>6690</c:v>
                </c:pt>
                <c:pt idx="3">
                  <c:v>7682</c:v>
                </c:pt>
                <c:pt idx="4">
                  <c:v>6804</c:v>
                </c:pt>
                <c:pt idx="5">
                  <c:v>5557</c:v>
                </c:pt>
                <c:pt idx="6">
                  <c:v>5579</c:v>
                </c:pt>
                <c:pt idx="7">
                  <c:v>7023</c:v>
                </c:pt>
                <c:pt idx="8">
                  <c:v>2590</c:v>
                </c:pt>
                <c:pt idx="9">
                  <c:v>3713</c:v>
                </c:pt>
                <c:pt idx="10">
                  <c:v>4211</c:v>
                </c:pt>
                <c:pt idx="11">
                  <c:v>3432</c:v>
                </c:pt>
                <c:pt idx="12">
                  <c:v>4701</c:v>
                </c:pt>
                <c:pt idx="13">
                  <c:v>5271</c:v>
                </c:pt>
                <c:pt idx="14">
                  <c:v>4569</c:v>
                </c:pt>
                <c:pt idx="15">
                  <c:v>4309</c:v>
                </c:pt>
                <c:pt idx="16">
                  <c:v>4138</c:v>
                </c:pt>
                <c:pt idx="17">
                  <c:v>2818</c:v>
                </c:pt>
                <c:pt idx="18">
                  <c:v>4284</c:v>
                </c:pt>
              </c:numCache>
            </c:numRef>
          </c:yVal>
          <c:smooth val="0"/>
          <c:extLst>
            <c:ext xmlns:c16="http://schemas.microsoft.com/office/drawing/2014/chart" uri="{C3380CC4-5D6E-409C-BE32-E72D297353CC}">
              <c16:uniqueId val="{00000007-E669-4893-A728-F4BAF674D6C5}"/>
            </c:ext>
          </c:extLst>
        </c:ser>
        <c:ser>
          <c:idx val="4"/>
          <c:order val="4"/>
          <c:tx>
            <c:strRef>
              <c:f>'[1]fruit and veg data'!$B$19</c:f>
              <c:strCache>
                <c:ptCount val="1"/>
                <c:pt idx="0">
                  <c:v>Fresh pumpkins  [114221551]</c:v>
                </c:pt>
              </c:strCache>
            </c:strRef>
          </c:tx>
          <c:spPr>
            <a:ln w="25400" cap="rnd">
              <a:solidFill>
                <a:srgbClr val="00B0F0"/>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1"/>
            <c:trendlineLbl>
              <c:layout>
                <c:manualLayout>
                  <c:x val="-0.14931566655966089"/>
                  <c:y val="-0.63692522652332118"/>
                </c:manualLayout>
              </c:layout>
              <c:numFmt formatCode="0.00E+00" sourceLinked="0"/>
              <c:spPr>
                <a:noFill/>
                <a:ln>
                  <a:solidFill>
                    <a:srgbClr val="00B0F0"/>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data'!$T$8:$AG$8</c:f>
              <c:numCache>
                <c:formatCode>General</c:formatCode>
                <c:ptCount val="14"/>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numCache>
            </c:numRef>
          </c:xVal>
          <c:yVal>
            <c:numRef>
              <c:f>'[1]fruit and veg data'!$T$19:$AG$19</c:f>
              <c:numCache>
                <c:formatCode>General</c:formatCode>
                <c:ptCount val="14"/>
                <c:pt idx="0">
                  <c:v>1814</c:v>
                </c:pt>
                <c:pt idx="1">
                  <c:v>1724</c:v>
                </c:pt>
                <c:pt idx="2">
                  <c:v>2034</c:v>
                </c:pt>
                <c:pt idx="3">
                  <c:v>2344</c:v>
                </c:pt>
                <c:pt idx="4">
                  <c:v>2654</c:v>
                </c:pt>
                <c:pt idx="5">
                  <c:v>2709</c:v>
                </c:pt>
                <c:pt idx="6">
                  <c:v>1013</c:v>
                </c:pt>
                <c:pt idx="7">
                  <c:v>1575</c:v>
                </c:pt>
                <c:pt idx="8">
                  <c:v>2155</c:v>
                </c:pt>
                <c:pt idx="9">
                  <c:v>2937</c:v>
                </c:pt>
                <c:pt idx="10">
                  <c:v>3263</c:v>
                </c:pt>
                <c:pt idx="11">
                  <c:v>2826</c:v>
                </c:pt>
                <c:pt idx="12">
                  <c:v>2473</c:v>
                </c:pt>
                <c:pt idx="13">
                  <c:v>2315</c:v>
                </c:pt>
              </c:numCache>
            </c:numRef>
          </c:yVal>
          <c:smooth val="0"/>
          <c:extLst>
            <c:ext xmlns:c16="http://schemas.microsoft.com/office/drawing/2014/chart" uri="{C3380CC4-5D6E-409C-BE32-E72D297353CC}">
              <c16:uniqueId val="{00000009-E669-4893-A728-F4BAF674D6C5}"/>
            </c:ext>
          </c:extLst>
        </c:ser>
        <c:ser>
          <c:idx val="5"/>
          <c:order val="5"/>
          <c:tx>
            <c:strRef>
              <c:f>'[1]fruit and veg data'!$B$20</c:f>
              <c:strCache>
                <c:ptCount val="1"/>
                <c:pt idx="0">
                  <c:v>Fresh French shallots and green onions  [11422123]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1"/>
            <c:trendlineLbl>
              <c:layout>
                <c:manualLayout>
                  <c:x val="9.8768288804768952E-3"/>
                  <c:y val="-0.68051016779948015"/>
                </c:manualLayout>
              </c:layout>
              <c:numFmt formatCode="0.00E+00" sourceLinked="0"/>
              <c:spPr>
                <a:noFill/>
                <a:ln>
                  <a:solidFill>
                    <a:schemeClr val="accent6">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data'!$X$8:$AG$8</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'[1]fruit and veg data'!$X$20:$AG$20</c:f>
              <c:numCache>
                <c:formatCode>General</c:formatCode>
                <c:ptCount val="10"/>
                <c:pt idx="0">
                  <c:v>819</c:v>
                </c:pt>
                <c:pt idx="1">
                  <c:v>844</c:v>
                </c:pt>
                <c:pt idx="2">
                  <c:v>779</c:v>
                </c:pt>
                <c:pt idx="3">
                  <c:v>927</c:v>
                </c:pt>
                <c:pt idx="4">
                  <c:v>1124</c:v>
                </c:pt>
                <c:pt idx="5">
                  <c:v>1339</c:v>
                </c:pt>
                <c:pt idx="6">
                  <c:v>1360</c:v>
                </c:pt>
                <c:pt idx="7">
                  <c:v>802</c:v>
                </c:pt>
                <c:pt idx="8">
                  <c:v>725</c:v>
                </c:pt>
                <c:pt idx="9">
                  <c:v>977</c:v>
                </c:pt>
              </c:numCache>
            </c:numRef>
          </c:yVal>
          <c:smooth val="0"/>
          <c:extLst>
            <c:ext xmlns:c16="http://schemas.microsoft.com/office/drawing/2014/chart" uri="{C3380CC4-5D6E-409C-BE32-E72D297353CC}">
              <c16:uniqueId val="{0000000B-E669-4893-A728-F4BAF674D6C5}"/>
            </c:ext>
          </c:extLst>
        </c:ser>
        <c:ser>
          <c:idx val="6"/>
          <c:order val="6"/>
          <c:tx>
            <c:strRef>
              <c:f>'[1]fruit and veg data'!$B$22</c:f>
              <c:strCache>
                <c:ptCount val="1"/>
                <c:pt idx="0">
                  <c:v>Fresh radishes   [11422113] 8</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trendline>
            <c:spPr>
              <a:ln w="19050" cap="rnd">
                <a:solidFill>
                  <a:schemeClr val="accent1">
                    <a:lumMod val="60000"/>
                  </a:schemeClr>
                </a:solidFill>
                <a:prstDash val="sysDot"/>
              </a:ln>
              <a:effectLst/>
            </c:spPr>
            <c:trendlineType val="linear"/>
            <c:dispRSqr val="0"/>
            <c:dispEq val="1"/>
            <c:trendlineLbl>
              <c:layout>
                <c:manualLayout>
                  <c:x val="1.5416727721793691E-2"/>
                  <c:y val="-0.73594412818580346"/>
                </c:manualLayout>
              </c:layout>
              <c:numFmt formatCode="0.00E+00" sourceLinked="0"/>
              <c:spPr>
                <a:noFill/>
                <a:ln>
                  <a:solidFill>
                    <a:schemeClr val="accent1">
                      <a:lumMod val="50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data'!$X$8:$AG$8</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'[1]fruit and veg data'!$X$22:$AG$22</c:f>
              <c:numCache>
                <c:formatCode>General</c:formatCode>
                <c:ptCount val="10"/>
                <c:pt idx="0">
                  <c:v>866</c:v>
                </c:pt>
                <c:pt idx="1">
                  <c:v>1395</c:v>
                </c:pt>
                <c:pt idx="2">
                  <c:v>1134</c:v>
                </c:pt>
                <c:pt idx="3">
                  <c:v>1139</c:v>
                </c:pt>
                <c:pt idx="4">
                  <c:v>471</c:v>
                </c:pt>
                <c:pt idx="5">
                  <c:v>945</c:v>
                </c:pt>
                <c:pt idx="6">
                  <c:v>1247</c:v>
                </c:pt>
                <c:pt idx="7">
                  <c:v>1061</c:v>
                </c:pt>
                <c:pt idx="8">
                  <c:v>979</c:v>
                </c:pt>
                <c:pt idx="9">
                  <c:v>828</c:v>
                </c:pt>
              </c:numCache>
            </c:numRef>
          </c:yVal>
          <c:smooth val="0"/>
          <c:extLst>
            <c:ext xmlns:c16="http://schemas.microsoft.com/office/drawing/2014/chart" uri="{C3380CC4-5D6E-409C-BE32-E72D297353CC}">
              <c16:uniqueId val="{0000000D-E669-4893-A728-F4BAF674D6C5}"/>
            </c:ext>
          </c:extLst>
        </c:ser>
        <c:ser>
          <c:idx val="7"/>
          <c:order val="7"/>
          <c:tx>
            <c:strRef>
              <c:f>'[1]fruit and veg data'!$B$23</c:f>
              <c:strCache>
                <c:ptCount val="1"/>
                <c:pt idx="0">
                  <c:v>Fresh rutabagas and turnips  [11422112]</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trendline>
            <c:spPr>
              <a:ln w="19050" cap="rnd">
                <a:solidFill>
                  <a:schemeClr val="accent2">
                    <a:lumMod val="60000"/>
                  </a:schemeClr>
                </a:solidFill>
                <a:prstDash val="sysDot"/>
              </a:ln>
              <a:effectLst/>
            </c:spPr>
            <c:trendlineType val="linear"/>
            <c:dispRSqr val="0"/>
            <c:dispEq val="1"/>
            <c:trendlineLbl>
              <c:layout>
                <c:manualLayout>
                  <c:x val="-0.14377576771834411"/>
                  <c:y val="-0.59070426630852546"/>
                </c:manualLayout>
              </c:layout>
              <c:numFmt formatCode="0.00E+00" sourceLinked="0"/>
              <c:spPr>
                <a:noFill/>
                <a:ln>
                  <a:solidFill>
                    <a:schemeClr val="accent2">
                      <a:lumMod val="50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data'!$X$8:$AG$8</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xVal>
          <c:yVal>
            <c:numRef>
              <c:f>'[1]fruit and veg data'!$X$23:$AG$23</c:f>
              <c:numCache>
                <c:formatCode>General</c:formatCode>
                <c:ptCount val="10"/>
                <c:pt idx="0">
                  <c:v>2649</c:v>
                </c:pt>
                <c:pt idx="1">
                  <c:v>1349</c:v>
                </c:pt>
                <c:pt idx="2">
                  <c:v>1821</c:v>
                </c:pt>
                <c:pt idx="3">
                  <c:v>2213</c:v>
                </c:pt>
                <c:pt idx="4">
                  <c:v>1639</c:v>
                </c:pt>
                <c:pt idx="5">
                  <c:v>3103</c:v>
                </c:pt>
                <c:pt idx="6">
                  <c:v>2222</c:v>
                </c:pt>
                <c:pt idx="7">
                  <c:v>2682</c:v>
                </c:pt>
                <c:pt idx="8">
                  <c:v>2066</c:v>
                </c:pt>
                <c:pt idx="9">
                  <c:v>1177</c:v>
                </c:pt>
              </c:numCache>
            </c:numRef>
          </c:yVal>
          <c:smooth val="0"/>
          <c:extLst>
            <c:ext xmlns:c16="http://schemas.microsoft.com/office/drawing/2014/chart" uri="{C3380CC4-5D6E-409C-BE32-E72D297353CC}">
              <c16:uniqueId val="{0000000F-E669-4893-A728-F4BAF674D6C5}"/>
            </c:ext>
          </c:extLst>
        </c:ser>
        <c:ser>
          <c:idx val="8"/>
          <c:order val="8"/>
          <c:tx>
            <c:strRef>
              <c:f>'[1]fruit and veg data'!$B$16</c:f>
              <c:strCache>
                <c:ptCount val="1"/>
                <c:pt idx="0">
                  <c:v>Fresh dry onions  [114221211]</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trendline>
            <c:spPr>
              <a:ln w="19050" cap="rnd">
                <a:solidFill>
                  <a:schemeClr val="accent3">
                    <a:lumMod val="60000"/>
                  </a:schemeClr>
                </a:solidFill>
                <a:prstDash val="sysDot"/>
              </a:ln>
              <a:effectLst/>
            </c:spPr>
            <c:trendlineType val="exp"/>
            <c:dispRSqr val="0"/>
            <c:dispEq val="1"/>
            <c:trendlineLbl>
              <c:layout>
                <c:manualLayout>
                  <c:x val="-0.32304857692702327"/>
                  <c:y val="-0.12590696297376999"/>
                </c:manualLayout>
              </c:layout>
              <c:numFmt formatCode="0.00E+00" sourceLinked="0"/>
              <c:spPr>
                <a:noFill/>
                <a:ln>
                  <a:solidFill>
                    <a:schemeClr val="tx1">
                      <a:lumMod val="85000"/>
                      <a:lumOff val="1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'[1]fruit and veg data'!$Q$8:$AG$8</c:f>
              <c:numCache>
                <c:formatCode>General</c:formatCode>
                <c:ptCount val="17"/>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numCache>
            </c:numRef>
          </c:xVal>
          <c:yVal>
            <c:numRef>
              <c:f>'[1]fruit and veg data'!$Q$16:$AG$16</c:f>
              <c:numCache>
                <c:formatCode>General</c:formatCode>
                <c:ptCount val="17"/>
                <c:pt idx="0">
                  <c:v>11113</c:v>
                </c:pt>
                <c:pt idx="1">
                  <c:v>15195</c:v>
                </c:pt>
                <c:pt idx="2">
                  <c:v>17237</c:v>
                </c:pt>
                <c:pt idx="3">
                  <c:v>11499</c:v>
                </c:pt>
                <c:pt idx="4">
                  <c:v>5761</c:v>
                </c:pt>
                <c:pt idx="5">
                  <c:v>8683</c:v>
                </c:pt>
                <c:pt idx="6">
                  <c:v>11606</c:v>
                </c:pt>
                <c:pt idx="7">
                  <c:v>14528</c:v>
                </c:pt>
                <c:pt idx="8">
                  <c:v>13597</c:v>
                </c:pt>
                <c:pt idx="9">
                  <c:v>6070</c:v>
                </c:pt>
                <c:pt idx="10">
                  <c:v>19115</c:v>
                </c:pt>
                <c:pt idx="11">
                  <c:v>16794</c:v>
                </c:pt>
                <c:pt idx="12">
                  <c:v>17661</c:v>
                </c:pt>
                <c:pt idx="13">
                  <c:v>23743</c:v>
                </c:pt>
                <c:pt idx="14">
                  <c:v>25178</c:v>
                </c:pt>
                <c:pt idx="15">
                  <c:v>23551</c:v>
                </c:pt>
                <c:pt idx="16">
                  <c:v>23097</c:v>
                </c:pt>
              </c:numCache>
            </c:numRef>
          </c:yVal>
          <c:smooth val="0"/>
          <c:extLst>
            <c:ext xmlns:c16="http://schemas.microsoft.com/office/drawing/2014/chart" uri="{C3380CC4-5D6E-409C-BE32-E72D297353CC}">
              <c16:uniqueId val="{00000011-E669-4893-A728-F4BAF674D6C5}"/>
            </c:ext>
          </c:extLst>
        </c:ser>
        <c:dLbls>
          <c:showLegendKey val="0"/>
          <c:showVal val="0"/>
          <c:showCatName val="0"/>
          <c:showSerName val="0"/>
          <c:showPercent val="0"/>
          <c:showBubbleSize val="0"/>
        </c:dLbls>
        <c:axId val="1784639359"/>
        <c:axId val="1784643519"/>
      </c:scatterChart>
      <c:valAx>
        <c:axId val="1784639359"/>
        <c:scaling>
          <c:orientation val="minMax"/>
          <c:max val="202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643519"/>
        <c:crosses val="autoZero"/>
        <c:crossBetween val="midCat"/>
      </c:valAx>
      <c:valAx>
        <c:axId val="1784643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CA" b="1">
                    <a:solidFill>
                      <a:schemeClr val="tx1"/>
                    </a:solidFill>
                  </a:rPr>
                  <a:t>Annual Production (Tonnes)</a:t>
                </a:r>
              </a:p>
            </c:rich>
          </c:tx>
          <c:layout>
            <c:manualLayout>
              <c:xMode val="edge"/>
              <c:yMode val="edge"/>
              <c:x val="1.2372953380827396E-2"/>
              <c:y val="0.2411914632539803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639359"/>
        <c:crosses val="autoZero"/>
        <c:crossBetween val="midCat"/>
      </c:valAx>
      <c:spPr>
        <a:noFill/>
        <a:ln>
          <a:noFill/>
        </a:ln>
        <a:effectLst/>
      </c:spPr>
    </c:plotArea>
    <c:legend>
      <c:legendPos val="r"/>
      <c:legendEntry>
        <c:idx val="9"/>
        <c:delete val="1"/>
      </c:legendEntry>
      <c:legendEntry>
        <c:idx val="10"/>
        <c:delete val="1"/>
      </c:legendEntry>
      <c:legendEntry>
        <c:idx val="11"/>
        <c:delete val="1"/>
      </c:legendEntry>
      <c:legendEntry>
        <c:idx val="12"/>
        <c:delete val="1"/>
      </c:legendEntry>
      <c:legendEntry>
        <c:idx val="13"/>
        <c:delete val="1"/>
      </c:legendEntry>
      <c:legendEntry>
        <c:idx val="14"/>
        <c:delete val="1"/>
      </c:legendEntry>
      <c:legendEntry>
        <c:idx val="15"/>
        <c:delete val="1"/>
      </c:legendEntry>
      <c:legendEntry>
        <c:idx val="16"/>
        <c:delete val="1"/>
      </c:legendEntry>
      <c:legendEntry>
        <c:idx val="17"/>
        <c:delete val="1"/>
      </c:legendEntry>
      <c:layout>
        <c:manualLayout>
          <c:xMode val="edge"/>
          <c:yMode val="edge"/>
          <c:x val="0.73654042876934578"/>
          <c:y val="0.12573424678210743"/>
          <c:w val="0.26345964967213331"/>
          <c:h val="0.874265641608424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CA" b="1">
                <a:solidFill>
                  <a:schemeClr val="tx1"/>
                </a:solidFill>
              </a:rPr>
              <a:t>Annual</a:t>
            </a:r>
            <a:r>
              <a:rPr lang="en-CA" b="1" baseline="0">
                <a:solidFill>
                  <a:schemeClr val="tx1"/>
                </a:solidFill>
              </a:rPr>
              <a:t> AGR Production Per Capita</a:t>
            </a:r>
          </a:p>
        </c:rich>
      </c:tx>
      <c:layout>
        <c:manualLayout>
          <c:xMode val="edge"/>
          <c:yMode val="edge"/>
          <c:x val="0.30364105670223179"/>
          <c:y val="2.37741419079154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0604775033247306"/>
          <c:y val="0.14696382056076399"/>
          <c:w val="0.57873922106969988"/>
          <c:h val="0.7323696173954336"/>
        </c:manualLayout>
      </c:layout>
      <c:lineChart>
        <c:grouping val="standard"/>
        <c:varyColors val="0"/>
        <c:ser>
          <c:idx val="0"/>
          <c:order val="0"/>
          <c:tx>
            <c:strRef>
              <c:f>'Production Forecast'!$A$18</c:f>
              <c:strCache>
                <c:ptCount val="1"/>
                <c:pt idx="0">
                  <c:v>Crop Production (tonnes per capita)</c:v>
                </c:pt>
              </c:strCache>
            </c:strRef>
          </c:tx>
          <c:spPr>
            <a:ln w="28575" cap="rnd">
              <a:solidFill>
                <a:schemeClr val="accent1"/>
              </a:solidFill>
              <a:prstDash val="sysDash"/>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Forecast'!$B$18:$AC$18</c:f>
              <c:numCache>
                <c:formatCode>0.00</c:formatCode>
                <c:ptCount val="28"/>
                <c:pt idx="0">
                  <c:v>6.2427168614208215</c:v>
                </c:pt>
                <c:pt idx="1">
                  <c:v>6.2799298570244035</c:v>
                </c:pt>
                <c:pt idx="2">
                  <c:v>5.2237402847650918</c:v>
                </c:pt>
                <c:pt idx="3">
                  <c:v>6.6652637495662175</c:v>
                </c:pt>
                <c:pt idx="4">
                  <c:v>5.5407306125670566</c:v>
                </c:pt>
                <c:pt idx="5">
                  <c:v>6.2444519900916928</c:v>
                </c:pt>
                <c:pt idx="6">
                  <c:v>6.4217219128400895</c:v>
                </c:pt>
                <c:pt idx="7">
                  <c:v>5.8022942000834581</c:v>
                </c:pt>
                <c:pt idx="8">
                  <c:v>5.477732596417809</c:v>
                </c:pt>
                <c:pt idx="9">
                  <c:v>6.1904616245340653</c:v>
                </c:pt>
                <c:pt idx="10">
                  <c:v>5.1255497492212676</c:v>
                </c:pt>
                <c:pt idx="11">
                  <c:v>4.2534570218269039</c:v>
                </c:pt>
                <c:pt idx="12">
                  <c:v>2.4902652684316928</c:v>
                </c:pt>
                <c:pt idx="13">
                  <c:v>4.7467379936373888</c:v>
                </c:pt>
                <c:pt idx="14">
                  <c:v>5.3058216031623147</c:v>
                </c:pt>
                <c:pt idx="15">
                  <c:v>5.5170006939008989</c:v>
                </c:pt>
                <c:pt idx="16">
                  <c:v>4.7416902747413339</c:v>
                </c:pt>
                <c:pt idx="17">
                  <c:v>4.3778780741394199</c:v>
                </c:pt>
                <c:pt idx="18">
                  <c:v>5.3598867183922412</c:v>
                </c:pt>
                <c:pt idx="19">
                  <c:v>4.2005881644468603</c:v>
                </c:pt>
                <c:pt idx="20">
                  <c:v>4.9324549181426018</c:v>
                </c:pt>
                <c:pt idx="21">
                  <c:v>5.2482969121140144</c:v>
                </c:pt>
                <c:pt idx="22">
                  <c:v>4.8287224157955873</c:v>
                </c:pt>
                <c:pt idx="23">
                  <c:v>6.0293931173072091</c:v>
                </c:pt>
                <c:pt idx="24">
                  <c:v>4.9620761093153103</c:v>
                </c:pt>
                <c:pt idx="25">
                  <c:v>4.6539114489081914</c:v>
                </c:pt>
                <c:pt idx="26">
                  <c:v>5.2626231500679204</c:v>
                </c:pt>
                <c:pt idx="27">
                  <c:v>5.1658039354306586</c:v>
                </c:pt>
              </c:numCache>
            </c:numRef>
          </c:val>
          <c:smooth val="0"/>
          <c:extLst>
            <c:ext xmlns:c16="http://schemas.microsoft.com/office/drawing/2014/chart" uri="{C3380CC4-5D6E-409C-BE32-E72D297353CC}">
              <c16:uniqueId val="{0000001D-687F-4542-880E-33708C5D3201}"/>
            </c:ext>
          </c:extLst>
        </c:ser>
        <c:ser>
          <c:idx val="1"/>
          <c:order val="1"/>
          <c:tx>
            <c:strRef>
              <c:f>'Production Forecast'!$A$19</c:f>
              <c:strCache>
                <c:ptCount val="1"/>
                <c:pt idx="0">
                  <c:v>Grain &amp; Oilseed</c:v>
                </c:pt>
              </c:strCache>
            </c:strRef>
          </c:tx>
          <c:spPr>
            <a:ln w="28575" cap="rnd">
              <a:solidFill>
                <a:schemeClr val="accent2"/>
              </a:solidFill>
              <a:prstDash val="sysDash"/>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Forecast'!$B$19:$AC$19</c:f>
              <c:numCache>
                <c:formatCode>0.00</c:formatCode>
                <c:ptCount val="28"/>
                <c:pt idx="0">
                  <c:v>6.2236732412586919</c:v>
                </c:pt>
                <c:pt idx="1">
                  <c:v>6.2612592803473044</c:v>
                </c:pt>
                <c:pt idx="2">
                  <c:v>5.2053958867644736</c:v>
                </c:pt>
                <c:pt idx="3">
                  <c:v>6.6471912336557075</c:v>
                </c:pt>
                <c:pt idx="4">
                  <c:v>5.5229085620042317</c:v>
                </c:pt>
                <c:pt idx="5">
                  <c:v>6.2268720751254607</c:v>
                </c:pt>
                <c:pt idx="6">
                  <c:v>6.4044137704391115</c:v>
                </c:pt>
                <c:pt idx="7">
                  <c:v>5.7853283992638476</c:v>
                </c:pt>
                <c:pt idx="8">
                  <c:v>5.4611726673349281</c:v>
                </c:pt>
                <c:pt idx="9">
                  <c:v>6.1741962927389649</c:v>
                </c:pt>
                <c:pt idx="10">
                  <c:v>5.1095500363158486</c:v>
                </c:pt>
                <c:pt idx="11">
                  <c:v>4.237718780779077</c:v>
                </c:pt>
                <c:pt idx="12">
                  <c:v>2.4749525455348689</c:v>
                </c:pt>
                <c:pt idx="13">
                  <c:v>4.7321081847349484</c:v>
                </c:pt>
                <c:pt idx="14">
                  <c:v>5.2899792396646852</c:v>
                </c:pt>
                <c:pt idx="15">
                  <c:v>5.5015654163405392</c:v>
                </c:pt>
                <c:pt idx="16">
                  <c:v>4.7255217162565035</c:v>
                </c:pt>
                <c:pt idx="17">
                  <c:v>4.3642279199036267</c:v>
                </c:pt>
                <c:pt idx="18">
                  <c:v>5.3485821815586263</c:v>
                </c:pt>
                <c:pt idx="19">
                  <c:v>4.1884479478119063</c:v>
                </c:pt>
                <c:pt idx="20">
                  <c:v>4.9216526888347056</c:v>
                </c:pt>
                <c:pt idx="21">
                  <c:v>5.2365531802586434</c:v>
                </c:pt>
                <c:pt idx="22">
                  <c:v>4.8176280810427148</c:v>
                </c:pt>
                <c:pt idx="23">
                  <c:v>6.0206731976890229</c:v>
                </c:pt>
                <c:pt idx="24">
                  <c:v>4.9486727397394459</c:v>
                </c:pt>
                <c:pt idx="25">
                  <c:v>4.6414525274460132</c:v>
                </c:pt>
                <c:pt idx="26">
                  <c:v>5.2499463787802956</c:v>
                </c:pt>
                <c:pt idx="27">
                  <c:v>5.1518793448804052</c:v>
                </c:pt>
              </c:numCache>
            </c:numRef>
          </c:val>
          <c:smooth val="0"/>
          <c:extLst>
            <c:ext xmlns:c16="http://schemas.microsoft.com/office/drawing/2014/chart" uri="{C3380CC4-5D6E-409C-BE32-E72D297353CC}">
              <c16:uniqueId val="{0000001E-687F-4542-880E-33708C5D3201}"/>
            </c:ext>
          </c:extLst>
        </c:ser>
        <c:ser>
          <c:idx val="2"/>
          <c:order val="2"/>
          <c:tx>
            <c:strRef>
              <c:f>'Production Forecast'!$A$20</c:f>
              <c:strCache>
                <c:ptCount val="1"/>
                <c:pt idx="0">
                  <c:v>Fruit &amp; Veg.</c:v>
                </c:pt>
              </c:strCache>
            </c:strRef>
          </c:tx>
          <c:spPr>
            <a:ln w="28575" cap="rnd">
              <a:solidFill>
                <a:schemeClr val="accent3"/>
              </a:solidFill>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Forecast'!$B$20:$AC$20</c:f>
              <c:numCache>
                <c:formatCode>0.00</c:formatCode>
                <c:ptCount val="28"/>
                <c:pt idx="0">
                  <c:v>1.1827703874890691E-2</c:v>
                </c:pt>
                <c:pt idx="1">
                  <c:v>1.1528358843439007E-2</c:v>
                </c:pt>
                <c:pt idx="2">
                  <c:v>1.1256846884078221E-2</c:v>
                </c:pt>
                <c:pt idx="3">
                  <c:v>1.1017217987381957E-2</c:v>
                </c:pt>
                <c:pt idx="4">
                  <c:v>1.0788944851637009E-2</c:v>
                </c:pt>
                <c:pt idx="5">
                  <c:v>1.0563920382341467E-2</c:v>
                </c:pt>
                <c:pt idx="6">
                  <c:v>1.0319430744400357E-2</c:v>
                </c:pt>
                <c:pt idx="7">
                  <c:v>1.0031755981239978E-2</c:v>
                </c:pt>
                <c:pt idx="8">
                  <c:v>9.7061937879303201E-3</c:v>
                </c:pt>
                <c:pt idx="9">
                  <c:v>9.4454308813787628E-3</c:v>
                </c:pt>
                <c:pt idx="10">
                  <c:v>9.2004588246180838E-3</c:v>
                </c:pt>
                <c:pt idx="11">
                  <c:v>8.9567689442147432E-3</c:v>
                </c:pt>
                <c:pt idx="12">
                  <c:v>9.5820860273212391E-3</c:v>
                </c:pt>
                <c:pt idx="13">
                  <c:v>8.26883687962871E-3</c:v>
                </c:pt>
                <c:pt idx="14">
                  <c:v>8.4378463722834807E-3</c:v>
                </c:pt>
                <c:pt idx="15">
                  <c:v>7.5903245228490582E-3</c:v>
                </c:pt>
                <c:pt idx="16">
                  <c:v>8.1107347869293252E-3</c:v>
                </c:pt>
                <c:pt idx="17">
                  <c:v>7.6942306707265011E-3</c:v>
                </c:pt>
                <c:pt idx="18">
                  <c:v>6.9778358686281607E-3</c:v>
                </c:pt>
                <c:pt idx="19">
                  <c:v>6.6305517803751015E-3</c:v>
                </c:pt>
                <c:pt idx="20">
                  <c:v>5.7519894965301034E-3</c:v>
                </c:pt>
                <c:pt idx="21">
                  <c:v>5.8218527315914486E-3</c:v>
                </c:pt>
                <c:pt idx="22">
                  <c:v>5.5351658278487547E-3</c:v>
                </c:pt>
                <c:pt idx="23">
                  <c:v>5.1587540818889728E-3</c:v>
                </c:pt>
                <c:pt idx="24">
                  <c:v>6.119845234596924E-3</c:v>
                </c:pt>
                <c:pt idx="25">
                  <c:v>5.7558209675473522E-3</c:v>
                </c:pt>
                <c:pt idx="26">
                  <c:v>6.0694454374299947E-3</c:v>
                </c:pt>
                <c:pt idx="27">
                  <c:v>6.0252150347590433E-3</c:v>
                </c:pt>
              </c:numCache>
            </c:numRef>
          </c:val>
          <c:smooth val="0"/>
          <c:extLst>
            <c:ext xmlns:c16="http://schemas.microsoft.com/office/drawing/2014/chart" uri="{C3380CC4-5D6E-409C-BE32-E72D297353CC}">
              <c16:uniqueId val="{0000001F-687F-4542-880E-33708C5D3201}"/>
            </c:ext>
          </c:extLst>
        </c:ser>
        <c:ser>
          <c:idx val="3"/>
          <c:order val="3"/>
          <c:tx>
            <c:strRef>
              <c:f>'Production Forecast'!$A$21</c:f>
              <c:strCache>
                <c:ptCount val="1"/>
                <c:pt idx="0">
                  <c:v>Greenhouse &amp; Nursery</c:v>
                </c:pt>
              </c:strCache>
            </c:strRef>
          </c:tx>
          <c:spPr>
            <a:ln w="28575" cap="rnd">
              <a:solidFill>
                <a:schemeClr val="accent4"/>
              </a:solidFill>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Forecast'!$B$21:$AC$21</c:f>
              <c:numCache>
                <c:formatCode>0.00</c:formatCode>
                <c:ptCount val="28"/>
                <c:pt idx="0">
                  <c:v>7.2159162872387399E-3</c:v>
                </c:pt>
                <c:pt idx="1">
                  <c:v>7.1422178336601064E-3</c:v>
                </c:pt>
                <c:pt idx="2">
                  <c:v>7.0875511165406123E-3</c:v>
                </c:pt>
                <c:pt idx="3">
                  <c:v>7.0552979231264679E-3</c:v>
                </c:pt>
                <c:pt idx="4">
                  <c:v>7.0331057111872458E-3</c:v>
                </c:pt>
                <c:pt idx="5">
                  <c:v>7.015994583890444E-3</c:v>
                </c:pt>
                <c:pt idx="6">
                  <c:v>6.9887116565771302E-3</c:v>
                </c:pt>
                <c:pt idx="7">
                  <c:v>6.9340448383695521E-3</c:v>
                </c:pt>
                <c:pt idx="8">
                  <c:v>6.8537352949508716E-3</c:v>
                </c:pt>
                <c:pt idx="9">
                  <c:v>6.8199009137228945E-3</c:v>
                </c:pt>
                <c:pt idx="10">
                  <c:v>6.7992540808005106E-3</c:v>
                </c:pt>
                <c:pt idx="11">
                  <c:v>6.7814721036128043E-3</c:v>
                </c:pt>
                <c:pt idx="12">
                  <c:v>5.730636869502286E-3</c:v>
                </c:pt>
                <c:pt idx="13">
                  <c:v>6.3609720228113287E-3</c:v>
                </c:pt>
                <c:pt idx="14">
                  <c:v>7.4045171253466612E-3</c:v>
                </c:pt>
                <c:pt idx="15">
                  <c:v>7.8449530375097835E-3</c:v>
                </c:pt>
                <c:pt idx="16">
                  <c:v>8.0578236979014454E-3</c:v>
                </c:pt>
                <c:pt idx="17">
                  <c:v>5.955923565066446E-3</c:v>
                </c:pt>
                <c:pt idx="18">
                  <c:v>4.3267009649879031E-3</c:v>
                </c:pt>
                <c:pt idx="19">
                  <c:v>5.50966485458005E-3</c:v>
                </c:pt>
                <c:pt idx="20">
                  <c:v>5.0502398113662552E-3</c:v>
                </c:pt>
                <c:pt idx="21">
                  <c:v>5.9218791237793614E-3</c:v>
                </c:pt>
                <c:pt idx="22">
                  <c:v>5.5591689250225835E-3</c:v>
                </c:pt>
                <c:pt idx="23">
                  <c:v>3.5611655362974125E-3</c:v>
                </c:pt>
                <c:pt idx="24">
                  <c:v>7.2835243412675103E-3</c:v>
                </c:pt>
                <c:pt idx="25">
                  <c:v>6.7031004946314391E-3</c:v>
                </c:pt>
                <c:pt idx="26">
                  <c:v>6.6073258501942282E-3</c:v>
                </c:pt>
                <c:pt idx="27">
                  <c:v>7.8993755154942846E-3</c:v>
                </c:pt>
              </c:numCache>
            </c:numRef>
          </c:val>
          <c:smooth val="0"/>
          <c:extLst>
            <c:ext xmlns:c16="http://schemas.microsoft.com/office/drawing/2014/chart" uri="{C3380CC4-5D6E-409C-BE32-E72D297353CC}">
              <c16:uniqueId val="{00000020-687F-4542-880E-33708C5D3201}"/>
            </c:ext>
          </c:extLst>
        </c:ser>
        <c:ser>
          <c:idx val="4"/>
          <c:order val="4"/>
          <c:tx>
            <c:strRef>
              <c:f>'Production Forecast'!$A$22</c:f>
              <c:strCache>
                <c:ptCount val="1"/>
                <c:pt idx="0">
                  <c:v>Livestock Production (tonnes per capita)</c:v>
                </c:pt>
              </c:strCache>
            </c:strRef>
          </c:tx>
          <c:spPr>
            <a:ln w="28575" cap="rnd">
              <a:solidFill>
                <a:schemeClr val="accent5"/>
              </a:solidFill>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Forecast'!$B$22:$AC$22</c:f>
              <c:numCache>
                <c:formatCode>0.00</c:formatCode>
                <c:ptCount val="28"/>
                <c:pt idx="0">
                  <c:v>1.431999444223774</c:v>
                </c:pt>
                <c:pt idx="1">
                  <c:v>1.3987935837821601</c:v>
                </c:pt>
                <c:pt idx="2">
                  <c:v>1.3690793991807559</c:v>
                </c:pt>
                <c:pt idx="3">
                  <c:v>1.3444223579570598</c:v>
                </c:pt>
                <c:pt idx="4">
                  <c:v>1.3222528573216519</c:v>
                </c:pt>
                <c:pt idx="5">
                  <c:v>1.2991648622664536</c:v>
                </c:pt>
                <c:pt idx="6">
                  <c:v>1.2720774103439352</c:v>
                </c:pt>
                <c:pt idx="7">
                  <c:v>1.2411224913846959</c:v>
                </c:pt>
                <c:pt idx="8">
                  <c:v>1.2064164803422901</c:v>
                </c:pt>
                <c:pt idx="9">
                  <c:v>1.1170042608575499</c:v>
                </c:pt>
                <c:pt idx="10">
                  <c:v>1.1033447009817596</c:v>
                </c:pt>
                <c:pt idx="11">
                  <c:v>1.0965755188542889</c:v>
                </c:pt>
                <c:pt idx="12">
                  <c:v>1.0970842656401543</c:v>
                </c:pt>
                <c:pt idx="13">
                  <c:v>0.98927132521399053</c:v>
                </c:pt>
                <c:pt idx="14">
                  <c:v>1.1632705927364457</c:v>
                </c:pt>
                <c:pt idx="15">
                  <c:v>1.0829367481485941</c:v>
                </c:pt>
                <c:pt idx="16">
                  <c:v>0.96128736803647641</c:v>
                </c:pt>
                <c:pt idx="17">
                  <c:v>0.93992833271676979</c:v>
                </c:pt>
                <c:pt idx="18">
                  <c:v>0.95146791679412668</c:v>
                </c:pt>
                <c:pt idx="19">
                  <c:v>0.94598701413427555</c:v>
                </c:pt>
                <c:pt idx="20">
                  <c:v>0.95591734197904654</c:v>
                </c:pt>
                <c:pt idx="21">
                  <c:v>0.82778274946138486</c:v>
                </c:pt>
                <c:pt idx="22">
                  <c:v>0.75752339128282453</c:v>
                </c:pt>
                <c:pt idx="23">
                  <c:v>0.73369927415297476</c:v>
                </c:pt>
                <c:pt idx="24">
                  <c:v>0.74300961203054483</c:v>
                </c:pt>
                <c:pt idx="25">
                  <c:v>0.72313006518356426</c:v>
                </c:pt>
                <c:pt idx="26">
                  <c:v>0.74325497993552925</c:v>
                </c:pt>
                <c:pt idx="27">
                  <c:v>0.7751549654528449</c:v>
                </c:pt>
              </c:numCache>
            </c:numRef>
          </c:val>
          <c:smooth val="0"/>
          <c:extLst>
            <c:ext xmlns:c16="http://schemas.microsoft.com/office/drawing/2014/chart" uri="{C3380CC4-5D6E-409C-BE32-E72D297353CC}">
              <c16:uniqueId val="{00000021-687F-4542-880E-33708C5D3201}"/>
            </c:ext>
          </c:extLst>
        </c:ser>
        <c:ser>
          <c:idx val="5"/>
          <c:order val="5"/>
          <c:tx>
            <c:strRef>
              <c:f>'Production Forecast'!$A$23</c:f>
              <c:strCache>
                <c:ptCount val="1"/>
                <c:pt idx="0">
                  <c:v>Cattle</c:v>
                </c:pt>
              </c:strCache>
            </c:strRef>
          </c:tx>
          <c:spPr>
            <a:ln w="28575" cap="rnd">
              <a:solidFill>
                <a:schemeClr val="accent6"/>
              </a:solidFill>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Forecast'!$B$23:$AC$23</c:f>
              <c:numCache>
                <c:formatCode>0.00</c:formatCode>
                <c:ptCount val="28"/>
                <c:pt idx="0">
                  <c:v>1.0641034497375765</c:v>
                </c:pt>
                <c:pt idx="1">
                  <c:v>1.0345996961778419</c:v>
                </c:pt>
                <c:pt idx="2">
                  <c:v>1.0076788904960432</c:v>
                </c:pt>
                <c:pt idx="3">
                  <c:v>0.98368570070318584</c:v>
                </c:pt>
                <c:pt idx="4">
                  <c:v>0.96077176752180704</c:v>
                </c:pt>
                <c:pt idx="5">
                  <c:v>0.93821070542936458</c:v>
                </c:pt>
                <c:pt idx="6">
                  <c:v>0.91399006822375573</c:v>
                </c:pt>
                <c:pt idx="7">
                  <c:v>0.88603098116930612</c:v>
                </c:pt>
                <c:pt idx="8">
                  <c:v>0.85483462604852789</c:v>
                </c:pt>
                <c:pt idx="9">
                  <c:v>0.78650499273205621</c:v>
                </c:pt>
                <c:pt idx="10">
                  <c:v>0.77721341935518251</c:v>
                </c:pt>
                <c:pt idx="11">
                  <c:v>0.76583965646463603</c:v>
                </c:pt>
                <c:pt idx="12">
                  <c:v>0.75694107462865967</c:v>
                </c:pt>
                <c:pt idx="13">
                  <c:v>0.65081725446235017</c:v>
                </c:pt>
                <c:pt idx="14">
                  <c:v>0.81779632885136955</c:v>
                </c:pt>
                <c:pt idx="15">
                  <c:v>0.74145944969594801</c:v>
                </c:pt>
                <c:pt idx="16">
                  <c:v>0.62892704740749406</c:v>
                </c:pt>
                <c:pt idx="17">
                  <c:v>0.62612276258501476</c:v>
                </c:pt>
                <c:pt idx="18">
                  <c:v>0.64059957173447535</c:v>
                </c:pt>
                <c:pt idx="19">
                  <c:v>0.65128159826039689</c:v>
                </c:pt>
                <c:pt idx="20">
                  <c:v>0.66211060796870391</c:v>
                </c:pt>
                <c:pt idx="21">
                  <c:v>0.54016558266275705</c:v>
                </c:pt>
                <c:pt idx="22">
                  <c:v>0.4736717727514011</c:v>
                </c:pt>
                <c:pt idx="23">
                  <c:v>0.46549601090253512</c:v>
                </c:pt>
                <c:pt idx="24">
                  <c:v>0.47324899982562757</c:v>
                </c:pt>
                <c:pt idx="25">
                  <c:v>0.44230713382875658</c:v>
                </c:pt>
                <c:pt idx="26">
                  <c:v>0.45860933397856929</c:v>
                </c:pt>
                <c:pt idx="27">
                  <c:v>0.48503773863535937</c:v>
                </c:pt>
              </c:numCache>
            </c:numRef>
          </c:val>
          <c:smooth val="0"/>
          <c:extLst>
            <c:ext xmlns:c16="http://schemas.microsoft.com/office/drawing/2014/chart" uri="{C3380CC4-5D6E-409C-BE32-E72D297353CC}">
              <c16:uniqueId val="{00000022-687F-4542-880E-33708C5D3201}"/>
            </c:ext>
          </c:extLst>
        </c:ser>
        <c:ser>
          <c:idx val="6"/>
          <c:order val="6"/>
          <c:tx>
            <c:strRef>
              <c:f>'Production Forecast'!$A$24</c:f>
              <c:strCache>
                <c:ptCount val="1"/>
                <c:pt idx="0">
                  <c:v>Hog</c:v>
                </c:pt>
              </c:strCache>
            </c:strRef>
          </c:tx>
          <c:spPr>
            <a:ln w="28575" cap="rnd">
              <a:solidFill>
                <a:schemeClr val="accent1">
                  <a:lumMod val="60000"/>
                </a:schemeClr>
              </a:solidFill>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Forecast'!$B$24:$AC$24</c:f>
              <c:numCache>
                <c:formatCode>0.00</c:formatCode>
                <c:ptCount val="28"/>
                <c:pt idx="0">
                  <c:v>0.12579932082261161</c:v>
                </c:pt>
                <c:pt idx="1">
                  <c:v>0.12390088207179248</c:v>
                </c:pt>
                <c:pt idx="2">
                  <c:v>0.12225905847747078</c:v>
                </c:pt>
                <c:pt idx="3">
                  <c:v>0.12092676767298069</c:v>
                </c:pt>
                <c:pt idx="4">
                  <c:v>0.11968647036998367</c:v>
                </c:pt>
                <c:pt idx="5">
                  <c:v>0.11845044777527602</c:v>
                </c:pt>
                <c:pt idx="6">
                  <c:v>0.11696160148000116</c:v>
                </c:pt>
                <c:pt idx="7">
                  <c:v>0.11494009572245582</c:v>
                </c:pt>
                <c:pt idx="8">
                  <c:v>0.1124300033183101</c:v>
                </c:pt>
                <c:pt idx="9">
                  <c:v>9.1844169659415872E-2</c:v>
                </c:pt>
                <c:pt idx="10">
                  <c:v>8.8415258914359182E-2</c:v>
                </c:pt>
                <c:pt idx="11">
                  <c:v>9.2115536721685862E-2</c:v>
                </c:pt>
                <c:pt idx="12">
                  <c:v>0.1050340473400246</c:v>
                </c:pt>
                <c:pt idx="13">
                  <c:v>0.11246618315900334</c:v>
                </c:pt>
                <c:pt idx="14">
                  <c:v>0.11800392139667062</c:v>
                </c:pt>
                <c:pt idx="15">
                  <c:v>0.11937151243301826</c:v>
                </c:pt>
                <c:pt idx="16">
                  <c:v>0.12033571082013211</c:v>
                </c:pt>
                <c:pt idx="17">
                  <c:v>0.10606048604194532</c:v>
                </c:pt>
                <c:pt idx="18">
                  <c:v>9.5406847242693077E-2</c:v>
                </c:pt>
                <c:pt idx="19">
                  <c:v>8.9724170970372399E-2</c:v>
                </c:pt>
                <c:pt idx="20">
                  <c:v>9.0587366897993099E-2</c:v>
                </c:pt>
                <c:pt idx="21">
                  <c:v>8.4030996305093697E-2</c:v>
                </c:pt>
                <c:pt idx="22">
                  <c:v>7.8866459156020141E-2</c:v>
                </c:pt>
                <c:pt idx="23">
                  <c:v>7.5224865862848531E-2</c:v>
                </c:pt>
                <c:pt idx="24">
                  <c:v>7.8044479380938378E-2</c:v>
                </c:pt>
                <c:pt idx="25">
                  <c:v>8.1916670044637471E-2</c:v>
                </c:pt>
                <c:pt idx="26">
                  <c:v>7.9281855770834825E-2</c:v>
                </c:pt>
                <c:pt idx="27">
                  <c:v>7.7737587368917171E-2</c:v>
                </c:pt>
              </c:numCache>
            </c:numRef>
          </c:val>
          <c:smooth val="0"/>
          <c:extLst>
            <c:ext xmlns:c16="http://schemas.microsoft.com/office/drawing/2014/chart" uri="{C3380CC4-5D6E-409C-BE32-E72D297353CC}">
              <c16:uniqueId val="{00000023-687F-4542-880E-33708C5D3201}"/>
            </c:ext>
          </c:extLst>
        </c:ser>
        <c:ser>
          <c:idx val="7"/>
          <c:order val="7"/>
          <c:tx>
            <c:strRef>
              <c:f>'Production Forecast'!$A$25</c:f>
              <c:strCache>
                <c:ptCount val="1"/>
                <c:pt idx="0">
                  <c:v>Poultry &amp; Eggs</c:v>
                </c:pt>
              </c:strCache>
            </c:strRef>
          </c:tx>
          <c:spPr>
            <a:ln w="28575" cap="rnd">
              <a:solidFill>
                <a:schemeClr val="accent2">
                  <a:lumMod val="60000"/>
                </a:schemeClr>
              </a:solidFill>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Forecast'!$B$25:$AC$25</c:f>
              <c:numCache>
                <c:formatCode>0.00</c:formatCode>
                <c:ptCount val="28"/>
                <c:pt idx="0">
                  <c:v>2.4496151171133549E-2</c:v>
                </c:pt>
                <c:pt idx="1">
                  <c:v>2.389879898437916E-2</c:v>
                </c:pt>
                <c:pt idx="2">
                  <c:v>2.357338855732883E-2</c:v>
                </c:pt>
                <c:pt idx="3">
                  <c:v>2.458036090536769E-2</c:v>
                </c:pt>
                <c:pt idx="4">
                  <c:v>2.6791023940552602E-2</c:v>
                </c:pt>
                <c:pt idx="5">
                  <c:v>2.7767589107993033E-2</c:v>
                </c:pt>
                <c:pt idx="6">
                  <c:v>2.7168427603289642E-2</c:v>
                </c:pt>
                <c:pt idx="7">
                  <c:v>2.8012811995555945E-2</c:v>
                </c:pt>
                <c:pt idx="8">
                  <c:v>2.9815464704839419E-2</c:v>
                </c:pt>
                <c:pt idx="9">
                  <c:v>3.0898922068404021E-2</c:v>
                </c:pt>
                <c:pt idx="10">
                  <c:v>3.1338147485618459E-2</c:v>
                </c:pt>
                <c:pt idx="11">
                  <c:v>3.271035066401054E-2</c:v>
                </c:pt>
                <c:pt idx="12">
                  <c:v>3.0817111865949848E-2</c:v>
                </c:pt>
                <c:pt idx="13">
                  <c:v>3.0132095366042781E-2</c:v>
                </c:pt>
                <c:pt idx="14">
                  <c:v>3.1364997450891448E-2</c:v>
                </c:pt>
                <c:pt idx="15">
                  <c:v>3.0329038473116986E-2</c:v>
                </c:pt>
                <c:pt idx="16">
                  <c:v>2.9634652481440347E-2</c:v>
                </c:pt>
                <c:pt idx="17">
                  <c:v>2.9562619162801285E-2</c:v>
                </c:pt>
                <c:pt idx="18">
                  <c:v>2.9706610306182039E-2</c:v>
                </c:pt>
                <c:pt idx="19">
                  <c:v>2.8393313400380538E-2</c:v>
                </c:pt>
                <c:pt idx="20">
                  <c:v>2.9055491546314406E-2</c:v>
                </c:pt>
                <c:pt idx="21">
                  <c:v>2.9382158880971235E-2</c:v>
                </c:pt>
                <c:pt idx="22">
                  <c:v>2.9495418763711447E-2</c:v>
                </c:pt>
                <c:pt idx="23">
                  <c:v>2.8816126601356445E-2</c:v>
                </c:pt>
                <c:pt idx="24">
                  <c:v>2.8037026153394064E-2</c:v>
                </c:pt>
                <c:pt idx="25">
                  <c:v>2.9708046809024009E-2</c:v>
                </c:pt>
                <c:pt idx="26">
                  <c:v>3.0835776077786519E-2</c:v>
                </c:pt>
                <c:pt idx="27">
                  <c:v>3.1383056439260044E-2</c:v>
                </c:pt>
              </c:numCache>
            </c:numRef>
          </c:val>
          <c:smooth val="0"/>
          <c:extLst>
            <c:ext xmlns:c16="http://schemas.microsoft.com/office/drawing/2014/chart" uri="{C3380CC4-5D6E-409C-BE32-E72D297353CC}">
              <c16:uniqueId val="{00000024-687F-4542-880E-33708C5D3201}"/>
            </c:ext>
          </c:extLst>
        </c:ser>
        <c:ser>
          <c:idx val="8"/>
          <c:order val="8"/>
          <c:tx>
            <c:strRef>
              <c:f>'Production Forecast'!$A$26</c:f>
              <c:strCache>
                <c:ptCount val="1"/>
                <c:pt idx="0">
                  <c:v>Dairy</c:v>
                </c:pt>
              </c:strCache>
            </c:strRef>
          </c:tx>
          <c:spPr>
            <a:ln w="28575" cap="rnd">
              <a:solidFill>
                <a:schemeClr val="accent3">
                  <a:lumMod val="60000"/>
                </a:schemeClr>
              </a:solidFill>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Forecast'!$B$26:$AC$26</c:f>
              <c:numCache>
                <c:formatCode>0.00</c:formatCode>
                <c:ptCount val="28"/>
                <c:pt idx="0">
                  <c:v>0.21760052249245226</c:v>
                </c:pt>
                <c:pt idx="1">
                  <c:v>0.2163942065481467</c:v>
                </c:pt>
                <c:pt idx="2">
                  <c:v>0.2155680616499131</c:v>
                </c:pt>
                <c:pt idx="3">
                  <c:v>0.21522952867552558</c:v>
                </c:pt>
                <c:pt idx="4">
                  <c:v>0.2150035954893087</c:v>
                </c:pt>
                <c:pt idx="5">
                  <c:v>0.21473611995382003</c:v>
                </c:pt>
                <c:pt idx="6">
                  <c:v>0.21395731303688867</c:v>
                </c:pt>
                <c:pt idx="7">
                  <c:v>0.21213860249737795</c:v>
                </c:pt>
                <c:pt idx="8">
                  <c:v>0.20933638627061268</c:v>
                </c:pt>
                <c:pt idx="9">
                  <c:v>0.20775617639767371</c:v>
                </c:pt>
                <c:pt idx="10">
                  <c:v>0.20637787522659959</c:v>
                </c:pt>
                <c:pt idx="11">
                  <c:v>0.20590997500395672</c:v>
                </c:pt>
                <c:pt idx="12">
                  <c:v>0.20429203180552016</c:v>
                </c:pt>
                <c:pt idx="13">
                  <c:v>0.19585579222659427</c:v>
                </c:pt>
                <c:pt idx="14">
                  <c:v>0.19610534503751403</c:v>
                </c:pt>
                <c:pt idx="15">
                  <c:v>0.19177674754651092</c:v>
                </c:pt>
                <c:pt idx="16">
                  <c:v>0.18238995732740984</c:v>
                </c:pt>
                <c:pt idx="17">
                  <c:v>0.17818246492700837</c:v>
                </c:pt>
                <c:pt idx="18">
                  <c:v>0.18575488751077615</c:v>
                </c:pt>
                <c:pt idx="19">
                  <c:v>0.17658793150312585</c:v>
                </c:pt>
                <c:pt idx="20">
                  <c:v>0.17416387556603521</c:v>
                </c:pt>
                <c:pt idx="21">
                  <c:v>0.17420401161256269</c:v>
                </c:pt>
                <c:pt idx="22">
                  <c:v>0.17548974061169187</c:v>
                </c:pt>
                <c:pt idx="23">
                  <c:v>0.1641622707862346</c:v>
                </c:pt>
                <c:pt idx="24">
                  <c:v>0.16367910667058477</c:v>
                </c:pt>
                <c:pt idx="25">
                  <c:v>0.16919821450114611</c:v>
                </c:pt>
                <c:pt idx="26">
                  <c:v>0.17452801410833871</c:v>
                </c:pt>
                <c:pt idx="27">
                  <c:v>0.18099658300930835</c:v>
                </c:pt>
              </c:numCache>
            </c:numRef>
          </c:val>
          <c:smooth val="0"/>
          <c:extLst>
            <c:ext xmlns:c16="http://schemas.microsoft.com/office/drawing/2014/chart" uri="{C3380CC4-5D6E-409C-BE32-E72D297353CC}">
              <c16:uniqueId val="{00000025-687F-4542-880E-33708C5D3201}"/>
            </c:ext>
          </c:extLst>
        </c:ser>
        <c:ser>
          <c:idx val="9"/>
          <c:order val="9"/>
          <c:tx>
            <c:strRef>
              <c:f>'Production Forecast'!$A$27</c:f>
              <c:strCache>
                <c:ptCount val="1"/>
                <c:pt idx="0">
                  <c:v>Other Production (tonnes per capita)</c:v>
                </c:pt>
              </c:strCache>
            </c:strRef>
          </c:tx>
          <c:spPr>
            <a:ln w="28575" cap="rnd">
              <a:solidFill>
                <a:schemeClr val="accent4">
                  <a:lumMod val="60000"/>
                </a:schemeClr>
              </a:solidFill>
              <a:prstDash val="sysDash"/>
              <a:round/>
            </a:ln>
            <a:effectLst/>
          </c:spPr>
          <c:marker>
            <c:symbol val="none"/>
          </c:marker>
          <c:cat>
            <c:numRef>
              <c:f>'Production Forecast'!$B$17:$AC$17</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cat>
          <c:val>
            <c:numRef>
              <c:f>'Production Forecast'!$B$27:$AC$27</c:f>
              <c:numCache>
                <c:formatCode>0.00</c:formatCode>
                <c:ptCount val="28"/>
                <c:pt idx="0">
                  <c:v>6.2427168614208215</c:v>
                </c:pt>
                <c:pt idx="1">
                  <c:v>6.2799298570244044</c:v>
                </c:pt>
                <c:pt idx="2">
                  <c:v>5.2237402847650918</c:v>
                </c:pt>
                <c:pt idx="3">
                  <c:v>6.6652637495662175</c:v>
                </c:pt>
                <c:pt idx="4">
                  <c:v>5.5407306125670566</c:v>
                </c:pt>
                <c:pt idx="5">
                  <c:v>6.2444519900916928</c:v>
                </c:pt>
                <c:pt idx="6">
                  <c:v>6.4217219128400895</c:v>
                </c:pt>
                <c:pt idx="7">
                  <c:v>5.8022942000834563</c:v>
                </c:pt>
                <c:pt idx="8">
                  <c:v>5.477732596417809</c:v>
                </c:pt>
                <c:pt idx="9">
                  <c:v>6.1904616245340653</c:v>
                </c:pt>
                <c:pt idx="10">
                  <c:v>5.1255497492212676</c:v>
                </c:pt>
                <c:pt idx="11">
                  <c:v>4.253457021826903</c:v>
                </c:pt>
                <c:pt idx="12">
                  <c:v>2.4902652684316928</c:v>
                </c:pt>
                <c:pt idx="13">
                  <c:v>4.7467379936373888</c:v>
                </c:pt>
                <c:pt idx="14">
                  <c:v>5.3058216031623147</c:v>
                </c:pt>
                <c:pt idx="15">
                  <c:v>5.5170006939008962</c:v>
                </c:pt>
                <c:pt idx="16">
                  <c:v>4.7416902747413339</c:v>
                </c:pt>
                <c:pt idx="17">
                  <c:v>4.377878074139419</c:v>
                </c:pt>
                <c:pt idx="18">
                  <c:v>5.359886718392243</c:v>
                </c:pt>
                <c:pt idx="19">
                  <c:v>4.2005881644468603</c:v>
                </c:pt>
                <c:pt idx="20">
                  <c:v>4.932454918142601</c:v>
                </c:pt>
                <c:pt idx="21">
                  <c:v>5.2482969121140144</c:v>
                </c:pt>
                <c:pt idx="22">
                  <c:v>4.8287224157955873</c:v>
                </c:pt>
                <c:pt idx="23">
                  <c:v>6.0293931173072091</c:v>
                </c:pt>
                <c:pt idx="24">
                  <c:v>4.9620761093153103</c:v>
                </c:pt>
                <c:pt idx="25">
                  <c:v>4.6539114489081914</c:v>
                </c:pt>
                <c:pt idx="26">
                  <c:v>5.2626231500679213</c:v>
                </c:pt>
                <c:pt idx="27">
                  <c:v>5.1658039354306586</c:v>
                </c:pt>
              </c:numCache>
            </c:numRef>
          </c:val>
          <c:smooth val="0"/>
          <c:extLst>
            <c:ext xmlns:c16="http://schemas.microsoft.com/office/drawing/2014/chart" uri="{C3380CC4-5D6E-409C-BE32-E72D297353CC}">
              <c16:uniqueId val="{00000026-687F-4542-880E-33708C5D3201}"/>
            </c:ext>
          </c:extLst>
        </c:ser>
        <c:dLbls>
          <c:showLegendKey val="0"/>
          <c:showVal val="0"/>
          <c:showCatName val="0"/>
          <c:showSerName val="0"/>
          <c:showPercent val="0"/>
          <c:showBubbleSize val="0"/>
        </c:dLbls>
        <c:smooth val="0"/>
        <c:axId val="1789223023"/>
        <c:axId val="1789272943"/>
      </c:lineChart>
      <c:catAx>
        <c:axId val="1789223023"/>
        <c:scaling>
          <c:orientation val="minMax"/>
        </c:scaling>
        <c:delete val="0"/>
        <c:axPos val="b"/>
        <c:numFmt formatCode="General" sourceLinked="1"/>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272943"/>
        <c:crosses val="autoZero"/>
        <c:auto val="1"/>
        <c:lblAlgn val="ctr"/>
        <c:lblOffset val="100"/>
        <c:tickLblSkip val="5"/>
        <c:noMultiLvlLbl val="0"/>
      </c:catAx>
      <c:valAx>
        <c:axId val="1789272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CA" b="1">
                    <a:solidFill>
                      <a:schemeClr val="tx1"/>
                    </a:solidFill>
                  </a:rPr>
                  <a:t>Per</a:t>
                </a:r>
                <a:r>
                  <a:rPr lang="en-CA" b="1" baseline="0">
                    <a:solidFill>
                      <a:schemeClr val="tx1"/>
                    </a:solidFill>
                  </a:rPr>
                  <a:t> Capita Production (tonnes/person)</a:t>
                </a:r>
                <a:endParaRPr lang="en-CA" b="1">
                  <a:solidFill>
                    <a:schemeClr val="tx1"/>
                  </a:solidFill>
                </a:endParaRPr>
              </a:p>
            </c:rich>
          </c:tx>
          <c:layout>
            <c:manualLayout>
              <c:xMode val="edge"/>
              <c:yMode val="edge"/>
              <c:x val="1.8934911242603551E-2"/>
              <c:y val="0.16614506032922507"/>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223023"/>
        <c:crosses val="autoZero"/>
        <c:crossBetween val="midCat"/>
      </c:valAx>
      <c:spPr>
        <a:noFill/>
        <a:ln>
          <a:solidFill>
            <a:schemeClr val="tx1"/>
          </a:solidFill>
        </a:ln>
        <a:effectLst/>
      </c:spPr>
    </c:plotArea>
    <c:legend>
      <c:legendPos val="r"/>
      <c:layout>
        <c:manualLayout>
          <c:xMode val="edge"/>
          <c:yMode val="edge"/>
          <c:x val="0.69365308012935001"/>
          <c:y val="0.26397181529355973"/>
          <c:w val="0.28461256744311358"/>
          <c:h val="0.542031719673404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CA" b="1">
                <a:solidFill>
                  <a:schemeClr val="tx1"/>
                </a:solidFill>
              </a:rPr>
              <a:t>Annual</a:t>
            </a:r>
            <a:r>
              <a:rPr lang="en-CA" b="1" baseline="0">
                <a:solidFill>
                  <a:schemeClr val="tx1"/>
                </a:solidFill>
              </a:rPr>
              <a:t> AGR Production Forecast</a:t>
            </a:r>
          </a:p>
        </c:rich>
      </c:tx>
      <c:layout>
        <c:manualLayout>
          <c:xMode val="edge"/>
          <c:yMode val="edge"/>
          <c:x val="0.24930512414862585"/>
          <c:y val="3.151042626414055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3344158947793303"/>
          <c:y val="0.14696382056076399"/>
          <c:w val="0.50166687080822214"/>
          <c:h val="0.7323696173954336"/>
        </c:manualLayout>
      </c:layout>
      <c:lineChart>
        <c:grouping val="standard"/>
        <c:varyColors val="0"/>
        <c:ser>
          <c:idx val="0"/>
          <c:order val="0"/>
          <c:tx>
            <c:strRef>
              <c:f>'Production Forecast'!$A$5</c:f>
              <c:strCache>
                <c:ptCount val="1"/>
                <c:pt idx="0">
                  <c:v>Crop Production ('000 tonnes)</c:v>
                </c:pt>
              </c:strCache>
            </c:strRef>
          </c:tx>
          <c:spPr>
            <a:ln w="28575" cap="rnd">
              <a:solidFill>
                <a:schemeClr val="accent1"/>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Forecast'!$B$5:$BJ$5</c:f>
              <c:numCache>
                <c:formatCode>0.00</c:formatCode>
                <c:ptCount val="61"/>
                <c:pt idx="0">
                  <c:v>15905.119106925631</c:v>
                </c:pt>
                <c:pt idx="1">
                  <c:v>16279.499847943503</c:v>
                </c:pt>
                <c:pt idx="2">
                  <c:v>13752.394782973084</c:v>
                </c:pt>
                <c:pt idx="3">
                  <c:v>17778.204677107973</c:v>
                </c:pt>
                <c:pt idx="4">
                  <c:v>14963.330336682267</c:v>
                </c:pt>
                <c:pt idx="5">
                  <c:v>17075.572611493546</c:v>
                </c:pt>
                <c:pt idx="6">
                  <c:v>17821.132397145655</c:v>
                </c:pt>
                <c:pt idx="7">
                  <c:v>16419.610637517773</c:v>
                </c:pt>
                <c:pt idx="8">
                  <c:v>15880.308327366592</c:v>
                </c:pt>
                <c:pt idx="9">
                  <c:v>18278.526515068741</c:v>
                </c:pt>
                <c:pt idx="10">
                  <c:v>15398.166305511033</c:v>
                </c:pt>
                <c:pt idx="11">
                  <c:v>13007.428863136505</c:v>
                </c:pt>
                <c:pt idx="12">
                  <c:v>7790.2022091546633</c:v>
                </c:pt>
                <c:pt idx="13">
                  <c:v>15108.164516524748</c:v>
                </c:pt>
                <c:pt idx="14">
                  <c:v>17182.303704000002</c:v>
                </c:pt>
                <c:pt idx="15">
                  <c:v>18326.372905000004</c:v>
                </c:pt>
                <c:pt idx="16">
                  <c:v>16223.219105999999</c:v>
                </c:pt>
                <c:pt idx="17">
                  <c:v>15384.301340333335</c:v>
                </c:pt>
                <c:pt idx="18">
                  <c:v>19273.616650666663</c:v>
                </c:pt>
                <c:pt idx="19">
                  <c:v>15453.963857000001</c:v>
                </c:pt>
                <c:pt idx="20">
                  <c:v>18408.415000000005</c:v>
                </c:pt>
                <c:pt idx="21">
                  <c:v>19885.796999999999</c:v>
                </c:pt>
                <c:pt idx="22">
                  <c:v>18708.885000000002</c:v>
                </c:pt>
                <c:pt idx="23">
                  <c:v>24003.013999999999</c:v>
                </c:pt>
                <c:pt idx="24">
                  <c:v>20263.134000000002</c:v>
                </c:pt>
                <c:pt idx="25">
                  <c:v>19288.135999999999</c:v>
                </c:pt>
                <c:pt idx="26">
                  <c:v>22082.492999999999</c:v>
                </c:pt>
                <c:pt idx="27">
                  <c:v>21921.089</c:v>
                </c:pt>
                <c:pt idx="28" formatCode="_-* #,##0.00_-;\-* #,##0.00_-;_-* &quot;-&quot;??_-;_-@_-">
                  <c:v>19862.908927194745</c:v>
                </c:pt>
                <c:pt idx="29" formatCode="_-* #,##0.00_-;\-* #,##0.00_-;_-* &quot;-&quot;??_-;_-@_-">
                  <c:v>19995.472983419961</c:v>
                </c:pt>
                <c:pt idx="30" formatCode="_-* #,##0.00_-;\-* #,##0.00_-;_-* &quot;-&quot;??_-;_-@_-">
                  <c:v>20072.862596252893</c:v>
                </c:pt>
                <c:pt idx="31" formatCode="_-* #,##0.00_-;\-* #,##0.00_-;_-* &quot;-&quot;??_-;_-@_-">
                  <c:v>20047.617574752861</c:v>
                </c:pt>
                <c:pt idx="32" formatCode="_-* #,##0.00_-;\-* #,##0.00_-;_-* &quot;-&quot;??_-;_-@_-">
                  <c:v>20030.547211675894</c:v>
                </c:pt>
                <c:pt idx="33" formatCode="_-* #,##0.00_-;\-* #,##0.00_-;_-* &quot;-&quot;??_-;_-@_-">
                  <c:v>20063.07957304857</c:v>
                </c:pt>
                <c:pt idx="34" formatCode="_-* #,##0.00_-;\-* #,##0.00_-;_-* &quot;-&quot;??_-;_-@_-">
                  <c:v>20167.113577689848</c:v>
                </c:pt>
                <c:pt idx="35" formatCode="_-* #,##0.00_-;\-* #,##0.00_-;_-* &quot;-&quot;??_-;_-@_-">
                  <c:v>20285.605220511959</c:v>
                </c:pt>
                <c:pt idx="36" formatCode="_-* #,##0.00_-;\-* #,##0.00_-;_-* &quot;-&quot;??_-;_-@_-">
                  <c:v>20405.976755084346</c:v>
                </c:pt>
                <c:pt idx="37" formatCode="_-* #,##0.00_-;\-* #,##0.00_-;_-* &quot;-&quot;??_-;_-@_-">
                  <c:v>20513.19213606988</c:v>
                </c:pt>
                <c:pt idx="38" formatCode="_-* #,##0.00_-;\-* #,##0.00_-;_-* &quot;-&quot;??_-;_-@_-">
                  <c:v>20610.791252582821</c:v>
                </c:pt>
                <c:pt idx="39" formatCode="_-* #,##0.00_-;\-* #,##0.00_-;_-* &quot;-&quot;??_-;_-@_-">
                  <c:v>20690.603879496433</c:v>
                </c:pt>
                <c:pt idx="40" formatCode="_-* #,##0.00_-;\-* #,##0.00_-;_-* &quot;-&quot;??_-;_-@_-">
                  <c:v>20733.778147312933</c:v>
                </c:pt>
                <c:pt idx="41" formatCode="_-* #,##0.00_-;\-* #,##0.00_-;_-* &quot;-&quot;??_-;_-@_-">
                  <c:v>20753.425959174936</c:v>
                </c:pt>
                <c:pt idx="42" formatCode="_-* #,##0.00_-;\-* #,##0.00_-;_-* &quot;-&quot;??_-;_-@_-">
                  <c:v>20758.928981232559</c:v>
                </c:pt>
                <c:pt idx="43" formatCode="_-* #,##0.00_-;\-* #,##0.00_-;_-* &quot;-&quot;??_-;_-@_-">
                  <c:v>20750.183922838965</c:v>
                </c:pt>
                <c:pt idx="44" formatCode="_-* #,##0.00_-;\-* #,##0.00_-;_-* &quot;-&quot;??_-;_-@_-">
                  <c:v>20731.79750986717</c:v>
                </c:pt>
                <c:pt idx="45" formatCode="_-* #,##0.00_-;\-* #,##0.00_-;_-* &quot;-&quot;??_-;_-@_-">
                  <c:v>20708.181693616967</c:v>
                </c:pt>
                <c:pt idx="46" formatCode="_-* #,##0.00_-;\-* #,##0.00_-;_-* &quot;-&quot;??_-;_-@_-">
                  <c:v>20672.470650576826</c:v>
                </c:pt>
                <c:pt idx="47" formatCode="_-* #,##0.00_-;\-* #,##0.00_-;_-* &quot;-&quot;??_-;_-@_-">
                  <c:v>20646.070463073418</c:v>
                </c:pt>
                <c:pt idx="48" formatCode="_-* #,##0.00_-;\-* #,##0.00_-;_-* &quot;-&quot;??_-;_-@_-">
                  <c:v>20621.396706365053</c:v>
                </c:pt>
                <c:pt idx="49" formatCode="_-* #,##0.00_-;\-* #,##0.00_-;_-* &quot;-&quot;??_-;_-@_-">
                  <c:v>20592.308061530817</c:v>
                </c:pt>
                <c:pt idx="50" formatCode="_-* #,##0.00_-;\-* #,##0.00_-;_-* &quot;-&quot;??_-;_-@_-">
                  <c:v>20552.582052477082</c:v>
                </c:pt>
                <c:pt idx="51" formatCode="_-* #,##0.00_-;\-* #,##0.00_-;_-* &quot;-&quot;??_-;_-@_-">
                  <c:v>20503.858036263064</c:v>
                </c:pt>
                <c:pt idx="52" formatCode="_-* #,##0.00_-;\-* #,##0.00_-;_-* &quot;-&quot;??_-;_-@_-">
                  <c:v>20448.415767336199</c:v>
                </c:pt>
                <c:pt idx="53" formatCode="_-* #,##0.00_-;\-* #,##0.00_-;_-* &quot;-&quot;??_-;_-@_-">
                  <c:v>20393.345357280705</c:v>
                </c:pt>
                <c:pt idx="54" formatCode="_-* #,##0.00_-;\-* #,##0.00_-;_-* &quot;-&quot;??_-;_-@_-">
                  <c:v>20324.577250299295</c:v>
                </c:pt>
                <c:pt idx="55" formatCode="_-* #,##0.00_-;\-* #,##0.00_-;_-* &quot;-&quot;??_-;_-@_-">
                  <c:v>20243.470445010636</c:v>
                </c:pt>
                <c:pt idx="56" formatCode="_-* #,##0.00_-;\-* #,##0.00_-;_-* &quot;-&quot;??_-;_-@_-">
                  <c:v>20155.385685377598</c:v>
                </c:pt>
                <c:pt idx="57" formatCode="_-* #,##0.00_-;\-* #,##0.00_-;_-* &quot;-&quot;??_-;_-@_-">
                  <c:v>20062.750283442845</c:v>
                </c:pt>
                <c:pt idx="58" formatCode="_-* #,##0.00_-;\-* #,##0.00_-;_-* &quot;-&quot;??_-;_-@_-">
                  <c:v>19970.170968379996</c:v>
                </c:pt>
                <c:pt idx="59" formatCode="_-* #,##0.00_-;\-* #,##0.00_-;_-* &quot;-&quot;??_-;_-@_-">
                  <c:v>19877.46181900561</c:v>
                </c:pt>
                <c:pt idx="60" formatCode="_-* #,##0.00_-;\-* #,##0.00_-;_-* &quot;-&quot;??_-;_-@_-">
                  <c:v>19778.993536335674</c:v>
                </c:pt>
              </c:numCache>
            </c:numRef>
          </c:val>
          <c:smooth val="0"/>
          <c:extLst>
            <c:ext xmlns:c16="http://schemas.microsoft.com/office/drawing/2014/chart" uri="{C3380CC4-5D6E-409C-BE32-E72D297353CC}">
              <c16:uniqueId val="{0000000E-50B6-44C2-9AE4-ABDC3EF18E96}"/>
            </c:ext>
          </c:extLst>
        </c:ser>
        <c:ser>
          <c:idx val="1"/>
          <c:order val="1"/>
          <c:tx>
            <c:strRef>
              <c:f>'Production Forecast'!$A$6</c:f>
              <c:strCache>
                <c:ptCount val="1"/>
                <c:pt idx="0">
                  <c:v>Grain &amp; Oilseed</c:v>
                </c:pt>
              </c:strCache>
            </c:strRef>
          </c:tx>
          <c:spPr>
            <a:ln w="28575" cap="rnd">
              <a:solidFill>
                <a:schemeClr val="accent2"/>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Forecast'!$B$6:$BJ$6</c:f>
              <c:numCache>
                <c:formatCode>0.00</c:formatCode>
                <c:ptCount val="61"/>
                <c:pt idx="0">
                  <c:v>15856.6</c:v>
                </c:pt>
                <c:pt idx="1">
                  <c:v>16231.1</c:v>
                </c:pt>
                <c:pt idx="2">
                  <c:v>13704.1</c:v>
                </c:pt>
                <c:pt idx="3">
                  <c:v>17730</c:v>
                </c:pt>
                <c:pt idx="4">
                  <c:v>14915.2</c:v>
                </c:pt>
                <c:pt idx="5">
                  <c:v>17027.5</c:v>
                </c:pt>
                <c:pt idx="6">
                  <c:v>17773.100000000002</c:v>
                </c:pt>
                <c:pt idx="7">
                  <c:v>16371.6</c:v>
                </c:pt>
                <c:pt idx="8">
                  <c:v>15832.300000000001</c:v>
                </c:pt>
                <c:pt idx="9">
                  <c:v>18230.5</c:v>
                </c:pt>
                <c:pt idx="10">
                  <c:v>15350.1</c:v>
                </c:pt>
                <c:pt idx="11">
                  <c:v>12959.300000000001</c:v>
                </c:pt>
                <c:pt idx="12">
                  <c:v>7742.3</c:v>
                </c:pt>
                <c:pt idx="13">
                  <c:v>15061.6</c:v>
                </c:pt>
                <c:pt idx="14">
                  <c:v>17131</c:v>
                </c:pt>
                <c:pt idx="15">
                  <c:v>18275.100000000002</c:v>
                </c:pt>
                <c:pt idx="16">
                  <c:v>16167.9</c:v>
                </c:pt>
                <c:pt idx="17">
                  <c:v>15336.333333333334</c:v>
                </c:pt>
                <c:pt idx="18">
                  <c:v>19232.966666666664</c:v>
                </c:pt>
                <c:pt idx="19">
                  <c:v>15409.300000000001</c:v>
                </c:pt>
                <c:pt idx="20">
                  <c:v>18368.100000000002</c:v>
                </c:pt>
                <c:pt idx="21">
                  <c:v>19841.3</c:v>
                </c:pt>
                <c:pt idx="22">
                  <c:v>18665.900000000001</c:v>
                </c:pt>
                <c:pt idx="23">
                  <c:v>23968.3</c:v>
                </c:pt>
                <c:pt idx="24">
                  <c:v>20208.400000000001</c:v>
                </c:pt>
                <c:pt idx="25">
                  <c:v>19236.5</c:v>
                </c:pt>
                <c:pt idx="26">
                  <c:v>22029.3</c:v>
                </c:pt>
                <c:pt idx="27">
                  <c:v>21862</c:v>
                </c:pt>
                <c:pt idx="28" formatCode="_-* #,##0.00_-;\-* #,##0.00_-;_-* &quot;-&quot;??_-;_-@_-">
                  <c:v>19817.08845580279</c:v>
                </c:pt>
                <c:pt idx="29" formatCode="_-* #,##0.00_-;\-* #,##0.00_-;_-* &quot;-&quot;??_-;_-@_-">
                  <c:v>19950.185450194644</c:v>
                </c:pt>
                <c:pt idx="30" formatCode="_-* #,##0.00_-;\-* #,##0.00_-;_-* &quot;-&quot;??_-;_-@_-">
                  <c:v>20028.258227790098</c:v>
                </c:pt>
                <c:pt idx="31" formatCode="_-* #,##0.00_-;\-* #,##0.00_-;_-* &quot;-&quot;??_-;_-@_-">
                  <c:v>20003.943589480365</c:v>
                </c:pt>
                <c:pt idx="32" formatCode="_-* #,##0.00_-;\-* #,##0.00_-;_-* &quot;-&quot;??_-;_-@_-">
                  <c:v>19987.801368343582</c:v>
                </c:pt>
                <c:pt idx="33" formatCode="_-* #,##0.00_-;\-* #,##0.00_-;_-* &quot;-&quot;??_-;_-@_-">
                  <c:v>20021.174673324917</c:v>
                </c:pt>
                <c:pt idx="34" formatCode="_-* #,##0.00_-;\-* #,##0.00_-;_-* &quot;-&quot;??_-;_-@_-">
                  <c:v>20125.92508782</c:v>
                </c:pt>
                <c:pt idx="35" formatCode="_-* #,##0.00_-;\-* #,##0.00_-;_-* &quot;-&quot;??_-;_-@_-">
                  <c:v>20245.133213662546</c:v>
                </c:pt>
                <c:pt idx="36" formatCode="_-* #,##0.00_-;\-* #,##0.00_-;_-* &quot;-&quot;??_-;_-@_-">
                  <c:v>20366.248784221676</c:v>
                </c:pt>
                <c:pt idx="37" formatCode="_-* #,##0.00_-;\-* #,##0.00_-;_-* &quot;-&quot;??_-;_-@_-">
                  <c:v>20474.265547045743</c:v>
                </c:pt>
                <c:pt idx="38" formatCode="_-* #,##0.00_-;\-* #,##0.00_-;_-* &quot;-&quot;??_-;_-@_-">
                  <c:v>20572.715896866805</c:v>
                </c:pt>
                <c:pt idx="39" formatCode="_-* #,##0.00_-;\-* #,##0.00_-;_-* &quot;-&quot;??_-;_-@_-">
                  <c:v>20653.443831747725</c:v>
                </c:pt>
                <c:pt idx="40" formatCode="_-* #,##0.00_-;\-* #,##0.00_-;_-* &quot;-&quot;??_-;_-@_-">
                  <c:v>20697.628594444646</c:v>
                </c:pt>
                <c:pt idx="41" formatCode="_-* #,##0.00_-;\-* #,##0.00_-;_-* &quot;-&quot;??_-;_-@_-">
                  <c:v>20718.355064585405</c:v>
                </c:pt>
                <c:pt idx="42" formatCode="_-* #,##0.00_-;\-* #,##0.00_-;_-* &quot;-&quot;??_-;_-@_-">
                  <c:v>20724.986643349806</c:v>
                </c:pt>
                <c:pt idx="43" formatCode="_-* #,##0.00_-;\-* #,##0.00_-;_-* &quot;-&quot;??_-;_-@_-">
                  <c:v>20717.418724181083</c:v>
                </c:pt>
                <c:pt idx="44" formatCode="_-* #,##0.00_-;\-* #,##0.00_-;_-* &quot;-&quot;??_-;_-@_-">
                  <c:v>20700.249459050243</c:v>
                </c:pt>
                <c:pt idx="45" formatCode="_-* #,##0.00_-;\-* #,##0.00_-;_-* &quot;-&quot;??_-;_-@_-">
                  <c:v>20677.883518916755</c:v>
                </c:pt>
                <c:pt idx="46" formatCode="_-* #,##0.00_-;\-* #,##0.00_-;_-* &quot;-&quot;??_-;_-@_-">
                  <c:v>20643.464644296102</c:v>
                </c:pt>
                <c:pt idx="47" formatCode="_-* #,##0.00_-;\-* #,##0.00_-;_-* &quot;-&quot;??_-;_-@_-">
                  <c:v>20618.368858973776</c:v>
                </c:pt>
                <c:pt idx="48" formatCode="_-* #,##0.00_-;\-* #,##0.00_-;_-* &quot;-&quot;??_-;_-@_-">
                  <c:v>20595.024072802928</c:v>
                </c:pt>
                <c:pt idx="49" formatCode="_-* #,##0.00_-;\-* #,##0.00_-;_-* &quot;-&quot;??_-;_-@_-">
                  <c:v>20567.297723012249</c:v>
                </c:pt>
                <c:pt idx="50" formatCode="_-* #,##0.00_-;\-* #,##0.00_-;_-* &quot;-&quot;??_-;_-@_-">
                  <c:v>20528.974626752202</c:v>
                </c:pt>
                <c:pt idx="51" formatCode="_-* #,##0.00_-;\-* #,##0.00_-;_-* &quot;-&quot;??_-;_-@_-">
                  <c:v>20481.691261164931</c:v>
                </c:pt>
                <c:pt idx="52" formatCode="_-* #,##0.00_-;\-* #,##0.00_-;_-* &quot;-&quot;??_-;_-@_-">
                  <c:v>20427.724251487245</c:v>
                </c:pt>
                <c:pt idx="53" formatCode="_-* #,##0.00_-;\-* #,##0.00_-;_-* &quot;-&quot;??_-;_-@_-">
                  <c:v>20374.156659500328</c:v>
                </c:pt>
                <c:pt idx="54" formatCode="_-* #,##0.00_-;\-* #,##0.00_-;_-* &quot;-&quot;??_-;_-@_-">
                  <c:v>20306.932294034861</c:v>
                </c:pt>
                <c:pt idx="55" formatCode="_-* #,##0.00_-;\-* #,##0.00_-;_-* &quot;-&quot;??_-;_-@_-">
                  <c:v>20227.407133847515</c:v>
                </c:pt>
                <c:pt idx="56" formatCode="_-* #,##0.00_-;\-* #,##0.00_-;_-* &quot;-&quot;??_-;_-@_-">
                  <c:v>20140.936348907413</c:v>
                </c:pt>
                <c:pt idx="57" formatCode="_-* #,##0.00_-;\-* #,##0.00_-;_-* &quot;-&quot;??_-;_-@_-">
                  <c:v>20049.945143965415</c:v>
                </c:pt>
                <c:pt idx="58" formatCode="_-* #,##0.00_-;\-* #,##0.00_-;_-* &quot;-&quot;??_-;_-@_-">
                  <c:v>19959.037679962534</c:v>
                </c:pt>
                <c:pt idx="59" formatCode="_-* #,##0.00_-;\-* #,##0.00_-;_-* &quot;-&quot;??_-;_-@_-">
                  <c:v>19868.029270478535</c:v>
                </c:pt>
                <c:pt idx="60" formatCode="_-* #,##0.00_-;\-* #,##0.00_-;_-* &quot;-&quot;??_-;_-@_-">
                  <c:v>19771.293970290601</c:v>
                </c:pt>
              </c:numCache>
            </c:numRef>
          </c:val>
          <c:smooth val="0"/>
          <c:extLst>
            <c:ext xmlns:c16="http://schemas.microsoft.com/office/drawing/2014/chart" uri="{C3380CC4-5D6E-409C-BE32-E72D297353CC}">
              <c16:uniqueId val="{0000000F-50B6-44C2-9AE4-ABDC3EF18E96}"/>
            </c:ext>
          </c:extLst>
        </c:ser>
        <c:ser>
          <c:idx val="2"/>
          <c:order val="2"/>
          <c:tx>
            <c:strRef>
              <c:f>'Production Forecast'!$A$7</c:f>
              <c:strCache>
                <c:ptCount val="1"/>
                <c:pt idx="0">
                  <c:v>Fruit &amp; Veg.</c:v>
                </c:pt>
              </c:strCache>
            </c:strRef>
          </c:tx>
          <c:spPr>
            <a:ln w="28575" cap="rnd">
              <a:solidFill>
                <a:schemeClr val="accent3"/>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Forecast'!$B$7:$BJ$7</c:f>
              <c:numCache>
                <c:formatCode>0.00</c:formatCode>
                <c:ptCount val="61"/>
                <c:pt idx="0">
                  <c:v>30.134482000000002</c:v>
                </c:pt>
                <c:pt idx="1">
                  <c:v>29.885033799999999</c:v>
                </c:pt>
                <c:pt idx="2">
                  <c:v>29.635585599999978</c:v>
                </c:pt>
                <c:pt idx="3">
                  <c:v>29.386137399999992</c:v>
                </c:pt>
                <c:pt idx="4">
                  <c:v>29.136689200000017</c:v>
                </c:pt>
                <c:pt idx="5">
                  <c:v>28.887241000000007</c:v>
                </c:pt>
                <c:pt idx="6">
                  <c:v>28.637792799999996</c:v>
                </c:pt>
                <c:pt idx="7">
                  <c:v>28.388344599999989</c:v>
                </c:pt>
                <c:pt idx="8">
                  <c:v>28.1388964</c:v>
                </c:pt>
                <c:pt idx="9">
                  <c:v>27.889448200000022</c:v>
                </c:pt>
                <c:pt idx="10">
                  <c:v>27.64</c:v>
                </c:pt>
                <c:pt idx="11">
                  <c:v>27.390551800000001</c:v>
                </c:pt>
                <c:pt idx="12">
                  <c:v>29.975275599999993</c:v>
                </c:pt>
                <c:pt idx="13">
                  <c:v>26.318483999999998</c:v>
                </c:pt>
                <c:pt idx="14">
                  <c:v>27.325011999999983</c:v>
                </c:pt>
                <c:pt idx="15">
                  <c:v>25.213540000000002</c:v>
                </c:pt>
                <c:pt idx="16">
                  <c:v>27.750067999999992</c:v>
                </c:pt>
                <c:pt idx="17">
                  <c:v>27.038295999999999</c:v>
                </c:pt>
                <c:pt idx="18">
                  <c:v>25.091600000000003</c:v>
                </c:pt>
                <c:pt idx="19">
                  <c:v>24.393799999999999</c:v>
                </c:pt>
                <c:pt idx="20">
                  <c:v>21.466999999999999</c:v>
                </c:pt>
                <c:pt idx="21">
                  <c:v>22.059000000000001</c:v>
                </c:pt>
                <c:pt idx="22">
                  <c:v>21.446000000000002</c:v>
                </c:pt>
                <c:pt idx="23">
                  <c:v>20.536999999999999</c:v>
                </c:pt>
                <c:pt idx="24">
                  <c:v>24.991</c:v>
                </c:pt>
                <c:pt idx="25">
                  <c:v>23.855</c:v>
                </c:pt>
                <c:pt idx="26">
                  <c:v>25.468</c:v>
                </c:pt>
                <c:pt idx="27">
                  <c:v>25.568000000000001</c:v>
                </c:pt>
                <c:pt idx="28" formatCode="_-* #,##0.00_-;\-* #,##0.00_-;_-* &quot;-&quot;??_-;_-@_-">
                  <c:v>26.918958703401028</c:v>
                </c:pt>
                <c:pt idx="29" formatCode="_-* #,##0.00_-;\-* #,##0.00_-;_-* &quot;-&quot;??_-;_-@_-">
                  <c:v>27.962636123359122</c:v>
                </c:pt>
                <c:pt idx="30" formatCode="_-* #,##0.00_-;\-* #,##0.00_-;_-* &quot;-&quot;??_-;_-@_-">
                  <c:v>28.955178945157964</c:v>
                </c:pt>
                <c:pt idx="31" formatCode="_-* #,##0.00_-;\-* #,##0.00_-;_-* &quot;-&quot;??_-;_-@_-">
                  <c:v>29.819399814792991</c:v>
                </c:pt>
                <c:pt idx="32" formatCode="_-* #,##0.00_-;\-* #,##0.00_-;_-* &quot;-&quot;??_-;_-@_-">
                  <c:v>30.711816455413981</c:v>
                </c:pt>
                <c:pt idx="33" formatCode="_-* #,##0.00_-;\-* #,##0.00_-;_-* &quot;-&quot;??_-;_-@_-">
                  <c:v>31.699504212573217</c:v>
                </c:pt>
                <c:pt idx="34" formatCode="_-* #,##0.00_-;\-* #,##0.00_-;_-* &quot;-&quot;??_-;_-@_-">
                  <c:v>32.825720414340701</c:v>
                </c:pt>
                <c:pt idx="35" formatCode="_-* #,##0.00_-;\-* #,##0.00_-;_-* &quot;-&quot;??_-;_-@_-">
                  <c:v>34.005962142070494</c:v>
                </c:pt>
                <c:pt idx="36" formatCode="_-* #,##0.00_-;\-* #,##0.00_-;_-* &quot;-&quot;??_-;_-@_-">
                  <c:v>35.221602299760534</c:v>
                </c:pt>
                <c:pt idx="37" formatCode="_-* #,##0.00_-;\-* #,##0.00_-;_-* &quot;-&quot;??_-;_-@_-">
                  <c:v>36.447223200682885</c:v>
                </c:pt>
                <c:pt idx="38" formatCode="_-* #,##0.00_-;\-* #,##0.00_-;_-* &quot;-&quot;??_-;_-@_-">
                  <c:v>37.688314037631706</c:v>
                </c:pt>
                <c:pt idx="39" formatCode="_-* #,##0.00_-;\-* #,##0.00_-;_-* &quot;-&quot;??_-;_-@_-">
                  <c:v>38.929038661733557</c:v>
                </c:pt>
                <c:pt idx="40" formatCode="_-* #,##0.00_-;\-* #,##0.00_-;_-* &quot;-&quot;??_-;_-@_-">
                  <c:v>40.131099383227351</c:v>
                </c:pt>
                <c:pt idx="41" formatCode="_-* #,##0.00_-;\-* #,##0.00_-;_-* &quot;-&quot;??_-;_-@_-">
                  <c:v>41.315586596156308</c:v>
                </c:pt>
                <c:pt idx="42" formatCode="_-* #,##0.00_-;\-* #,##0.00_-;_-* &quot;-&quot;??_-;_-@_-">
                  <c:v>42.498693463827735</c:v>
                </c:pt>
                <c:pt idx="43" formatCode="_-* #,##0.00_-;\-* #,##0.00_-;_-* &quot;-&quot;??_-;_-@_-">
                  <c:v>43.678678974518306</c:v>
                </c:pt>
                <c:pt idx="44" formatCode="_-* #,##0.00_-;\-* #,##0.00_-;_-* &quot;-&quot;??_-;_-@_-">
                  <c:v>44.86390127451341</c:v>
                </c:pt>
                <c:pt idx="45" formatCode="_-* #,##0.00_-;\-* #,##0.00_-;_-* &quot;-&quot;??_-;_-@_-">
                  <c:v>46.063324238716383</c:v>
                </c:pt>
                <c:pt idx="46" formatCode="_-* #,##0.00_-;\-* #,##0.00_-;_-* &quot;-&quot;??_-;_-@_-">
                  <c:v>47.261179634937442</c:v>
                </c:pt>
                <c:pt idx="47" formatCode="_-* #,##0.00_-;\-* #,##0.00_-;_-* &quot;-&quot;??_-;_-@_-">
                  <c:v>48.506381931097643</c:v>
                </c:pt>
                <c:pt idx="48" formatCode="_-* #,##0.00_-;\-* #,##0.00_-;_-* &quot;-&quot;??_-;_-@_-">
                  <c:v>49.783335435058298</c:v>
                </c:pt>
                <c:pt idx="49" formatCode="_-* #,##0.00_-;\-* #,##0.00_-;_-* &quot;-&quot;??_-;_-@_-">
                  <c:v>51.078143250609912</c:v>
                </c:pt>
                <c:pt idx="50" formatCode="_-* #,##0.00_-;\-* #,##0.00_-;_-* &quot;-&quot;??_-;_-@_-">
                  <c:v>52.375098637023541</c:v>
                </c:pt>
                <c:pt idx="51" formatCode="_-* #,##0.00_-;\-* #,##0.00_-;_-* &quot;-&quot;??_-;_-@_-">
                  <c:v>53.677352304201932</c:v>
                </c:pt>
                <c:pt idx="52" formatCode="_-* #,##0.00_-;\-* #,##0.00_-;_-* &quot;-&quot;??_-;_-@_-">
                  <c:v>54.990187862661557</c:v>
                </c:pt>
                <c:pt idx="53" formatCode="_-* #,##0.00_-;\-* #,##0.00_-;_-* &quot;-&quot;??_-;_-@_-">
                  <c:v>56.332800501800122</c:v>
                </c:pt>
                <c:pt idx="54" formatCode="_-* #,##0.00_-;\-* #,##0.00_-;_-* &quot;-&quot;??_-;_-@_-">
                  <c:v>57.666455678833444</c:v>
                </c:pt>
                <c:pt idx="55" formatCode="_-* #,##0.00_-;\-* #,##0.00_-;_-* &quot;-&quot;??_-;_-@_-">
                  <c:v>58.993113754322266</c:v>
                </c:pt>
                <c:pt idx="56" formatCode="_-* #,##0.00_-;\-* #,##0.00_-;_-* &quot;-&quot;??_-;_-@_-">
                  <c:v>60.32703689636061</c:v>
                </c:pt>
                <c:pt idx="57" formatCode="_-* #,##0.00_-;\-* #,##0.00_-;_-* &quot;-&quot;??_-;_-@_-">
                  <c:v>61.675112061591427</c:v>
                </c:pt>
                <c:pt idx="58" formatCode="_-* #,##0.00_-;\-* #,##0.00_-;_-* &quot;-&quot;??_-;_-@_-">
                  <c:v>63.051884090636058</c:v>
                </c:pt>
                <c:pt idx="59" formatCode="_-* #,##0.00_-;\-* #,##0.00_-;_-* &quot;-&quot;??_-;_-@_-">
                  <c:v>64.457931178994258</c:v>
                </c:pt>
                <c:pt idx="60" formatCode="_-* #,##0.00_-;\-* #,##0.00_-;_-* &quot;-&quot;??_-;_-@_-">
                  <c:v>65.875701866959659</c:v>
                </c:pt>
              </c:numCache>
            </c:numRef>
          </c:val>
          <c:smooth val="0"/>
          <c:extLst>
            <c:ext xmlns:c16="http://schemas.microsoft.com/office/drawing/2014/chart" uri="{C3380CC4-5D6E-409C-BE32-E72D297353CC}">
              <c16:uniqueId val="{00000010-50B6-44C2-9AE4-ABDC3EF18E96}"/>
            </c:ext>
          </c:extLst>
        </c:ser>
        <c:ser>
          <c:idx val="3"/>
          <c:order val="3"/>
          <c:tx>
            <c:strRef>
              <c:f>'Production Forecast'!$A$8</c:f>
              <c:strCache>
                <c:ptCount val="1"/>
                <c:pt idx="0">
                  <c:v>Greenhouse &amp; Nursery</c:v>
                </c:pt>
              </c:strCache>
            </c:strRef>
          </c:tx>
          <c:spPr>
            <a:ln w="28575" cap="rnd">
              <a:solidFill>
                <a:schemeClr val="accent4"/>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Forecast'!$B$8:$BJ$8</c:f>
              <c:numCache>
                <c:formatCode>0.00</c:formatCode>
                <c:ptCount val="61"/>
                <c:pt idx="0">
                  <c:v>18.384624925631414</c:v>
                </c:pt>
                <c:pt idx="1">
                  <c:v>18.514814143504097</c:v>
                </c:pt>
                <c:pt idx="2">
                  <c:v>18.659197373085206</c:v>
                </c:pt>
                <c:pt idx="3">
                  <c:v>18.818539707971841</c:v>
                </c:pt>
                <c:pt idx="4">
                  <c:v>18.993647482266542</c:v>
                </c:pt>
                <c:pt idx="5">
                  <c:v>19.185370493545513</c:v>
                </c:pt>
                <c:pt idx="6">
                  <c:v>19.39460434565186</c:v>
                </c:pt>
                <c:pt idx="7">
                  <c:v>19.622292917770398</c:v>
                </c:pt>
                <c:pt idx="8">
                  <c:v>19.869430966592045</c:v>
                </c:pt>
                <c:pt idx="9">
                  <c:v>20.137066868742281</c:v>
                </c:pt>
                <c:pt idx="10">
                  <c:v>20.426305511032734</c:v>
                </c:pt>
                <c:pt idx="11">
                  <c:v>20.738311336504658</c:v>
                </c:pt>
                <c:pt idx="12">
                  <c:v>17.926933554662959</c:v>
                </c:pt>
                <c:pt idx="13">
                  <c:v>20.246032524749083</c:v>
                </c:pt>
                <c:pt idx="14">
                  <c:v>23.978691999999999</c:v>
                </c:pt>
                <c:pt idx="15">
                  <c:v>26.059365</c:v>
                </c:pt>
                <c:pt idx="16">
                  <c:v>27.569038000000003</c:v>
                </c:pt>
                <c:pt idx="17">
                  <c:v>20.929711000000001</c:v>
                </c:pt>
                <c:pt idx="18">
                  <c:v>15.558384000000002</c:v>
                </c:pt>
                <c:pt idx="19">
                  <c:v>20.270057000000005</c:v>
                </c:pt>
                <c:pt idx="20">
                  <c:v>18.847999999999999</c:v>
                </c:pt>
                <c:pt idx="21">
                  <c:v>22.437999999999999</c:v>
                </c:pt>
                <c:pt idx="22">
                  <c:v>21.539000000000001</c:v>
                </c:pt>
                <c:pt idx="23">
                  <c:v>14.177</c:v>
                </c:pt>
                <c:pt idx="24">
                  <c:v>29.743000000000002</c:v>
                </c:pt>
                <c:pt idx="25">
                  <c:v>27.780999999999999</c:v>
                </c:pt>
                <c:pt idx="26">
                  <c:v>27.725000000000001</c:v>
                </c:pt>
                <c:pt idx="27">
                  <c:v>33.521000000000001</c:v>
                </c:pt>
                <c:pt idx="28" formatCode="_-* #,##0.00_-;\-* #,##0.00_-;_-* &quot;-&quot;??_-;_-@_-">
                  <c:v>25.462628294008585</c:v>
                </c:pt>
                <c:pt idx="29" formatCode="_-* #,##0.00_-;\-* #,##0.00_-;_-* &quot;-&quot;??_-;_-@_-">
                  <c:v>25.689748154766679</c:v>
                </c:pt>
                <c:pt idx="30" formatCode="_-* #,##0.00_-;\-* #,##0.00_-;_-* &quot;-&quot;??_-;_-@_-">
                  <c:v>25.847703439997591</c:v>
                </c:pt>
                <c:pt idx="31" formatCode="_-* #,##0.00_-;\-* #,##0.00_-;_-* &quot;-&quot;??_-;_-@_-">
                  <c:v>25.874802446419682</c:v>
                </c:pt>
                <c:pt idx="32" formatCode="_-* #,##0.00_-;\-* #,##0.00_-;_-* &quot;-&quot;??_-;_-@_-">
                  <c:v>25.913513563613773</c:v>
                </c:pt>
                <c:pt idx="33" formatCode="_-* #,##0.00_-;\-* #,##0.00_-;_-* &quot;-&quot;??_-;_-@_-">
                  <c:v>26.017667603392713</c:v>
                </c:pt>
                <c:pt idx="34" formatCode="_-* #,##0.00_-;\-* #,##0.00_-;_-* &quot;-&quot;??_-;_-@_-">
                  <c:v>26.216235897882257</c:v>
                </c:pt>
                <c:pt idx="35" formatCode="_-* #,##0.00_-;\-* #,##0.00_-;_-* &quot;-&quot;??_-;_-@_-">
                  <c:v>26.435616517831921</c:v>
                </c:pt>
                <c:pt idx="36" formatCode="_-* #,##0.00_-;\-* #,##0.00_-;_-* &quot;-&quot;??_-;_-@_-">
                  <c:v>26.659581166020676</c:v>
                </c:pt>
                <c:pt idx="37" formatCode="_-* #,##0.00_-;\-* #,##0.00_-;_-* &quot;-&quot;??_-;_-@_-">
                  <c:v>26.868521278800433</c:v>
                </c:pt>
                <c:pt idx="38" formatCode="_-* #,##0.00_-;\-* #,##0.00_-;_-* &quot;-&quot;??_-;_-@_-">
                  <c:v>27.067020490704788</c:v>
                </c:pt>
                <c:pt idx="39" formatCode="_-* #,##0.00_-;\-* #,##0.00_-;_-* &quot;-&quot;??_-;_-@_-">
                  <c:v>27.244289973524811</c:v>
                </c:pt>
                <c:pt idx="40" formatCode="_-* #,##0.00_-;\-* #,##0.00_-;_-* &quot;-&quot;??_-;_-@_-">
                  <c:v>27.375319406386247</c:v>
                </c:pt>
                <c:pt idx="41" formatCode="_-* #,##0.00_-;\-* #,##0.00_-;_-* &quot;-&quot;??_-;_-@_-">
                  <c:v>27.477136949825194</c:v>
                </c:pt>
                <c:pt idx="42" formatCode="_-* #,##0.00_-;\-* #,##0.00_-;_-* &quot;-&quot;??_-;_-@_-">
                  <c:v>27.561999370239214</c:v>
                </c:pt>
                <c:pt idx="43" formatCode="_-* #,##0.00_-;\-* #,##0.00_-;_-* &quot;-&quot;??_-;_-@_-">
                  <c:v>27.629668296561075</c:v>
                </c:pt>
                <c:pt idx="44" formatCode="_-* #,##0.00_-;\-* #,##0.00_-;_-* &quot;-&quot;??_-;_-@_-">
                  <c:v>27.686189148443273</c:v>
                </c:pt>
                <c:pt idx="45" formatCode="_-* #,##0.00_-;\-* #,##0.00_-;_-* &quot;-&quot;??_-;_-@_-">
                  <c:v>27.737415219430556</c:v>
                </c:pt>
                <c:pt idx="46" formatCode="_-* #,##0.00_-;\-* #,##0.00_-;_-* &quot;-&quot;??_-;_-@_-">
                  <c:v>27.774117316053754</c:v>
                </c:pt>
                <c:pt idx="47" formatCode="_-* #,##0.00_-;\-* #,##0.00_-;_-* &quot;-&quot;??_-;_-@_-">
                  <c:v>27.825053605186959</c:v>
                </c:pt>
                <c:pt idx="48" formatCode="_-* #,##0.00_-;\-* #,##0.00_-;_-* &quot;-&quot;??_-;_-@_-">
                  <c:v>27.880149578454247</c:v>
                </c:pt>
                <c:pt idx="49" formatCode="_-* #,##0.00_-;\-* #,##0.00_-;_-* &quot;-&quot;??_-;_-@_-">
                  <c:v>27.9311636653064</c:v>
                </c:pt>
                <c:pt idx="50" formatCode="_-* #,##0.00_-;\-* #,##0.00_-;_-* &quot;-&quot;??_-;_-@_-">
                  <c:v>27.969637756638996</c:v>
                </c:pt>
                <c:pt idx="51" formatCode="_-* #,##0.00_-;\-* #,##0.00_-;_-* &quot;-&quot;??_-;_-@_-">
                  <c:v>27.997734857896852</c:v>
                </c:pt>
                <c:pt idx="52" formatCode="_-* #,##0.00_-;\-* #,##0.00_-;_-* &quot;-&quot;??_-;_-@_-">
                  <c:v>28.018522633898243</c:v>
                </c:pt>
                <c:pt idx="53" formatCode="_-* #,##0.00_-;\-* #,##0.00_-;_-* &quot;-&quot;??_-;_-@_-">
                  <c:v>28.041724486256189</c:v>
                </c:pt>
                <c:pt idx="54" formatCode="_-* #,##0.00_-;\-* #,##0.00_-;_-* &quot;-&quot;??_-;_-@_-">
                  <c:v>28.048002774305463</c:v>
                </c:pt>
                <c:pt idx="55" formatCode="_-* #,##0.00_-;\-* #,##0.00_-;_-* &quot;-&quot;??_-;_-@_-">
                  <c:v>28.039107472326123</c:v>
                </c:pt>
                <c:pt idx="56" formatCode="_-* #,##0.00_-;\-* #,##0.00_-;_-* &quot;-&quot;??_-;_-@_-">
                  <c:v>28.022373704926697</c:v>
                </c:pt>
                <c:pt idx="57" formatCode="_-* #,##0.00_-;\-* #,##0.00_-;_-* &quot;-&quot;??_-;_-@_-">
                  <c:v>28.001151173017046</c:v>
                </c:pt>
                <c:pt idx="58" formatCode="_-* #,##0.00_-;\-* #,##0.00_-;_-* &quot;-&quot;??_-;_-@_-">
                  <c:v>27.981894754279658</c:v>
                </c:pt>
                <c:pt idx="59" formatCode="_-* #,##0.00_-;\-* #,##0.00_-;_-* &quot;-&quot;??_-;_-@_-">
                  <c:v>27.964421055612046</c:v>
                </c:pt>
                <c:pt idx="60" formatCode="_-* #,##0.00_-;\-* #,##0.00_-;_-* &quot;-&quot;??_-;_-@_-">
                  <c:v>27.940857079237269</c:v>
                </c:pt>
              </c:numCache>
            </c:numRef>
          </c:val>
          <c:smooth val="0"/>
          <c:extLst>
            <c:ext xmlns:c16="http://schemas.microsoft.com/office/drawing/2014/chart" uri="{C3380CC4-5D6E-409C-BE32-E72D297353CC}">
              <c16:uniqueId val="{00000011-50B6-44C2-9AE4-ABDC3EF18E96}"/>
            </c:ext>
          </c:extLst>
        </c:ser>
        <c:ser>
          <c:idx val="4"/>
          <c:order val="4"/>
          <c:tx>
            <c:strRef>
              <c:f>'Production Forecast'!$A$9</c:f>
              <c:strCache>
                <c:ptCount val="1"/>
                <c:pt idx="0">
                  <c:v>Livestock Production ('000 tonnes)</c:v>
                </c:pt>
              </c:strCache>
            </c:strRef>
          </c:tx>
          <c:spPr>
            <a:ln w="28575" cap="rnd">
              <a:solidFill>
                <a:schemeClr val="accent5"/>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Forecast'!$B$9:$BJ$9</c:f>
              <c:numCache>
                <c:formatCode>0.00</c:formatCode>
                <c:ptCount val="61"/>
                <c:pt idx="0">
                  <c:v>3648.4310000000009</c:v>
                </c:pt>
                <c:pt idx="1">
                  <c:v>3626.1009999999965</c:v>
                </c:pt>
                <c:pt idx="2">
                  <c:v>3604.3369999999991</c:v>
                </c:pt>
                <c:pt idx="3">
                  <c:v>3585.9670000000019</c:v>
                </c:pt>
                <c:pt idx="4">
                  <c:v>3570.8839999999973</c:v>
                </c:pt>
                <c:pt idx="5">
                  <c:v>3552.5910000000003</c:v>
                </c:pt>
                <c:pt idx="6">
                  <c:v>3530.1839999999956</c:v>
                </c:pt>
                <c:pt idx="7">
                  <c:v>3512.1879999999987</c:v>
                </c:pt>
                <c:pt idx="8">
                  <c:v>3497.4810000000016</c:v>
                </c:pt>
                <c:pt idx="9">
                  <c:v>3298.1695450000007</c:v>
                </c:pt>
                <c:pt idx="10">
                  <c:v>3314.6659440000003</c:v>
                </c:pt>
                <c:pt idx="11">
                  <c:v>3353.4200489999998</c:v>
                </c:pt>
                <c:pt idx="12">
                  <c:v>3431.9670190000002</c:v>
                </c:pt>
                <c:pt idx="13">
                  <c:v>3148.7042160000001</c:v>
                </c:pt>
                <c:pt idx="14">
                  <c:v>3767.1203650000002</c:v>
                </c:pt>
                <c:pt idx="15">
                  <c:v>3597.2992899999999</c:v>
                </c:pt>
                <c:pt idx="16">
                  <c:v>3288.9486010000001</c:v>
                </c:pt>
                <c:pt idx="17">
                  <c:v>3303.0021540000007</c:v>
                </c:pt>
                <c:pt idx="18">
                  <c:v>3421.3834820000002</c:v>
                </c:pt>
                <c:pt idx="19">
                  <c:v>3480.2862249999998</c:v>
                </c:pt>
                <c:pt idx="20">
                  <c:v>3567.5791119999999</c:v>
                </c:pt>
                <c:pt idx="21">
                  <c:v>3136.468837709187</c:v>
                </c:pt>
                <c:pt idx="22">
                  <c:v>2935.0243795253036</c:v>
                </c:pt>
                <c:pt idx="23">
                  <c:v>2920.8568104029928</c:v>
                </c:pt>
                <c:pt idx="24">
                  <c:v>3034.1540516879331</c:v>
                </c:pt>
                <c:pt idx="25">
                  <c:v>2997.0125551532819</c:v>
                </c:pt>
                <c:pt idx="26">
                  <c:v>3118.7722213074744</c:v>
                </c:pt>
                <c:pt idx="27">
                  <c:v>3289.3700958991476</c:v>
                </c:pt>
                <c:pt idx="28" formatCode="_-* #,##0.00_-;\-* #,##0.00_-;_-* &quot;-&quot;??_-;_-@_-">
                  <c:v>3249.8523058227747</c:v>
                </c:pt>
                <c:pt idx="29" formatCode="_-* #,##0.00_-;\-* #,##0.00_-;_-* &quot;-&quot;??_-;_-@_-">
                  <c:v>3315.3095928787234</c:v>
                </c:pt>
                <c:pt idx="30" formatCode="_-* #,##0.00_-;\-* #,##0.00_-;_-* &quot;-&quot;??_-;_-@_-">
                  <c:v>3372.9370651619884</c:v>
                </c:pt>
                <c:pt idx="31" formatCode="_-* #,##0.00_-;\-* #,##0.00_-;_-* &quot;-&quot;??_-;_-@_-">
                  <c:v>3414.3177472973193</c:v>
                </c:pt>
                <c:pt idx="32" formatCode="_-* #,##0.00_-;\-* #,##0.00_-;_-* &quot;-&quot;??_-;_-@_-">
                  <c:v>3457.9030072928135</c:v>
                </c:pt>
                <c:pt idx="33" formatCode="_-* #,##0.00_-;\-* #,##0.00_-;_-* &quot;-&quot;??_-;_-@_-">
                  <c:v>3511.0247565711534</c:v>
                </c:pt>
                <c:pt idx="34" formatCode="_-* #,##0.00_-;\-* #,##0.00_-;_-* &quot;-&quot;??_-;_-@_-">
                  <c:v>3577.9538307819289</c:v>
                </c:pt>
                <c:pt idx="35" formatCode="_-* #,##0.00_-;\-* #,##0.00_-;_-* &quot;-&quot;??_-;_-@_-">
                  <c:v>3648.9925679459311</c:v>
                </c:pt>
                <c:pt idx="36" formatCode="_-* #,##0.00_-;\-* #,##0.00_-;_-* &quot;-&quot;??_-;_-@_-">
                  <c:v>3722.0029706471446</c:v>
                </c:pt>
                <c:pt idx="37" formatCode="_-* #,##0.00_-;\-* #,##0.00_-;_-* &quot;-&quot;??_-;_-@_-">
                  <c:v>3794.269609134381</c:v>
                </c:pt>
                <c:pt idx="38" formatCode="_-* #,##0.00_-;\-* #,##0.00_-;_-* &quot;-&quot;??_-;_-@_-">
                  <c:v>3866.4067032254779</c:v>
                </c:pt>
                <c:pt idx="39" formatCode="_-* #,##0.00_-;\-* #,##0.00_-;_-* &quot;-&quot;??_-;_-@_-">
                  <c:v>3936.836185875115</c:v>
                </c:pt>
                <c:pt idx="40" formatCode="_-* #,##0.00_-;\-* #,##0.00_-;_-* &quot;-&quot;??_-;_-@_-">
                  <c:v>4001.8278145011691</c:v>
                </c:pt>
                <c:pt idx="41" formatCode="_-* #,##0.00_-;\-* #,##0.00_-;_-* &quot;-&quot;??_-;_-@_-">
                  <c:v>4063.6950926919053</c:v>
                </c:pt>
                <c:pt idx="42" formatCode="_-* #,##0.00_-;\-* #,##0.00_-;_-* &quot;-&quot;??_-;_-@_-">
                  <c:v>4124.1492146576893</c:v>
                </c:pt>
                <c:pt idx="43" formatCode="_-* #,##0.00_-;\-* #,##0.00_-;_-* &quot;-&quot;??_-;_-@_-">
                  <c:v>4183.0921787943089</c:v>
                </c:pt>
                <c:pt idx="44" formatCode="_-* #,##0.00_-;\-* #,##0.00_-;_-* &quot;-&quot;??_-;_-@_-">
                  <c:v>4241.3848449594798</c:v>
                </c:pt>
                <c:pt idx="45" formatCode="_-* #,##0.00_-;\-* #,##0.00_-;_-* &quot;-&quot;??_-;_-@_-">
                  <c:v>4299.9002604378165</c:v>
                </c:pt>
                <c:pt idx="46" formatCode="_-* #,##0.00_-;\-* #,##0.00_-;_-* &quot;-&quot;??_-;_-@_-">
                  <c:v>4357.1876686225514</c:v>
                </c:pt>
                <c:pt idx="47" formatCode="_-* #,##0.00_-;\-* #,##0.00_-;_-* &quot;-&quot;??_-;_-@_-">
                  <c:v>4417.7576723137945</c:v>
                </c:pt>
                <c:pt idx="48" formatCode="_-* #,##0.00_-;\-* #,##0.00_-;_-* &quot;-&quot;??_-;_-@_-">
                  <c:v>4480.1000144901163</c:v>
                </c:pt>
                <c:pt idx="49" formatCode="_-* #,##0.00_-;\-* #,##0.00_-;_-* &quot;-&quot;??_-;_-@_-">
                  <c:v>4542.9275342770643</c:v>
                </c:pt>
                <c:pt idx="50" formatCode="_-* #,##0.00_-;\-* #,##0.00_-;_-* &quot;-&quot;??_-;_-@_-">
                  <c:v>4604.8536842610956</c:v>
                </c:pt>
                <c:pt idx="51" formatCode="_-* #,##0.00_-;\-* #,##0.00_-;_-* &quot;-&quot;??_-;_-@_-">
                  <c:v>4666.1937454668969</c:v>
                </c:pt>
                <c:pt idx="52" formatCode="_-* #,##0.00_-;\-* #,##0.00_-;_-* &quot;-&quot;??_-;_-@_-">
                  <c:v>4727.4318574040135</c:v>
                </c:pt>
                <c:pt idx="53" formatCode="_-* #,##0.00_-;\-* #,##0.00_-;_-* &quot;-&quot;??_-;_-@_-">
                  <c:v>4790.2136719397431</c:v>
                </c:pt>
                <c:pt idx="54" formatCode="_-* #,##0.00_-;\-* #,##0.00_-;_-* &quot;-&quot;??_-;_-@_-">
                  <c:v>4851.2409606651154</c:v>
                </c:pt>
                <c:pt idx="55" formatCode="_-* #,##0.00_-;\-* #,##0.00_-;_-* &quot;-&quot;??_-;_-@_-">
                  <c:v>4910.7420824796118</c:v>
                </c:pt>
                <c:pt idx="56" formatCode="_-* #,##0.00_-;\-* #,##0.00_-;_-* &quot;-&quot;??_-;_-@_-">
                  <c:v>4969.9485756607037</c:v>
                </c:pt>
                <c:pt idx="57" formatCode="_-* #,##0.00_-;\-* #,##0.00_-;_-* &quot;-&quot;??_-;_-@_-">
                  <c:v>5029.4398114523974</c:v>
                </c:pt>
                <c:pt idx="58" formatCode="_-* #,##0.00_-;\-* #,##0.00_-;_-* &quot;-&quot;??_-;_-@_-">
                  <c:v>5090.3900436132999</c:v>
                </c:pt>
                <c:pt idx="59" formatCode="_-* #,##0.00_-;\-* #,##0.00_-;_-* &quot;-&quot;??_-;_-@_-">
                  <c:v>5152.8109055963796</c:v>
                </c:pt>
                <c:pt idx="60" formatCode="_-* #,##0.00_-;\-* #,##0.00_-;_-* &quot;-&quot;??_-;_-@_-">
                  <c:v>5215.2787337334066</c:v>
                </c:pt>
              </c:numCache>
            </c:numRef>
          </c:val>
          <c:smooth val="0"/>
          <c:extLst>
            <c:ext xmlns:c16="http://schemas.microsoft.com/office/drawing/2014/chart" uri="{C3380CC4-5D6E-409C-BE32-E72D297353CC}">
              <c16:uniqueId val="{00000012-50B6-44C2-9AE4-ABDC3EF18E96}"/>
            </c:ext>
          </c:extLst>
        </c:ser>
        <c:ser>
          <c:idx val="5"/>
          <c:order val="5"/>
          <c:tx>
            <c:strRef>
              <c:f>'Production Forecast'!$A$10</c:f>
              <c:strCache>
                <c:ptCount val="1"/>
                <c:pt idx="0">
                  <c:v>Cattle</c:v>
                </c:pt>
              </c:strCache>
            </c:strRef>
          </c:tx>
          <c:spPr>
            <a:ln w="28575" cap="rnd">
              <a:solidFill>
                <a:schemeClr val="accent6"/>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Forecast'!$B$10:$BJ$10</c:f>
              <c:numCache>
                <c:formatCode>0.00</c:formatCode>
                <c:ptCount val="61"/>
                <c:pt idx="0">
                  <c:v>2711.1100000000006</c:v>
                </c:pt>
                <c:pt idx="1">
                  <c:v>2681.9989999999962</c:v>
                </c:pt>
                <c:pt idx="2">
                  <c:v>2652.887999999999</c:v>
                </c:pt>
                <c:pt idx="3">
                  <c:v>2623.7770000000019</c:v>
                </c:pt>
                <c:pt idx="4">
                  <c:v>2594.6659999999974</c:v>
                </c:pt>
                <c:pt idx="5">
                  <c:v>2565.5550000000003</c:v>
                </c:pt>
                <c:pt idx="6">
                  <c:v>2536.4439999999959</c:v>
                </c:pt>
                <c:pt idx="7">
                  <c:v>2507.3329999999987</c:v>
                </c:pt>
                <c:pt idx="8">
                  <c:v>2478.2220000000016</c:v>
                </c:pt>
                <c:pt idx="9">
                  <c:v>2322.3070000000002</c:v>
                </c:pt>
                <c:pt idx="10">
                  <c:v>2334.9030000000002</c:v>
                </c:pt>
                <c:pt idx="11">
                  <c:v>2342.002</c:v>
                </c:pt>
                <c:pt idx="12">
                  <c:v>2367.91</c:v>
                </c:pt>
                <c:pt idx="13">
                  <c:v>2071.4549999999999</c:v>
                </c:pt>
                <c:pt idx="14">
                  <c:v>2648.3409999999999</c:v>
                </c:pt>
                <c:pt idx="15">
                  <c:v>2462.98</c:v>
                </c:pt>
                <c:pt idx="16">
                  <c:v>2151.8110000000001</c:v>
                </c:pt>
                <c:pt idx="17">
                  <c:v>2200.2580000000003</c:v>
                </c:pt>
                <c:pt idx="18">
                  <c:v>2303.5320000000002</c:v>
                </c:pt>
                <c:pt idx="19">
                  <c:v>2396.0650000000001</c:v>
                </c:pt>
                <c:pt idx="20">
                  <c:v>2471.0630000000001</c:v>
                </c:pt>
                <c:pt idx="21">
                  <c:v>2046.6873927091865</c:v>
                </c:pt>
                <c:pt idx="22">
                  <c:v>1835.2412835253035</c:v>
                </c:pt>
                <c:pt idx="23">
                  <c:v>1853.1396194029924</c:v>
                </c:pt>
                <c:pt idx="24">
                  <c:v>1932.5596156879328</c:v>
                </c:pt>
                <c:pt idx="25">
                  <c:v>1833.1419161532817</c:v>
                </c:pt>
                <c:pt idx="26">
                  <c:v>1924.3706263074746</c:v>
                </c:pt>
                <c:pt idx="27">
                  <c:v>2058.2576438991473</c:v>
                </c:pt>
                <c:pt idx="28" formatCode="_-* #,##0.00_-;\-* #,##0.00_-;_-* &quot;-&quot;??_-;_-@_-">
                  <c:v>2008.0740630549947</c:v>
                </c:pt>
                <c:pt idx="29" formatCode="_-* #,##0.00_-;\-* #,##0.00_-;_-* &quot;-&quot;??_-;_-@_-">
                  <c:v>2041.6914098218078</c:v>
                </c:pt>
                <c:pt idx="30" formatCode="_-* #,##0.00_-;\-* #,##0.00_-;_-* &quot;-&quot;??_-;_-@_-">
                  <c:v>2070.283907232214</c:v>
                </c:pt>
                <c:pt idx="31" formatCode="_-* #,##0.00_-;\-* #,##0.00_-;_-* &quot;-&quot;??_-;_-@_-">
                  <c:v>2088.7524255865337</c:v>
                </c:pt>
                <c:pt idx="32" formatCode="_-* #,##0.00_-;\-* #,##0.00_-;_-* &quot;-&quot;??_-;_-@_-">
                  <c:v>2108.4478660313825</c:v>
                </c:pt>
                <c:pt idx="33" formatCode="_-* #,##0.00_-;\-* #,##0.00_-;_-* &quot;-&quot;??_-;_-@_-">
                  <c:v>2133.814209303745</c:v>
                </c:pt>
                <c:pt idx="34" formatCode="_-* #,##0.00_-;\-* #,##0.00_-;_-* &quot;-&quot;??_-;_-@_-">
                  <c:v>2167.3830740631288</c:v>
                </c:pt>
                <c:pt idx="35" formatCode="_-* #,##0.00_-;\-* #,##0.00_-;_-* &quot;-&quot;??_-;_-@_-">
                  <c:v>2203.2191651897742</c:v>
                </c:pt>
                <c:pt idx="36" formatCode="_-* #,##0.00_-;\-* #,##0.00_-;_-* &quot;-&quot;??_-;_-@_-">
                  <c:v>2240.0139174445412</c:v>
                </c:pt>
                <c:pt idx="37" formatCode="_-* #,##0.00_-;\-* #,##0.00_-;_-* &quot;-&quot;??_-;_-@_-">
                  <c:v>2276.1293090511867</c:v>
                </c:pt>
                <c:pt idx="38" formatCode="_-* #,##0.00_-;\-* #,##0.00_-;_-* &quot;-&quot;??_-;_-@_-">
                  <c:v>2311.9393971695786</c:v>
                </c:pt>
                <c:pt idx="39" formatCode="_-* #,##0.00_-;\-* #,##0.00_-;_-* &quot;-&quot;??_-;_-@_-">
                  <c:v>2346.5067460781574</c:v>
                </c:pt>
                <c:pt idx="40" formatCode="_-* #,##0.00_-;\-* #,##0.00_-;_-* &quot;-&quot;??_-;_-@_-">
                  <c:v>2377.6272070401101</c:v>
                </c:pt>
                <c:pt idx="41" formatCode="_-* #,##0.00_-;\-* #,##0.00_-;_-* &quot;-&quot;??_-;_-@_-">
                  <c:v>2406.7040433378661</c:v>
                </c:pt>
                <c:pt idx="42" formatCode="_-* #,##0.00_-;\-* #,##0.00_-;_-* &quot;-&quot;??_-;_-@_-">
                  <c:v>2434.7671033828556</c:v>
                </c:pt>
                <c:pt idx="43" formatCode="_-* #,##0.00_-;\-* #,##0.00_-;_-* &quot;-&quot;??_-;_-@_-">
                  <c:v>2461.7684854862691</c:v>
                </c:pt>
                <c:pt idx="44" formatCode="_-* #,##0.00_-;\-* #,##0.00_-;_-* &quot;-&quot;??_-;_-@_-">
                  <c:v>2488.2233976558787</c:v>
                </c:pt>
                <c:pt idx="45" formatCode="_-* #,##0.00_-;\-* #,##0.00_-;_-* &quot;-&quot;??_-;_-@_-">
                  <c:v>2514.6477051252787</c:v>
                </c:pt>
                <c:pt idx="46" formatCode="_-* #,##0.00_-;\-* #,##0.00_-;_-* &quot;-&quot;??_-;_-@_-">
                  <c:v>2540.1960711868228</c:v>
                </c:pt>
                <c:pt idx="47" formatCode="_-* #,##0.00_-;\-* #,##0.00_-;_-* &quot;-&quot;??_-;_-@_-">
                  <c:v>2567.4982779158081</c:v>
                </c:pt>
                <c:pt idx="48" formatCode="_-* #,##0.00_-;\-* #,##0.00_-;_-* &quot;-&quot;??_-;_-@_-">
                  <c:v>2595.663163151889</c:v>
                </c:pt>
                <c:pt idx="49" formatCode="_-* #,##0.00_-;\-* #,##0.00_-;_-* &quot;-&quot;??_-;_-@_-">
                  <c:v>2623.9394459418409</c:v>
                </c:pt>
                <c:pt idx="50" formatCode="_-* #,##0.00_-;\-* #,##0.00_-;_-* &quot;-&quot;??_-;_-@_-">
                  <c:v>2651.5278689588758</c:v>
                </c:pt>
                <c:pt idx="51" formatCode="_-* #,##0.00_-;\-* #,##0.00_-;_-* &quot;-&quot;??_-;_-@_-">
                  <c:v>2678.6159014229656</c:v>
                </c:pt>
                <c:pt idx="52" formatCode="_-* #,##0.00_-;\-* #,##0.00_-;_-* &quot;-&quot;??_-;_-@_-">
                  <c:v>2705.4853521105592</c:v>
                </c:pt>
                <c:pt idx="53" formatCode="_-* #,##0.00_-;\-* #,##0.00_-;_-* &quot;-&quot;??_-;_-@_-">
                  <c:v>2733.0773013591197</c:v>
                </c:pt>
                <c:pt idx="54" formatCode="_-* #,##0.00_-;\-* #,##0.00_-;_-* &quot;-&quot;??_-;_-@_-">
                  <c:v>2759.5092150699602</c:v>
                </c:pt>
                <c:pt idx="55" formatCode="_-* #,##0.00_-;\-* #,##0.00_-;_-* &quot;-&quot;??_-;_-@_-">
                  <c:v>2784.9212582522582</c:v>
                </c:pt>
                <c:pt idx="56" formatCode="_-* #,##0.00_-;\-* #,##0.00_-;_-* &quot;-&quot;??_-;_-@_-">
                  <c:v>2810.019095523844</c:v>
                </c:pt>
                <c:pt idx="57" formatCode="_-* #,##0.00_-;\-* #,##0.00_-;_-* &quot;-&quot;??_-;_-@_-">
                  <c:v>2835.1322879804743</c:v>
                </c:pt>
                <c:pt idx="58" formatCode="_-* #,##0.00_-;\-* #,##0.00_-;_-* &quot;-&quot;??_-;_-@_-">
                  <c:v>2860.9207942828816</c:v>
                </c:pt>
                <c:pt idx="59" formatCode="_-* #,##0.00_-;\-* #,##0.00_-;_-* &quot;-&quot;??_-;_-@_-">
                  <c:v>2887.3852417829853</c:v>
                </c:pt>
                <c:pt idx="60" formatCode="_-* #,##0.00_-;\-* #,##0.00_-;_-* &quot;-&quot;??_-;_-@_-">
                  <c:v>2913.7243716026392</c:v>
                </c:pt>
              </c:numCache>
            </c:numRef>
          </c:val>
          <c:smooth val="0"/>
          <c:extLst>
            <c:ext xmlns:c16="http://schemas.microsoft.com/office/drawing/2014/chart" uri="{C3380CC4-5D6E-409C-BE32-E72D297353CC}">
              <c16:uniqueId val="{00000013-50B6-44C2-9AE4-ABDC3EF18E96}"/>
            </c:ext>
          </c:extLst>
        </c:ser>
        <c:ser>
          <c:idx val="6"/>
          <c:order val="6"/>
          <c:tx>
            <c:strRef>
              <c:f>'Production Forecast'!$A$11</c:f>
              <c:strCache>
                <c:ptCount val="1"/>
                <c:pt idx="0">
                  <c:v>Hog</c:v>
                </c:pt>
              </c:strCache>
            </c:strRef>
          </c:tx>
          <c:spPr>
            <a:ln w="28575" cap="rnd">
              <a:solidFill>
                <a:schemeClr val="accent1">
                  <a:lumMod val="60000"/>
                </a:schemeClr>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Forecast'!$B$11:$BJ$11</c:f>
              <c:numCache>
                <c:formatCode>0.00</c:formatCode>
                <c:ptCount val="61"/>
                <c:pt idx="0">
                  <c:v>320.51</c:v>
                </c:pt>
                <c:pt idx="1">
                  <c:v>321.18900000000008</c:v>
                </c:pt>
                <c:pt idx="2">
                  <c:v>321.86799999999994</c:v>
                </c:pt>
                <c:pt idx="3">
                  <c:v>322.54700000000003</c:v>
                </c:pt>
                <c:pt idx="4">
                  <c:v>323.22600000000011</c:v>
                </c:pt>
                <c:pt idx="5">
                  <c:v>323.90499999999997</c:v>
                </c:pt>
                <c:pt idx="6">
                  <c:v>324.58400000000006</c:v>
                </c:pt>
                <c:pt idx="7">
                  <c:v>325.26300000000015</c:v>
                </c:pt>
                <c:pt idx="8">
                  <c:v>325.94200000000001</c:v>
                </c:pt>
                <c:pt idx="9">
                  <c:v>271.187545</c:v>
                </c:pt>
                <c:pt idx="10">
                  <c:v>265.61694400000005</c:v>
                </c:pt>
                <c:pt idx="11">
                  <c:v>281.69704899999999</c:v>
                </c:pt>
                <c:pt idx="12">
                  <c:v>328.57401900000002</c:v>
                </c:pt>
                <c:pt idx="13">
                  <c:v>357.96321600000005</c:v>
                </c:pt>
                <c:pt idx="14">
                  <c:v>382.14236499999998</c:v>
                </c:pt>
                <c:pt idx="15">
                  <c:v>396.52829000000003</c:v>
                </c:pt>
                <c:pt idx="16">
                  <c:v>411.71660100000003</c:v>
                </c:pt>
                <c:pt idx="17">
                  <c:v>372.70715400000006</c:v>
                </c:pt>
                <c:pt idx="18">
                  <c:v>343.07348200000001</c:v>
                </c:pt>
                <c:pt idx="19">
                  <c:v>330.09522500000003</c:v>
                </c:pt>
                <c:pt idx="20">
                  <c:v>338.08111200000002</c:v>
                </c:pt>
                <c:pt idx="21">
                  <c:v>318.39344499999999</c:v>
                </c:pt>
                <c:pt idx="22">
                  <c:v>305.56809600000003</c:v>
                </c:pt>
                <c:pt idx="23">
                  <c:v>299.470191</c:v>
                </c:pt>
                <c:pt idx="24">
                  <c:v>318.70243599999998</c:v>
                </c:pt>
                <c:pt idx="25">
                  <c:v>339.50363900000002</c:v>
                </c:pt>
                <c:pt idx="26">
                  <c:v>332.67459500000001</c:v>
                </c:pt>
                <c:pt idx="27">
                  <c:v>329.87945200000001</c:v>
                </c:pt>
                <c:pt idx="28" formatCode="_-* #,##0.00_-;\-* #,##0.00_-;_-* &quot;-&quot;??_-;_-@_-">
                  <c:v>328.76605923175788</c:v>
                </c:pt>
                <c:pt idx="29" formatCode="_-* #,##0.00_-;\-* #,##0.00_-;_-* &quot;-&quot;??_-;_-@_-">
                  <c:v>326.41779559521024</c:v>
                </c:pt>
                <c:pt idx="30" formatCode="_-* #,##0.00_-;\-* #,##0.00_-;_-* &quot;-&quot;??_-;_-@_-">
                  <c:v>323.03201571659167</c:v>
                </c:pt>
                <c:pt idx="31" formatCode="_-* #,##0.00_-;\-* #,##0.00_-;_-* &quot;-&quot;??_-;_-@_-">
                  <c:v>317.89081860334204</c:v>
                </c:pt>
                <c:pt idx="32" formatCode="_-* #,##0.00_-;\-* #,##0.00_-;_-* &quot;-&quot;??_-;_-@_-">
                  <c:v>312.79493615808519</c:v>
                </c:pt>
                <c:pt idx="33" formatCode="_-* #,##0.00_-;\-* #,##0.00_-;_-* &quot;-&quot;??_-;_-@_-">
                  <c:v>308.3726107620285</c:v>
                </c:pt>
                <c:pt idx="34" formatCode="_-* #,##0.00_-;\-* #,##0.00_-;_-* &quot;-&quot;??_-;_-@_-">
                  <c:v>304.91491848440364</c:v>
                </c:pt>
                <c:pt idx="35" formatCode="_-* #,##0.00_-;\-* #,##0.00_-;_-* &quot;-&quot;??_-;_-@_-">
                  <c:v>301.51550578657395</c:v>
                </c:pt>
                <c:pt idx="36" formatCode="_-* #,##0.00_-;\-* #,##0.00_-;_-* &quot;-&quot;??_-;_-@_-">
                  <c:v>297.9745020466047</c:v>
                </c:pt>
                <c:pt idx="37" formatCode="_-* #,##0.00_-;\-* #,##0.00_-;_-* &quot;-&quot;??_-;_-@_-">
                  <c:v>294.06953258088407</c:v>
                </c:pt>
                <c:pt idx="38" formatCode="_-* #,##0.00_-;\-* #,##0.00_-;_-* &quot;-&quot;??_-;_-@_-">
                  <c:v>289.85555175560648</c:v>
                </c:pt>
                <c:pt idx="39" formatCode="_-* #,##0.00_-;\-* #,##0.00_-;_-* &quot;-&quot;??_-;_-@_-">
                  <c:v>285.22237147236217</c:v>
                </c:pt>
                <c:pt idx="40" formatCode="_-* #,##0.00_-;\-* #,##0.00_-;_-* &quot;-&quot;??_-;_-@_-">
                  <c:v>279.92498525891915</c:v>
                </c:pt>
                <c:pt idx="41" formatCode="_-* #,##0.00_-;\-* #,##0.00_-;_-* &quot;-&quot;??_-;_-@_-">
                  <c:v>274.16296045903056</c:v>
                </c:pt>
                <c:pt idx="42" formatCode="_-* #,##0.00_-;\-* #,##0.00_-;_-* &quot;-&quot;??_-;_-@_-">
                  <c:v>268.07329111776875</c:v>
                </c:pt>
                <c:pt idx="43" formatCode="_-* #,##0.00_-;\-* #,##0.00_-;_-* &quot;-&quot;??_-;_-@_-">
                  <c:v>261.66268469984544</c:v>
                </c:pt>
                <c:pt idx="44" formatCode="_-* #,##0.00_-;\-* #,##0.00_-;_-* &quot;-&quot;??_-;_-@_-">
                  <c:v>254.99627172274842</c:v>
                </c:pt>
                <c:pt idx="45" formatCode="_-* #,##0.00_-;\-* #,##0.00_-;_-* &quot;-&quot;??_-;_-@_-">
                  <c:v>248.13138658702596</c:v>
                </c:pt>
                <c:pt idx="46" formatCode="_-* #,##0.00_-;\-* #,##0.00_-;_-* &quot;-&quot;??_-;_-@_-">
                  <c:v>240.98836801492018</c:v>
                </c:pt>
                <c:pt idx="47" formatCode="_-* #,##0.00_-;\-* #,##0.00_-;_-* &quot;-&quot;??_-;_-@_-">
                  <c:v>233.81688199903212</c:v>
                </c:pt>
                <c:pt idx="48" formatCode="_-* #,##0.00_-;\-* #,##0.00_-;_-* &quot;-&quot;??_-;_-@_-">
                  <c:v>226.51934608413163</c:v>
                </c:pt>
                <c:pt idx="49" formatCode="_-* #,##0.00_-;\-* #,##0.00_-;_-* &quot;-&quot;??_-;_-@_-">
                  <c:v>219.02341464676115</c:v>
                </c:pt>
                <c:pt idx="50" formatCode="_-* #,##0.00_-;\-* #,##0.00_-;_-* &quot;-&quot;??_-;_-@_-">
                  <c:v>211.26433545054098</c:v>
                </c:pt>
                <c:pt idx="51" formatCode="_-* #,##0.00_-;\-* #,##0.00_-;_-* &quot;-&quot;??_-;_-@_-">
                  <c:v>203.26435873653017</c:v>
                </c:pt>
                <c:pt idx="52" formatCode="_-* #,##0.00_-;\-* #,##0.00_-;_-* &quot;-&quot;??_-;_-@_-">
                  <c:v>195.04968389502264</c:v>
                </c:pt>
                <c:pt idx="53" formatCode="_-* #,##0.00_-;\-* #,##0.00_-;_-* &quot;-&quot;??_-;_-@_-">
                  <c:v>186.68726601226692</c:v>
                </c:pt>
                <c:pt idx="54" formatCode="_-* #,##0.00_-;\-* #,##0.00_-;_-* &quot;-&quot;??_-;_-@_-">
                  <c:v>178.04762452767358</c:v>
                </c:pt>
                <c:pt idx="55" formatCode="_-* #,##0.00_-;\-* #,##0.00_-;_-* &quot;-&quot;??_-;_-@_-">
                  <c:v>169.1526297679647</c:v>
                </c:pt>
                <c:pt idx="56" formatCode="_-* #,##0.00_-;\-* #,##0.00_-;_-* &quot;-&quot;??_-;_-@_-">
                  <c:v>160.05422559645967</c:v>
                </c:pt>
                <c:pt idx="57" formatCode="_-* #,##0.00_-;\-* #,##0.00_-;_-* &quot;-&quot;??_-;_-@_-">
                  <c:v>150.77367578351672</c:v>
                </c:pt>
                <c:pt idx="58" formatCode="_-* #,##0.00_-;\-* #,##0.00_-;_-* &quot;-&quot;??_-;_-@_-">
                  <c:v>141.34358553917414</c:v>
                </c:pt>
                <c:pt idx="59" formatCode="_-* #,##0.00_-;\-* #,##0.00_-;_-* &quot;-&quot;??_-;_-@_-">
                  <c:v>131.756513115438</c:v>
                </c:pt>
                <c:pt idx="60" formatCode="_-* #,##0.00_-;\-* #,##0.00_-;_-* &quot;-&quot;??_-;_-@_-">
                  <c:v>121.97144899573486</c:v>
                </c:pt>
              </c:numCache>
            </c:numRef>
          </c:val>
          <c:smooth val="0"/>
          <c:extLst>
            <c:ext xmlns:c16="http://schemas.microsoft.com/office/drawing/2014/chart" uri="{C3380CC4-5D6E-409C-BE32-E72D297353CC}">
              <c16:uniqueId val="{00000014-50B6-44C2-9AE4-ABDC3EF18E96}"/>
            </c:ext>
          </c:extLst>
        </c:ser>
        <c:ser>
          <c:idx val="7"/>
          <c:order val="7"/>
          <c:tx>
            <c:strRef>
              <c:f>'Production Forecast'!$A$12</c:f>
              <c:strCache>
                <c:ptCount val="1"/>
                <c:pt idx="0">
                  <c:v>Poultry &amp; Eggs</c:v>
                </c:pt>
              </c:strCache>
            </c:strRef>
          </c:tx>
          <c:spPr>
            <a:ln w="28575" cap="rnd">
              <a:solidFill>
                <a:schemeClr val="accent2">
                  <a:lumMod val="60000"/>
                </a:schemeClr>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Forecast'!$B$12:$BJ$12</c:f>
              <c:numCache>
                <c:formatCode>0.00</c:formatCode>
                <c:ptCount val="61"/>
                <c:pt idx="0">
                  <c:v>62.411000000000001</c:v>
                </c:pt>
                <c:pt idx="1">
                  <c:v>61.953000000000003</c:v>
                </c:pt>
                <c:pt idx="2">
                  <c:v>62.061</c:v>
                </c:pt>
                <c:pt idx="3">
                  <c:v>65.563000000000002</c:v>
                </c:pt>
                <c:pt idx="4">
                  <c:v>72.352000000000004</c:v>
                </c:pt>
                <c:pt idx="5">
                  <c:v>75.930999999999997</c:v>
                </c:pt>
                <c:pt idx="6">
                  <c:v>75.396000000000001</c:v>
                </c:pt>
                <c:pt idx="7">
                  <c:v>79.272000000000006</c:v>
                </c:pt>
                <c:pt idx="8">
                  <c:v>86.436999999999998</c:v>
                </c:pt>
                <c:pt idx="9">
                  <c:v>91.234999999999999</c:v>
                </c:pt>
                <c:pt idx="10">
                  <c:v>94.146000000000001</c:v>
                </c:pt>
                <c:pt idx="11">
                  <c:v>100.03100000000001</c:v>
                </c:pt>
                <c:pt idx="12">
                  <c:v>96.403999999999996</c:v>
                </c:pt>
                <c:pt idx="13">
                  <c:v>95.906000000000006</c:v>
                </c:pt>
                <c:pt idx="14">
                  <c:v>101.572</c:v>
                </c:pt>
                <c:pt idx="15">
                  <c:v>100.747</c:v>
                </c:pt>
                <c:pt idx="16">
                  <c:v>101.392</c:v>
                </c:pt>
                <c:pt idx="17">
                  <c:v>103.886</c:v>
                </c:pt>
                <c:pt idx="18">
                  <c:v>106.822</c:v>
                </c:pt>
                <c:pt idx="19">
                  <c:v>104.459</c:v>
                </c:pt>
                <c:pt idx="20">
                  <c:v>108.438</c:v>
                </c:pt>
                <c:pt idx="21">
                  <c:v>111.32900000000001</c:v>
                </c:pt>
                <c:pt idx="22">
                  <c:v>114.28</c:v>
                </c:pt>
                <c:pt idx="23">
                  <c:v>114.717</c:v>
                </c:pt>
                <c:pt idx="24">
                  <c:v>114.492</c:v>
                </c:pt>
                <c:pt idx="25">
                  <c:v>123.125</c:v>
                </c:pt>
                <c:pt idx="26">
                  <c:v>129.39000000000001</c:v>
                </c:pt>
                <c:pt idx="27">
                  <c:v>133.17400000000001</c:v>
                </c:pt>
                <c:pt idx="28" formatCode="_-* #,##0.00_-;\-* #,##0.00_-;_-* &quot;-&quot;??_-;_-@_-">
                  <c:v>134.86791518896322</c:v>
                </c:pt>
                <c:pt idx="29" formatCode="_-* #,##0.00_-;\-* #,##0.00_-;_-* &quot;-&quot;??_-;_-@_-">
                  <c:v>137.83946516971383</c:v>
                </c:pt>
                <c:pt idx="30" formatCode="_-* #,##0.00_-;\-* #,##0.00_-;_-* &quot;-&quot;??_-;_-@_-">
                  <c:v>140.49305952338102</c:v>
                </c:pt>
                <c:pt idx="31" formatCode="_-* #,##0.00_-;\-* #,##0.00_-;_-* &quot;-&quot;??_-;_-@_-">
                  <c:v>142.47559726756964</c:v>
                </c:pt>
                <c:pt idx="32" formatCode="_-* #,##0.00_-;\-* #,##0.00_-;_-* &quot;-&quot;??_-;_-@_-">
                  <c:v>144.55467797894414</c:v>
                </c:pt>
                <c:pt idx="33" formatCode="_-* #,##0.00_-;\-* #,##0.00_-;_-* &quot;-&quot;??_-;_-@_-">
                  <c:v>147.03780091557633</c:v>
                </c:pt>
                <c:pt idx="34" formatCode="_-* #,##0.00_-;\-* #,##0.00_-;_-* &quot;-&quot;??_-;_-@_-">
                  <c:v>150.10621356205974</c:v>
                </c:pt>
                <c:pt idx="35" formatCode="_-* #,##0.00_-;\-* #,##0.00_-;_-* &quot;-&quot;??_-;_-@_-">
                  <c:v>153.35534163718887</c:v>
                </c:pt>
                <c:pt idx="36" formatCode="_-* #,##0.00_-;\-* #,##0.00_-;_-* &quot;-&quot;??_-;_-@_-">
                  <c:v>156.69599202837813</c:v>
                </c:pt>
                <c:pt idx="37" formatCode="_-* #,##0.00_-;\-* #,##0.00_-;_-* &quot;-&quot;??_-;_-@_-">
                  <c:v>160.0139871199838</c:v>
                </c:pt>
                <c:pt idx="38" formatCode="_-* #,##0.00_-;\-* #,##0.00_-;_-* &quot;-&quot;??_-;_-@_-">
                  <c:v>163.33502110004122</c:v>
                </c:pt>
                <c:pt idx="39" formatCode="_-* #,##0.00_-;\-* #,##0.00_-;_-* &quot;-&quot;??_-;_-@_-">
                  <c:v>166.59219826927315</c:v>
                </c:pt>
                <c:pt idx="40" formatCode="_-* #,##0.00_-;\-* #,##0.00_-;_-* &quot;-&quot;??_-;_-@_-">
                  <c:v>169.62695069186401</c:v>
                </c:pt>
                <c:pt idx="41" formatCode="_-* #,##0.00_-;\-* #,##0.00_-;_-* &quot;-&quot;??_-;_-@_-">
                  <c:v>172.53626846821064</c:v>
                </c:pt>
                <c:pt idx="42" formatCode="_-* #,##0.00_-;\-* #,##0.00_-;_-* &quot;-&quot;??_-;_-@_-">
                  <c:v>175.39219272145516</c:v>
                </c:pt>
                <c:pt idx="43" formatCode="_-* #,##0.00_-;\-* #,##0.00_-;_-* &quot;-&quot;??_-;_-@_-">
                  <c:v>178.19018372981009</c:v>
                </c:pt>
                <c:pt idx="44" formatCode="_-* #,##0.00_-;\-* #,##0.00_-;_-* &quot;-&quot;??_-;_-@_-">
                  <c:v>180.96659133402906</c:v>
                </c:pt>
                <c:pt idx="45" formatCode="_-* #,##0.00_-;\-* #,##0.00_-;_-* &quot;-&quot;??_-;_-@_-">
                  <c:v>183.75852791613252</c:v>
                </c:pt>
                <c:pt idx="46" formatCode="_-* #,##0.00_-;\-* #,##0.00_-;_-* &quot;-&quot;??_-;_-@_-">
                  <c:v>186.50387926055751</c:v>
                </c:pt>
                <c:pt idx="47" formatCode="_-* #,##0.00_-;\-* #,##0.00_-;_-* &quot;-&quot;??_-;_-@_-">
                  <c:v>189.39571051183773</c:v>
                </c:pt>
                <c:pt idx="48" formatCode="_-* #,##0.00_-;\-* #,##0.00_-;_-* &quot;-&quot;??_-;_-@_-">
                  <c:v>192.36977666980226</c:v>
                </c:pt>
                <c:pt idx="49" formatCode="_-* #,##0.00_-;\-* #,##0.00_-;_-* &quot;-&quot;??_-;_-@_-">
                  <c:v>195.3710152959182</c:v>
                </c:pt>
                <c:pt idx="50" formatCode="_-* #,##0.00_-;\-* #,##0.00_-;_-* &quot;-&quot;??_-;_-@_-">
                  <c:v>198.3397375774469</c:v>
                </c:pt>
                <c:pt idx="51" formatCode="_-* #,##0.00_-;\-* #,##0.00_-;_-* &quot;-&quot;??_-;_-@_-">
                  <c:v>201.28930185766458</c:v>
                </c:pt>
                <c:pt idx="52" formatCode="_-* #,##0.00_-;\-* #,##0.00_-;_-* &quot;-&quot;??_-;_-@_-">
                  <c:v>204.24044753605804</c:v>
                </c:pt>
                <c:pt idx="53" formatCode="_-* #,##0.00_-;\-* #,##0.00_-;_-* &quot;-&quot;??_-;_-@_-">
                  <c:v>207.26429894983315</c:v>
                </c:pt>
                <c:pt idx="54" formatCode="_-* #,##0.00_-;\-* #,##0.00_-;_-* &quot;-&quot;??_-;_-@_-">
                  <c:v>210.21817416249604</c:v>
                </c:pt>
                <c:pt idx="55" formatCode="_-* #,##0.00_-;\-* #,##0.00_-;_-* &quot;-&quot;??_-;_-@_-">
                  <c:v>213.11158501486719</c:v>
                </c:pt>
                <c:pt idx="56" formatCode="_-* #,##0.00_-;\-* #,##0.00_-;_-* &quot;-&quot;??_-;_-@_-">
                  <c:v>215.99770578763767</c:v>
                </c:pt>
                <c:pt idx="57" formatCode="_-* #,##0.00_-;\-* #,##0.00_-;_-* &quot;-&quot;??_-;_-@_-">
                  <c:v>218.9016422972505</c:v>
                </c:pt>
                <c:pt idx="58" formatCode="_-* #,##0.00_-;\-* #,##0.00_-;_-* &quot;-&quot;??_-;_-@_-">
                  <c:v>221.87457668365519</c:v>
                </c:pt>
                <c:pt idx="59" formatCode="_-* #,##0.00_-;\-* #,##0.00_-;_-* &quot;-&quot;??_-;_-@_-">
                  <c:v>224.91723682715093</c:v>
                </c:pt>
                <c:pt idx="60" formatCode="_-* #,##0.00_-;\-* #,##0.00_-;_-* &quot;-&quot;??_-;_-@_-">
                  <c:v>227.96761163023666</c:v>
                </c:pt>
              </c:numCache>
            </c:numRef>
          </c:val>
          <c:smooth val="0"/>
          <c:extLst>
            <c:ext xmlns:c16="http://schemas.microsoft.com/office/drawing/2014/chart" uri="{C3380CC4-5D6E-409C-BE32-E72D297353CC}">
              <c16:uniqueId val="{00000015-50B6-44C2-9AE4-ABDC3EF18E96}"/>
            </c:ext>
          </c:extLst>
        </c:ser>
        <c:ser>
          <c:idx val="8"/>
          <c:order val="8"/>
          <c:tx>
            <c:strRef>
              <c:f>'Production Forecast'!$A$13</c:f>
              <c:strCache>
                <c:ptCount val="1"/>
                <c:pt idx="0">
                  <c:v>Dairy</c:v>
                </c:pt>
              </c:strCache>
            </c:strRef>
          </c:tx>
          <c:spPr>
            <a:ln w="28575" cap="rnd">
              <a:solidFill>
                <a:schemeClr val="accent3">
                  <a:lumMod val="60000"/>
                </a:schemeClr>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Forecast'!$B$13:$BJ$13</c:f>
              <c:numCache>
                <c:formatCode>0.00</c:formatCode>
                <c:ptCount val="61"/>
                <c:pt idx="0">
                  <c:v>554.4</c:v>
                </c:pt>
                <c:pt idx="1">
                  <c:v>560.96</c:v>
                </c:pt>
                <c:pt idx="2">
                  <c:v>567.52</c:v>
                </c:pt>
                <c:pt idx="3">
                  <c:v>574.08000000000004</c:v>
                </c:pt>
                <c:pt idx="4">
                  <c:v>580.64</c:v>
                </c:pt>
                <c:pt idx="5">
                  <c:v>587.20000000000005</c:v>
                </c:pt>
                <c:pt idx="6">
                  <c:v>593.76</c:v>
                </c:pt>
                <c:pt idx="7">
                  <c:v>600.32000000000005</c:v>
                </c:pt>
                <c:pt idx="8">
                  <c:v>606.88</c:v>
                </c:pt>
                <c:pt idx="9">
                  <c:v>613.44000000000005</c:v>
                </c:pt>
                <c:pt idx="10">
                  <c:v>620</c:v>
                </c:pt>
                <c:pt idx="11">
                  <c:v>629.69000000000005</c:v>
                </c:pt>
                <c:pt idx="12">
                  <c:v>639.07900000000006</c:v>
                </c:pt>
                <c:pt idx="13">
                  <c:v>623.38</c:v>
                </c:pt>
                <c:pt idx="14">
                  <c:v>635.06500000000005</c:v>
                </c:pt>
                <c:pt idx="15">
                  <c:v>637.04399999999998</c:v>
                </c:pt>
                <c:pt idx="16">
                  <c:v>624.029</c:v>
                </c:pt>
                <c:pt idx="17">
                  <c:v>626.15100000000007</c:v>
                </c:pt>
                <c:pt idx="18">
                  <c:v>667.95600000000002</c:v>
                </c:pt>
                <c:pt idx="19">
                  <c:v>649.66700000000003</c:v>
                </c:pt>
                <c:pt idx="20">
                  <c:v>649.99699999999996</c:v>
                </c:pt>
                <c:pt idx="21">
                  <c:v>660.05899999999997</c:v>
                </c:pt>
                <c:pt idx="22">
                  <c:v>679.93500000000006</c:v>
                </c:pt>
                <c:pt idx="23">
                  <c:v>653.53</c:v>
                </c:pt>
                <c:pt idx="24">
                  <c:v>668.4</c:v>
                </c:pt>
                <c:pt idx="25">
                  <c:v>701.24199999999996</c:v>
                </c:pt>
                <c:pt idx="26">
                  <c:v>732.33699999999999</c:v>
                </c:pt>
                <c:pt idx="27">
                  <c:v>768.05899999999997</c:v>
                </c:pt>
                <c:pt idx="28" formatCode="_-* #,##0.00_-;\-* #,##0.00_-;_-* &quot;-&quot;??_-;_-@_-">
                  <c:v>701.74279671351348</c:v>
                </c:pt>
                <c:pt idx="29" formatCode="_-* #,##0.00_-;\-* #,##0.00_-;_-* &quot;-&quot;??_-;_-@_-">
                  <c:v>703.91022603221973</c:v>
                </c:pt>
                <c:pt idx="30" formatCode="_-* #,##0.00_-;\-* #,##0.00_-;_-* &quot;-&quot;??_-;_-@_-">
                  <c:v>704.05954296936125</c:v>
                </c:pt>
                <c:pt idx="31" formatCode="_-* #,##0.00_-;\-* #,##0.00_-;_-* &quot;-&quot;??_-;_-@_-">
                  <c:v>700.55148116946634</c:v>
                </c:pt>
                <c:pt idx="32" formatCode="_-* #,##0.00_-;\-* #,##0.00_-;_-* &quot;-&quot;??_-;_-@_-">
                  <c:v>697.28238046184515</c:v>
                </c:pt>
                <c:pt idx="33" formatCode="_-* #,##0.00_-;\-* #,##0.00_-;_-* &quot;-&quot;??_-;_-@_-">
                  <c:v>695.68403694826679</c:v>
                </c:pt>
                <c:pt idx="34" formatCode="_-* #,##0.00_-;\-* #,##0.00_-;_-* &quot;-&quot;??_-;_-@_-">
                  <c:v>696.49058293421274</c:v>
                </c:pt>
                <c:pt idx="35" formatCode="_-* #,##0.00_-;\-* #,##0.00_-;_-* &quot;-&quot;??_-;_-@_-">
                  <c:v>697.70764384450183</c:v>
                </c:pt>
                <c:pt idx="36" formatCode="_-* #,##0.00_-;\-* #,##0.00_-;_-* &quot;-&quot;??_-;_-@_-">
                  <c:v>698.89546114008635</c:v>
                </c:pt>
                <c:pt idx="37" formatCode="_-* #,##0.00_-;\-* #,##0.00_-;_-* &quot;-&quot;??_-;_-@_-">
                  <c:v>699.53749867224656</c:v>
                </c:pt>
                <c:pt idx="38" formatCode="_-* #,##0.00_-;\-* #,##0.00_-;_-* &quot;-&quot;??_-;_-@_-">
                  <c:v>699.75680379117887</c:v>
                </c:pt>
                <c:pt idx="39" formatCode="_-* #,##0.00_-;\-* #,##0.00_-;_-* &quot;-&quot;??_-;_-@_-">
                  <c:v>699.27859922363359</c:v>
                </c:pt>
                <c:pt idx="40" formatCode="_-* #,##0.00_-;\-* #,##0.00_-;_-* &quot;-&quot;??_-;_-@_-">
                  <c:v>697.47398543081829</c:v>
                </c:pt>
                <c:pt idx="41" formatCode="_-* #,##0.00_-;\-* #,##0.00_-;_-* &quot;-&quot;??_-;_-@_-">
                  <c:v>694.79652736682453</c:v>
                </c:pt>
                <c:pt idx="42" formatCode="_-* #,##0.00_-;\-* #,##0.00_-;_-* &quot;-&quot;??_-;_-@_-">
                  <c:v>691.56754284795079</c:v>
                </c:pt>
                <c:pt idx="43" formatCode="_-* #,##0.00_-;\-* #,##0.00_-;_-* &quot;-&quot;??_-;_-@_-">
                  <c:v>687.78804476297046</c:v>
                </c:pt>
                <c:pt idx="44" formatCode="_-* #,##0.00_-;\-* #,##0.00_-;_-* &quot;-&quot;??_-;_-@_-">
                  <c:v>683.61462699760841</c:v>
                </c:pt>
                <c:pt idx="45" formatCode="_-* #,##0.00_-;\-* #,##0.00_-;_-* &quot;-&quot;??_-;_-@_-">
                  <c:v>679.19446970142076</c:v>
                </c:pt>
                <c:pt idx="46" formatCode="_-* #,##0.00_-;\-* #,##0.00_-;_-* &quot;-&quot;??_-;_-@_-">
                  <c:v>674.30382906371608</c:v>
                </c:pt>
                <c:pt idx="47" formatCode="_-* #,##0.00_-;\-* #,##0.00_-;_-* &quot;-&quot;??_-;_-@_-">
                  <c:v>669.64100774167525</c:v>
                </c:pt>
                <c:pt idx="48" formatCode="_-* #,##0.00_-;\-* #,##0.00_-;_-* &quot;-&quot;??_-;_-@_-">
                  <c:v>664.95353596508039</c:v>
                </c:pt>
                <c:pt idx="49" formatCode="_-* #,##0.00_-;\-* #,##0.00_-;_-* &quot;-&quot;??_-;_-@_-">
                  <c:v>660.04067612589483</c:v>
                </c:pt>
                <c:pt idx="50" formatCode="_-* #,##0.00_-;\-* #,##0.00_-;_-* &quot;-&quot;??_-;_-@_-">
                  <c:v>654.70377324758863</c:v>
                </c:pt>
                <c:pt idx="51" formatCode="_-* #,##0.00_-;\-* #,##0.00_-;_-* &quot;-&quot;??_-;_-@_-">
                  <c:v>648.99803952308241</c:v>
                </c:pt>
                <c:pt idx="52" formatCode="_-* #,##0.00_-;\-* #,##0.00_-;_-* &quot;-&quot;??_-;_-@_-">
                  <c:v>642.99762832550698</c:v>
                </c:pt>
                <c:pt idx="53" formatCode="_-* #,##0.00_-;\-* #,##0.00_-;_-* &quot;-&quot;??_-;_-@_-">
                  <c:v>636.92511348218864</c:v>
                </c:pt>
                <c:pt idx="54" formatCode="_-* #,##0.00_-;\-* #,##0.00_-;_-* &quot;-&quot;??_-;_-@_-">
                  <c:v>630.34069605219656</c:v>
                </c:pt>
                <c:pt idx="55" formatCode="_-* #,##0.00_-;\-* #,##0.00_-;_-* &quot;-&quot;??_-;_-@_-">
                  <c:v>623.29204317525773</c:v>
                </c:pt>
                <c:pt idx="56" formatCode="_-* #,##0.00_-;\-* #,##0.00_-;_-* &quot;-&quot;??_-;_-@_-">
                  <c:v>615.94817122023323</c:v>
                </c:pt>
                <c:pt idx="57" formatCode="_-* #,##0.00_-;\-* #,##0.00_-;_-* &quot;-&quot;??_-;_-@_-">
                  <c:v>608.38436015695436</c:v>
                </c:pt>
                <c:pt idx="58" formatCode="_-* #,##0.00_-;\-* #,##0.00_-;_-* &quot;-&quot;??_-;_-@_-">
                  <c:v>600.7391888063795</c:v>
                </c:pt>
                <c:pt idx="59" formatCode="_-* #,##0.00_-;\-* #,##0.00_-;_-* &quot;-&quot;??_-;_-@_-">
                  <c:v>593.00367132944984</c:v>
                </c:pt>
                <c:pt idx="60" formatCode="_-* #,##0.00_-;\-* #,##0.00_-;_-* &quot;-&quot;??_-;_-@_-">
                  <c:v>585.0078218551904</c:v>
                </c:pt>
              </c:numCache>
            </c:numRef>
          </c:val>
          <c:smooth val="0"/>
          <c:extLst>
            <c:ext xmlns:c16="http://schemas.microsoft.com/office/drawing/2014/chart" uri="{C3380CC4-5D6E-409C-BE32-E72D297353CC}">
              <c16:uniqueId val="{00000016-50B6-44C2-9AE4-ABDC3EF18E96}"/>
            </c:ext>
          </c:extLst>
        </c:ser>
        <c:ser>
          <c:idx val="9"/>
          <c:order val="9"/>
          <c:tx>
            <c:strRef>
              <c:f>'Production Forecast'!$A$14</c:f>
              <c:strCache>
                <c:ptCount val="1"/>
                <c:pt idx="0">
                  <c:v>Other Production ('000 tonnes)</c:v>
                </c:pt>
              </c:strCache>
            </c:strRef>
          </c:tx>
          <c:spPr>
            <a:ln w="28575" cap="rnd">
              <a:solidFill>
                <a:schemeClr val="accent4">
                  <a:lumMod val="60000"/>
                </a:schemeClr>
              </a:solidFill>
              <a:round/>
            </a:ln>
            <a:effectLst/>
          </c:spPr>
          <c:marker>
            <c:symbol val="none"/>
          </c:marker>
          <c:cat>
            <c:numRef>
              <c:f>'Production Forecast'!$B$3:$BJ$3</c:f>
              <c:numCache>
                <c:formatCode>General</c:formatCode>
                <c:ptCount val="6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pt idx="35">
                  <c:v>2025</c:v>
                </c:pt>
                <c:pt idx="36">
                  <c:v>2026</c:v>
                </c:pt>
                <c:pt idx="37">
                  <c:v>2027</c:v>
                </c:pt>
                <c:pt idx="38">
                  <c:v>2028</c:v>
                </c:pt>
                <c:pt idx="39">
                  <c:v>2029</c:v>
                </c:pt>
                <c:pt idx="40">
                  <c:v>2030</c:v>
                </c:pt>
                <c:pt idx="41">
                  <c:v>2031</c:v>
                </c:pt>
                <c:pt idx="42">
                  <c:v>2032</c:v>
                </c:pt>
                <c:pt idx="43">
                  <c:v>2033</c:v>
                </c:pt>
                <c:pt idx="44">
                  <c:v>2034</c:v>
                </c:pt>
                <c:pt idx="45">
                  <c:v>2035</c:v>
                </c:pt>
                <c:pt idx="46">
                  <c:v>2036</c:v>
                </c:pt>
                <c:pt idx="47">
                  <c:v>2037</c:v>
                </c:pt>
                <c:pt idx="48">
                  <c:v>2038</c:v>
                </c:pt>
                <c:pt idx="49">
                  <c:v>2039</c:v>
                </c:pt>
                <c:pt idx="50">
                  <c:v>2040</c:v>
                </c:pt>
                <c:pt idx="51">
                  <c:v>2041</c:v>
                </c:pt>
                <c:pt idx="52">
                  <c:v>2042</c:v>
                </c:pt>
                <c:pt idx="53">
                  <c:v>2043</c:v>
                </c:pt>
                <c:pt idx="54">
                  <c:v>2044</c:v>
                </c:pt>
                <c:pt idx="55">
                  <c:v>2045</c:v>
                </c:pt>
                <c:pt idx="56">
                  <c:v>2046</c:v>
                </c:pt>
                <c:pt idx="57">
                  <c:v>2047</c:v>
                </c:pt>
                <c:pt idx="58">
                  <c:v>2048</c:v>
                </c:pt>
                <c:pt idx="59">
                  <c:v>2049</c:v>
                </c:pt>
                <c:pt idx="60">
                  <c:v>2050</c:v>
                </c:pt>
              </c:numCache>
            </c:numRef>
          </c:cat>
          <c:val>
            <c:numRef>
              <c:f>'Production Forecast'!$B$14:$BJ$14</c:f>
              <c:numCache>
                <c:formatCode>0.00</c:formatCode>
                <c:ptCount val="61"/>
                <c:pt idx="0">
                  <c:v>15905.119106925633</c:v>
                </c:pt>
                <c:pt idx="1">
                  <c:v>16279.499847943505</c:v>
                </c:pt>
                <c:pt idx="2">
                  <c:v>13752.394782973084</c:v>
                </c:pt>
                <c:pt idx="3">
                  <c:v>17778.204677107977</c:v>
                </c:pt>
                <c:pt idx="4">
                  <c:v>14963.330336682267</c:v>
                </c:pt>
                <c:pt idx="5">
                  <c:v>17075.572611493546</c:v>
                </c:pt>
                <c:pt idx="6">
                  <c:v>17821.132397145655</c:v>
                </c:pt>
                <c:pt idx="7">
                  <c:v>16419.61063751777</c:v>
                </c:pt>
                <c:pt idx="8">
                  <c:v>15880.308327366592</c:v>
                </c:pt>
                <c:pt idx="9">
                  <c:v>18278.526515068741</c:v>
                </c:pt>
                <c:pt idx="10">
                  <c:v>15398.166305511033</c:v>
                </c:pt>
                <c:pt idx="11">
                  <c:v>13007.428863136503</c:v>
                </c:pt>
                <c:pt idx="12">
                  <c:v>7790.2022091546642</c:v>
                </c:pt>
                <c:pt idx="13">
                  <c:v>15108.16451652475</c:v>
                </c:pt>
                <c:pt idx="14">
                  <c:v>17182.303704000002</c:v>
                </c:pt>
                <c:pt idx="15">
                  <c:v>18326.372904999997</c:v>
                </c:pt>
                <c:pt idx="16">
                  <c:v>16223.219106</c:v>
                </c:pt>
                <c:pt idx="17">
                  <c:v>15384.301340333333</c:v>
                </c:pt>
                <c:pt idx="18">
                  <c:v>19273.616650666667</c:v>
                </c:pt>
                <c:pt idx="19">
                  <c:v>15453.963857000001</c:v>
                </c:pt>
                <c:pt idx="20">
                  <c:v>18408.415000000001</c:v>
                </c:pt>
                <c:pt idx="21">
                  <c:v>19885.796999999999</c:v>
                </c:pt>
                <c:pt idx="22">
                  <c:v>18708.885000000002</c:v>
                </c:pt>
                <c:pt idx="23">
                  <c:v>24003.013999999999</c:v>
                </c:pt>
                <c:pt idx="24">
                  <c:v>20263.134000000002</c:v>
                </c:pt>
                <c:pt idx="25">
                  <c:v>19288.135999999999</c:v>
                </c:pt>
                <c:pt idx="26">
                  <c:v>22082.493000000002</c:v>
                </c:pt>
                <c:pt idx="27">
                  <c:v>21921.089</c:v>
                </c:pt>
                <c:pt idx="28" formatCode="_-* #,##0.00_-;\-* #,##0.00_-;_-* &quot;-&quot;??_-;_-@_-">
                  <c:v>19862.908927194745</c:v>
                </c:pt>
                <c:pt idx="29" formatCode="_-* #,##0.00_-;\-* #,##0.00_-;_-* &quot;-&quot;??_-;_-@_-">
                  <c:v>19995.472983419961</c:v>
                </c:pt>
                <c:pt idx="30" formatCode="_-* #,##0.00_-;\-* #,##0.00_-;_-* &quot;-&quot;??_-;_-@_-">
                  <c:v>20072.862596252893</c:v>
                </c:pt>
                <c:pt idx="31" formatCode="_-* #,##0.00_-;\-* #,##0.00_-;_-* &quot;-&quot;??_-;_-@_-">
                  <c:v>20047.617574752861</c:v>
                </c:pt>
                <c:pt idx="32" formatCode="_-* #,##0.00_-;\-* #,##0.00_-;_-* &quot;-&quot;??_-;_-@_-">
                  <c:v>20030.547211675894</c:v>
                </c:pt>
                <c:pt idx="33" formatCode="_-* #,##0.00_-;\-* #,##0.00_-;_-* &quot;-&quot;??_-;_-@_-">
                  <c:v>20063.07957304857</c:v>
                </c:pt>
                <c:pt idx="34" formatCode="_-* #,##0.00_-;\-* #,##0.00_-;_-* &quot;-&quot;??_-;_-@_-">
                  <c:v>20167.113577689848</c:v>
                </c:pt>
                <c:pt idx="35" formatCode="_-* #,##0.00_-;\-* #,##0.00_-;_-* &quot;-&quot;??_-;_-@_-">
                  <c:v>20285.605220511959</c:v>
                </c:pt>
                <c:pt idx="36" formatCode="_-* #,##0.00_-;\-* #,##0.00_-;_-* &quot;-&quot;??_-;_-@_-">
                  <c:v>20405.976755084346</c:v>
                </c:pt>
                <c:pt idx="37" formatCode="_-* #,##0.00_-;\-* #,##0.00_-;_-* &quot;-&quot;??_-;_-@_-">
                  <c:v>20513.19213606988</c:v>
                </c:pt>
                <c:pt idx="38" formatCode="_-* #,##0.00_-;\-* #,##0.00_-;_-* &quot;-&quot;??_-;_-@_-">
                  <c:v>20610.791252582821</c:v>
                </c:pt>
                <c:pt idx="39" formatCode="_-* #,##0.00_-;\-* #,##0.00_-;_-* &quot;-&quot;??_-;_-@_-">
                  <c:v>20690.603879496433</c:v>
                </c:pt>
                <c:pt idx="40" formatCode="_-* #,##0.00_-;\-* #,##0.00_-;_-* &quot;-&quot;??_-;_-@_-">
                  <c:v>20733.778147312933</c:v>
                </c:pt>
                <c:pt idx="41" formatCode="_-* #,##0.00_-;\-* #,##0.00_-;_-* &quot;-&quot;??_-;_-@_-">
                  <c:v>20753.425959174936</c:v>
                </c:pt>
                <c:pt idx="42" formatCode="_-* #,##0.00_-;\-* #,##0.00_-;_-* &quot;-&quot;??_-;_-@_-">
                  <c:v>20758.928981232559</c:v>
                </c:pt>
                <c:pt idx="43" formatCode="_-* #,##0.00_-;\-* #,##0.00_-;_-* &quot;-&quot;??_-;_-@_-">
                  <c:v>20750.183922838965</c:v>
                </c:pt>
                <c:pt idx="44" formatCode="_-* #,##0.00_-;\-* #,##0.00_-;_-* &quot;-&quot;??_-;_-@_-">
                  <c:v>20731.79750986717</c:v>
                </c:pt>
                <c:pt idx="45" formatCode="_-* #,##0.00_-;\-* #,##0.00_-;_-* &quot;-&quot;??_-;_-@_-">
                  <c:v>20708.181693616967</c:v>
                </c:pt>
                <c:pt idx="46" formatCode="_-* #,##0.00_-;\-* #,##0.00_-;_-* &quot;-&quot;??_-;_-@_-">
                  <c:v>20672.470650576826</c:v>
                </c:pt>
                <c:pt idx="47" formatCode="_-* #,##0.00_-;\-* #,##0.00_-;_-* &quot;-&quot;??_-;_-@_-">
                  <c:v>20646.070463073418</c:v>
                </c:pt>
                <c:pt idx="48" formatCode="_-* #,##0.00_-;\-* #,##0.00_-;_-* &quot;-&quot;??_-;_-@_-">
                  <c:v>20621.396706365053</c:v>
                </c:pt>
                <c:pt idx="49" formatCode="_-* #,##0.00_-;\-* #,##0.00_-;_-* &quot;-&quot;??_-;_-@_-">
                  <c:v>20592.308061530817</c:v>
                </c:pt>
                <c:pt idx="50" formatCode="_-* #,##0.00_-;\-* #,##0.00_-;_-* &quot;-&quot;??_-;_-@_-">
                  <c:v>20552.582052477082</c:v>
                </c:pt>
                <c:pt idx="51" formatCode="_-* #,##0.00_-;\-* #,##0.00_-;_-* &quot;-&quot;??_-;_-@_-">
                  <c:v>20503.858036263064</c:v>
                </c:pt>
                <c:pt idx="52" formatCode="_-* #,##0.00_-;\-* #,##0.00_-;_-* &quot;-&quot;??_-;_-@_-">
                  <c:v>20448.415767336199</c:v>
                </c:pt>
                <c:pt idx="53" formatCode="_-* #,##0.00_-;\-* #,##0.00_-;_-* &quot;-&quot;??_-;_-@_-">
                  <c:v>20393.345357280705</c:v>
                </c:pt>
                <c:pt idx="54" formatCode="_-* #,##0.00_-;\-* #,##0.00_-;_-* &quot;-&quot;??_-;_-@_-">
                  <c:v>20324.577250299295</c:v>
                </c:pt>
                <c:pt idx="55" formatCode="_-* #,##0.00_-;\-* #,##0.00_-;_-* &quot;-&quot;??_-;_-@_-">
                  <c:v>20243.470445010636</c:v>
                </c:pt>
                <c:pt idx="56" formatCode="_-* #,##0.00_-;\-* #,##0.00_-;_-* &quot;-&quot;??_-;_-@_-">
                  <c:v>20155.385685377598</c:v>
                </c:pt>
                <c:pt idx="57" formatCode="_-* #,##0.00_-;\-* #,##0.00_-;_-* &quot;-&quot;??_-;_-@_-">
                  <c:v>20062.750283442845</c:v>
                </c:pt>
                <c:pt idx="58" formatCode="_-* #,##0.00_-;\-* #,##0.00_-;_-* &quot;-&quot;??_-;_-@_-">
                  <c:v>19970.170968379996</c:v>
                </c:pt>
                <c:pt idx="59" formatCode="_-* #,##0.00_-;\-* #,##0.00_-;_-* &quot;-&quot;??_-;_-@_-">
                  <c:v>19877.46181900561</c:v>
                </c:pt>
                <c:pt idx="60" formatCode="_-* #,##0.00_-;\-* #,##0.00_-;_-* &quot;-&quot;??_-;_-@_-">
                  <c:v>19778.993536335674</c:v>
                </c:pt>
              </c:numCache>
            </c:numRef>
          </c:val>
          <c:smooth val="0"/>
          <c:extLst>
            <c:ext xmlns:c16="http://schemas.microsoft.com/office/drawing/2014/chart" uri="{C3380CC4-5D6E-409C-BE32-E72D297353CC}">
              <c16:uniqueId val="{00000017-50B6-44C2-9AE4-ABDC3EF18E96}"/>
            </c:ext>
          </c:extLst>
        </c:ser>
        <c:dLbls>
          <c:showLegendKey val="0"/>
          <c:showVal val="0"/>
          <c:showCatName val="0"/>
          <c:showSerName val="0"/>
          <c:showPercent val="0"/>
          <c:showBubbleSize val="0"/>
        </c:dLbls>
        <c:smooth val="0"/>
        <c:axId val="1789223023"/>
        <c:axId val="1789272943"/>
        <c:extLst/>
      </c:lineChart>
      <c:catAx>
        <c:axId val="1789223023"/>
        <c:scaling>
          <c:orientation val="minMax"/>
        </c:scaling>
        <c:delete val="0"/>
        <c:axPos val="b"/>
        <c:numFmt formatCode="General" sourceLinked="1"/>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272943"/>
        <c:crosses val="autoZero"/>
        <c:auto val="1"/>
        <c:lblAlgn val="ctr"/>
        <c:lblOffset val="100"/>
        <c:tickLblSkip val="5"/>
        <c:noMultiLvlLbl val="0"/>
      </c:catAx>
      <c:valAx>
        <c:axId val="1789272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CA" b="1">
                    <a:solidFill>
                      <a:schemeClr val="tx1"/>
                    </a:solidFill>
                  </a:rPr>
                  <a:t>Annual</a:t>
                </a:r>
                <a:r>
                  <a:rPr lang="en-CA" b="1" baseline="0">
                    <a:solidFill>
                      <a:schemeClr val="tx1"/>
                    </a:solidFill>
                  </a:rPr>
                  <a:t> Production ('000 tonnes)</a:t>
                </a:r>
                <a:endParaRPr lang="en-CA" b="1">
                  <a:solidFill>
                    <a:schemeClr val="tx1"/>
                  </a:solidFill>
                </a:endParaRPr>
              </a:p>
            </c:rich>
          </c:tx>
          <c:layout>
            <c:manualLayout>
              <c:xMode val="edge"/>
              <c:yMode val="edge"/>
              <c:x val="1.8934923828306926E-2"/>
              <c:y val="0.20095857729001501"/>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223023"/>
        <c:crosses val="autoZero"/>
        <c:crossBetween val="midCat"/>
      </c:valAx>
      <c:spPr>
        <a:noFill/>
        <a:ln>
          <a:solidFill>
            <a:schemeClr val="tx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436085</xdr:colOff>
      <xdr:row>27</xdr:row>
      <xdr:rowOff>34197</xdr:rowOff>
    </xdr:from>
    <xdr:to>
      <xdr:col>16</xdr:col>
      <xdr:colOff>363786</xdr:colOff>
      <xdr:row>41</xdr:row>
      <xdr:rowOff>46132</xdr:rowOff>
    </xdr:to>
    <xdr:graphicFrame macro="">
      <xdr:nvGraphicFramePr>
        <xdr:cNvPr id="2" name="Chart 1">
          <a:extLst>
            <a:ext uri="{FF2B5EF4-FFF2-40B4-BE49-F238E27FC236}">
              <a16:creationId xmlns:a16="http://schemas.microsoft.com/office/drawing/2014/main" id="{173C85EB-CAAE-4662-B16B-119C0D5A8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608222</xdr:colOff>
      <xdr:row>26</xdr:row>
      <xdr:rowOff>149187</xdr:rowOff>
    </xdr:from>
    <xdr:to>
      <xdr:col>23</xdr:col>
      <xdr:colOff>210467</xdr:colOff>
      <xdr:row>40</xdr:row>
      <xdr:rowOff>161122</xdr:rowOff>
    </xdr:to>
    <xdr:graphicFrame macro="">
      <xdr:nvGraphicFramePr>
        <xdr:cNvPr id="3" name="Chart 2">
          <a:extLst>
            <a:ext uri="{FF2B5EF4-FFF2-40B4-BE49-F238E27FC236}">
              <a16:creationId xmlns:a16="http://schemas.microsoft.com/office/drawing/2014/main" id="{0BE39697-2299-40AD-9675-D7B0F77903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33</xdr:col>
      <xdr:colOff>539056</xdr:colOff>
      <xdr:row>2</xdr:row>
      <xdr:rowOff>63627</xdr:rowOff>
    </xdr:from>
    <xdr:to>
      <xdr:col>47</xdr:col>
      <xdr:colOff>1423</xdr:colOff>
      <xdr:row>19</xdr:row>
      <xdr:rowOff>58865</xdr:rowOff>
    </xdr:to>
    <xdr:graphicFrame macro="">
      <xdr:nvGraphicFramePr>
        <xdr:cNvPr id="2" name="Chart 1">
          <a:extLst>
            <a:ext uri="{FF2B5EF4-FFF2-40B4-BE49-F238E27FC236}">
              <a16:creationId xmlns:a16="http://schemas.microsoft.com/office/drawing/2014/main" id="{D844FC2A-518E-4437-8A4E-93F2902588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33</xdr:col>
      <xdr:colOff>486635</xdr:colOff>
      <xdr:row>19</xdr:row>
      <xdr:rowOff>134387</xdr:rowOff>
    </xdr:from>
    <xdr:to>
      <xdr:col>46</xdr:col>
      <xdr:colOff>563907</xdr:colOff>
      <xdr:row>33</xdr:row>
      <xdr:rowOff>1031754</xdr:rowOff>
    </xdr:to>
    <xdr:graphicFrame macro="">
      <xdr:nvGraphicFramePr>
        <xdr:cNvPr id="3" name="Chart 2">
          <a:extLst>
            <a:ext uri="{FF2B5EF4-FFF2-40B4-BE49-F238E27FC236}">
              <a16:creationId xmlns:a16="http://schemas.microsoft.com/office/drawing/2014/main" id="{2275CD85-A394-421C-B9B2-2EE6E2A33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33</xdr:col>
      <xdr:colOff>539056</xdr:colOff>
      <xdr:row>2</xdr:row>
      <xdr:rowOff>63627</xdr:rowOff>
    </xdr:from>
    <xdr:to>
      <xdr:col>47</xdr:col>
      <xdr:colOff>1423</xdr:colOff>
      <xdr:row>19</xdr:row>
      <xdr:rowOff>58865</xdr:rowOff>
    </xdr:to>
    <xdr:graphicFrame macro="">
      <xdr:nvGraphicFramePr>
        <xdr:cNvPr id="4" name="Chart 3">
          <a:extLst>
            <a:ext uri="{FF2B5EF4-FFF2-40B4-BE49-F238E27FC236}">
              <a16:creationId xmlns:a16="http://schemas.microsoft.com/office/drawing/2014/main" id="{595A8FC5-9F16-466F-8F1E-453607E210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486635</xdr:colOff>
      <xdr:row>19</xdr:row>
      <xdr:rowOff>134387</xdr:rowOff>
    </xdr:from>
    <xdr:to>
      <xdr:col>46</xdr:col>
      <xdr:colOff>563907</xdr:colOff>
      <xdr:row>36</xdr:row>
      <xdr:rowOff>1031754</xdr:rowOff>
    </xdr:to>
    <xdr:graphicFrame macro="">
      <xdr:nvGraphicFramePr>
        <xdr:cNvPr id="5" name="Chart 4">
          <a:extLst>
            <a:ext uri="{FF2B5EF4-FFF2-40B4-BE49-F238E27FC236}">
              <a16:creationId xmlns:a16="http://schemas.microsoft.com/office/drawing/2014/main" id="{CCAE7669-6223-4130-85AA-1263E071D4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15722</xdr:colOff>
      <xdr:row>27</xdr:row>
      <xdr:rowOff>98290</xdr:rowOff>
    </xdr:from>
    <xdr:to>
      <xdr:col>9</xdr:col>
      <xdr:colOff>459038</xdr:colOff>
      <xdr:row>44</xdr:row>
      <xdr:rowOff>64953</xdr:rowOff>
    </xdr:to>
    <xdr:graphicFrame macro="">
      <xdr:nvGraphicFramePr>
        <xdr:cNvPr id="2" name="Chart 1">
          <a:extLst>
            <a:ext uri="{FF2B5EF4-FFF2-40B4-BE49-F238E27FC236}">
              <a16:creationId xmlns:a16="http://schemas.microsoft.com/office/drawing/2014/main" id="{57543E10-3D21-420A-B366-4D400AE682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481989</xdr:colOff>
      <xdr:row>27</xdr:row>
      <xdr:rowOff>126235</xdr:rowOff>
    </xdr:from>
    <xdr:to>
      <xdr:col>19</xdr:col>
      <xdr:colOff>399936</xdr:colOff>
      <xdr:row>44</xdr:row>
      <xdr:rowOff>92898</xdr:rowOff>
    </xdr:to>
    <xdr:graphicFrame macro="">
      <xdr:nvGraphicFramePr>
        <xdr:cNvPr id="3" name="Chart 2">
          <a:extLst>
            <a:ext uri="{FF2B5EF4-FFF2-40B4-BE49-F238E27FC236}">
              <a16:creationId xmlns:a16="http://schemas.microsoft.com/office/drawing/2014/main" id="{6214D625-87A6-44CC-BDE2-AA73F22B2E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sper/Desktop/fruit%20and%20veg%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uit and veg data"/>
    </sheetNames>
    <sheetDataSet>
      <sheetData sheetId="0">
        <row r="8">
          <cell r="O8">
            <v>2002</v>
          </cell>
          <cell r="P8">
            <v>2003</v>
          </cell>
          <cell r="Q8">
            <v>2004</v>
          </cell>
          <cell r="R8">
            <v>2005</v>
          </cell>
          <cell r="S8">
            <v>2006</v>
          </cell>
          <cell r="T8">
            <v>2007</v>
          </cell>
          <cell r="U8">
            <v>2008</v>
          </cell>
          <cell r="V8">
            <v>2009</v>
          </cell>
          <cell r="W8">
            <v>2010</v>
          </cell>
          <cell r="X8">
            <v>2011</v>
          </cell>
          <cell r="Y8">
            <v>2012</v>
          </cell>
          <cell r="Z8">
            <v>2013</v>
          </cell>
          <cell r="AA8">
            <v>2014</v>
          </cell>
          <cell r="AB8">
            <v>2015</v>
          </cell>
          <cell r="AC8">
            <v>2016</v>
          </cell>
          <cell r="AD8">
            <v>2017</v>
          </cell>
          <cell r="AE8">
            <v>2018</v>
          </cell>
          <cell r="AF8">
            <v>2019</v>
          </cell>
          <cell r="AG8">
            <v>2020</v>
          </cell>
        </row>
        <row r="10">
          <cell r="B10" t="str">
            <v>Fresh green and wax beans  [114221621]</v>
          </cell>
          <cell r="O10">
            <v>308</v>
          </cell>
          <cell r="P10">
            <v>329</v>
          </cell>
          <cell r="Q10">
            <v>363</v>
          </cell>
          <cell r="R10">
            <v>272</v>
          </cell>
          <cell r="S10">
            <v>226.5</v>
          </cell>
          <cell r="T10">
            <v>181</v>
          </cell>
          <cell r="U10">
            <v>209</v>
          </cell>
          <cell r="V10">
            <v>207</v>
          </cell>
          <cell r="W10">
            <v>206</v>
          </cell>
          <cell r="X10">
            <v>204</v>
          </cell>
          <cell r="Y10">
            <v>211</v>
          </cell>
          <cell r="Z10">
            <v>205</v>
          </cell>
          <cell r="AA10">
            <v>217</v>
          </cell>
          <cell r="AB10">
            <v>219</v>
          </cell>
          <cell r="AC10">
            <v>233</v>
          </cell>
          <cell r="AD10">
            <v>129</v>
          </cell>
          <cell r="AE10">
            <v>145</v>
          </cell>
          <cell r="AF10">
            <v>161</v>
          </cell>
          <cell r="AG10">
            <v>129</v>
          </cell>
        </row>
        <row r="11">
          <cell r="B11" t="str">
            <v>Fresh cabbage  [11422132] 4</v>
          </cell>
          <cell r="O11">
            <v>2200</v>
          </cell>
          <cell r="P11">
            <v>3595</v>
          </cell>
          <cell r="Q11">
            <v>4990</v>
          </cell>
          <cell r="R11">
            <v>2005</v>
          </cell>
          <cell r="S11">
            <v>2359</v>
          </cell>
          <cell r="T11">
            <v>2713</v>
          </cell>
          <cell r="U11">
            <v>3066</v>
          </cell>
          <cell r="V11">
            <v>3420</v>
          </cell>
          <cell r="W11">
            <v>3774</v>
          </cell>
          <cell r="X11">
            <v>3043</v>
          </cell>
          <cell r="Y11">
            <v>2527</v>
          </cell>
          <cell r="Z11">
            <v>3519</v>
          </cell>
          <cell r="AA11">
            <v>4669</v>
          </cell>
          <cell r="AB11">
            <v>4405</v>
          </cell>
          <cell r="AC11">
            <v>4022</v>
          </cell>
          <cell r="AD11">
            <v>4027</v>
          </cell>
          <cell r="AE11">
            <v>3643</v>
          </cell>
          <cell r="AF11">
            <v>3037</v>
          </cell>
          <cell r="AG11">
            <v>2594</v>
          </cell>
        </row>
        <row r="12">
          <cell r="B12" t="str">
            <v>Fresh carrots  [11422111] 5</v>
          </cell>
          <cell r="P12">
            <v>2155</v>
          </cell>
          <cell r="Q12">
            <v>4201.5</v>
          </cell>
          <cell r="R12">
            <v>6248</v>
          </cell>
          <cell r="S12">
            <v>6302</v>
          </cell>
          <cell r="T12">
            <v>6355</v>
          </cell>
          <cell r="U12">
            <v>4526</v>
          </cell>
          <cell r="V12">
            <v>2697</v>
          </cell>
          <cell r="W12">
            <v>1528</v>
          </cell>
          <cell r="X12">
            <v>2244</v>
          </cell>
          <cell r="Y12">
            <v>2357</v>
          </cell>
          <cell r="Z12">
            <v>2446</v>
          </cell>
          <cell r="AA12">
            <v>3921</v>
          </cell>
          <cell r="AB12">
            <v>4517</v>
          </cell>
          <cell r="AC12">
            <v>2394</v>
          </cell>
          <cell r="AD12">
            <v>3243</v>
          </cell>
          <cell r="AE12">
            <v>2490</v>
          </cell>
          <cell r="AF12">
            <v>3616</v>
          </cell>
          <cell r="AG12">
            <v>3602</v>
          </cell>
        </row>
        <row r="13">
          <cell r="B13" t="str">
            <v>Fresh cauliflowers  [114221831]</v>
          </cell>
          <cell r="W13">
            <v>44</v>
          </cell>
          <cell r="X13">
            <v>335</v>
          </cell>
          <cell r="Y13">
            <v>360</v>
          </cell>
          <cell r="Z13">
            <v>377</v>
          </cell>
          <cell r="AA13">
            <v>331</v>
          </cell>
          <cell r="AB13">
            <v>187</v>
          </cell>
          <cell r="AC13">
            <v>134</v>
          </cell>
          <cell r="AD13">
            <v>82</v>
          </cell>
          <cell r="AE13">
            <v>117</v>
          </cell>
          <cell r="AF13">
            <v>79</v>
          </cell>
          <cell r="AG13">
            <v>74</v>
          </cell>
        </row>
        <row r="14">
          <cell r="B14" t="str">
            <v>Fresh sweet corn  [114221811]</v>
          </cell>
          <cell r="O14">
            <v>18770</v>
          </cell>
          <cell r="P14">
            <v>17282</v>
          </cell>
          <cell r="Q14">
            <v>16329</v>
          </cell>
          <cell r="R14">
            <v>12247</v>
          </cell>
          <cell r="S14">
            <v>14742</v>
          </cell>
          <cell r="T14">
            <v>14560</v>
          </cell>
          <cell r="U14">
            <v>14515</v>
          </cell>
          <cell r="V14">
            <v>15422</v>
          </cell>
          <cell r="W14">
            <v>13440</v>
          </cell>
          <cell r="X14">
            <v>12727</v>
          </cell>
          <cell r="Y14">
            <v>12793</v>
          </cell>
          <cell r="Z14">
            <v>13069</v>
          </cell>
          <cell r="AA14">
            <v>15039</v>
          </cell>
          <cell r="AB14">
            <v>14114</v>
          </cell>
          <cell r="AC14">
            <v>15012</v>
          </cell>
          <cell r="AD14">
            <v>14749</v>
          </cell>
          <cell r="AE14">
            <v>13203</v>
          </cell>
          <cell r="AF14">
            <v>12904</v>
          </cell>
          <cell r="AG14">
            <v>13421</v>
          </cell>
        </row>
        <row r="15">
          <cell r="B15" t="str">
            <v>Fresh cucumbers and fresh gherkins (all varieties) 6</v>
          </cell>
          <cell r="P15">
            <v>295</v>
          </cell>
          <cell r="Q15">
            <v>159</v>
          </cell>
          <cell r="R15">
            <v>159</v>
          </cell>
          <cell r="S15">
            <v>177</v>
          </cell>
          <cell r="T15">
            <v>52</v>
          </cell>
          <cell r="U15">
            <v>156</v>
          </cell>
          <cell r="V15">
            <v>96</v>
          </cell>
          <cell r="W15">
            <v>36</v>
          </cell>
          <cell r="X15">
            <v>168</v>
          </cell>
          <cell r="Y15">
            <v>138</v>
          </cell>
          <cell r="Z15">
            <v>313</v>
          </cell>
          <cell r="AA15">
            <v>326</v>
          </cell>
          <cell r="AB15">
            <v>261</v>
          </cell>
          <cell r="AC15">
            <v>308</v>
          </cell>
          <cell r="AD15">
            <v>210</v>
          </cell>
          <cell r="AE15">
            <v>259</v>
          </cell>
          <cell r="AF15">
            <v>238</v>
          </cell>
          <cell r="AG15">
            <v>205</v>
          </cell>
        </row>
        <row r="16">
          <cell r="B16" t="str">
            <v>Fresh dry onions  [114221211]</v>
          </cell>
          <cell r="Q16">
            <v>11113</v>
          </cell>
          <cell r="R16">
            <v>15195</v>
          </cell>
          <cell r="S16">
            <v>17237</v>
          </cell>
          <cell r="T16">
            <v>11499</v>
          </cell>
          <cell r="U16">
            <v>5761</v>
          </cell>
          <cell r="V16">
            <v>8683</v>
          </cell>
          <cell r="W16">
            <v>11606</v>
          </cell>
          <cell r="X16">
            <v>14528</v>
          </cell>
          <cell r="Y16">
            <v>13597</v>
          </cell>
          <cell r="Z16">
            <v>6070</v>
          </cell>
          <cell r="AA16">
            <v>19115</v>
          </cell>
          <cell r="AB16">
            <v>16794</v>
          </cell>
          <cell r="AC16">
            <v>17661</v>
          </cell>
          <cell r="AD16">
            <v>23743</v>
          </cell>
          <cell r="AE16">
            <v>25178</v>
          </cell>
          <cell r="AF16">
            <v>23551</v>
          </cell>
          <cell r="AG16">
            <v>23097</v>
          </cell>
        </row>
        <row r="17">
          <cell r="B17" t="str">
            <v>Fresh parsnips  [114221151]</v>
          </cell>
          <cell r="X17">
            <v>193</v>
          </cell>
          <cell r="Y17">
            <v>150</v>
          </cell>
          <cell r="Z17">
            <v>180</v>
          </cell>
          <cell r="AA17">
            <v>116</v>
          </cell>
          <cell r="AB17">
            <v>125</v>
          </cell>
          <cell r="AC17">
            <v>115</v>
          </cell>
          <cell r="AD17">
            <v>167</v>
          </cell>
          <cell r="AE17">
            <v>123</v>
          </cell>
          <cell r="AF17">
            <v>79</v>
          </cell>
          <cell r="AG17">
            <v>39.5</v>
          </cell>
        </row>
        <row r="18">
          <cell r="B18" t="str">
            <v>Fresh green peas  [114221611]</v>
          </cell>
          <cell r="O18">
            <v>5352</v>
          </cell>
          <cell r="P18">
            <v>5790</v>
          </cell>
          <cell r="Q18">
            <v>6690</v>
          </cell>
          <cell r="R18">
            <v>7682</v>
          </cell>
          <cell r="S18">
            <v>6804</v>
          </cell>
          <cell r="T18">
            <v>5557</v>
          </cell>
          <cell r="U18">
            <v>5579</v>
          </cell>
          <cell r="V18">
            <v>7023</v>
          </cell>
          <cell r="W18">
            <v>2590</v>
          </cell>
          <cell r="X18">
            <v>3713</v>
          </cell>
          <cell r="Y18">
            <v>4211</v>
          </cell>
          <cell r="Z18">
            <v>3432</v>
          </cell>
          <cell r="AA18">
            <v>4701</v>
          </cell>
          <cell r="AB18">
            <v>5271</v>
          </cell>
          <cell r="AC18">
            <v>4569</v>
          </cell>
          <cell r="AD18">
            <v>4309</v>
          </cell>
          <cell r="AE18">
            <v>4138</v>
          </cell>
          <cell r="AF18">
            <v>2818</v>
          </cell>
          <cell r="AG18">
            <v>4284</v>
          </cell>
        </row>
        <row r="19">
          <cell r="B19" t="str">
            <v>Fresh pumpkins  [114221551]</v>
          </cell>
          <cell r="T19">
            <v>1814</v>
          </cell>
          <cell r="U19">
            <v>1724</v>
          </cell>
          <cell r="V19">
            <v>2034</v>
          </cell>
          <cell r="W19">
            <v>2344</v>
          </cell>
          <cell r="X19">
            <v>2654</v>
          </cell>
          <cell r="Y19">
            <v>2709</v>
          </cell>
          <cell r="Z19">
            <v>1013</v>
          </cell>
          <cell r="AA19">
            <v>1575</v>
          </cell>
          <cell r="AB19">
            <v>2155</v>
          </cell>
          <cell r="AC19">
            <v>2937</v>
          </cell>
          <cell r="AD19">
            <v>3263</v>
          </cell>
          <cell r="AE19">
            <v>2826</v>
          </cell>
          <cell r="AF19">
            <v>2473</v>
          </cell>
          <cell r="AG19">
            <v>2315</v>
          </cell>
        </row>
        <row r="20">
          <cell r="B20" t="str">
            <v>Fresh French shallots and green onions  [11422123]</v>
          </cell>
          <cell r="X20">
            <v>819</v>
          </cell>
          <cell r="Y20">
            <v>844</v>
          </cell>
          <cell r="Z20">
            <v>779</v>
          </cell>
          <cell r="AA20">
            <v>927</v>
          </cell>
          <cell r="AB20">
            <v>1124</v>
          </cell>
          <cell r="AC20">
            <v>1339</v>
          </cell>
          <cell r="AD20">
            <v>1360</v>
          </cell>
          <cell r="AE20">
            <v>802</v>
          </cell>
          <cell r="AF20">
            <v>725</v>
          </cell>
          <cell r="AG20">
            <v>977</v>
          </cell>
        </row>
        <row r="21">
          <cell r="B21" t="str">
            <v>Fresh squash and zucchini  [114221561]</v>
          </cell>
          <cell r="U21">
            <v>295</v>
          </cell>
          <cell r="V21">
            <v>315</v>
          </cell>
          <cell r="W21">
            <v>334</v>
          </cell>
          <cell r="X21">
            <v>354</v>
          </cell>
          <cell r="Y21">
            <v>344</v>
          </cell>
          <cell r="Z21">
            <v>356</v>
          </cell>
          <cell r="AA21">
            <v>445</v>
          </cell>
          <cell r="AB21">
            <v>354</v>
          </cell>
          <cell r="AC21">
            <v>421</v>
          </cell>
          <cell r="AD21">
            <v>338</v>
          </cell>
          <cell r="AE21">
            <v>271</v>
          </cell>
          <cell r="AF21">
            <v>257.5</v>
          </cell>
          <cell r="AG21">
            <v>244</v>
          </cell>
        </row>
        <row r="22">
          <cell r="B22" t="str">
            <v>Fresh radishes   [11422113] 8</v>
          </cell>
          <cell r="X22">
            <v>866</v>
          </cell>
          <cell r="Y22">
            <v>1395</v>
          </cell>
          <cell r="Z22">
            <v>1134</v>
          </cell>
          <cell r="AA22">
            <v>1139</v>
          </cell>
          <cell r="AB22">
            <v>471</v>
          </cell>
          <cell r="AC22">
            <v>945</v>
          </cell>
          <cell r="AD22">
            <v>1247</v>
          </cell>
          <cell r="AE22">
            <v>1061</v>
          </cell>
          <cell r="AF22">
            <v>979</v>
          </cell>
          <cell r="AG22">
            <v>828</v>
          </cell>
        </row>
        <row r="23">
          <cell r="B23" t="str">
            <v>Fresh rutabagas and turnips  [11422112]</v>
          </cell>
          <cell r="X23">
            <v>2649</v>
          </cell>
          <cell r="Y23">
            <v>1349</v>
          </cell>
          <cell r="Z23">
            <v>1821</v>
          </cell>
          <cell r="AA23">
            <v>2213</v>
          </cell>
          <cell r="AB23">
            <v>1639</v>
          </cell>
          <cell r="AC23">
            <v>3103</v>
          </cell>
          <cell r="AD23">
            <v>2222</v>
          </cell>
          <cell r="AE23">
            <v>2682</v>
          </cell>
          <cell r="AF23">
            <v>2066</v>
          </cell>
          <cell r="AG23">
            <v>1177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www150.statcan.gc.ca/t1/tbl1/en/tv.action?pid=321001170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0657E-31DC-4C00-8C59-4FB53189844F}">
  <dimension ref="A1:BK25"/>
  <sheetViews>
    <sheetView zoomScale="83" workbookViewId="0">
      <selection activeCell="B29" sqref="B29"/>
    </sheetView>
  </sheetViews>
  <sheetFormatPr defaultRowHeight="15" x14ac:dyDescent="0.25"/>
  <cols>
    <col min="1" max="1" width="16" customWidth="1"/>
    <col min="2" max="2" width="27.5703125" customWidth="1"/>
    <col min="3" max="14" width="11" bestFit="1" customWidth="1"/>
    <col min="15" max="15" width="10" bestFit="1" customWidth="1"/>
    <col min="16" max="30" width="11" bestFit="1" customWidth="1"/>
  </cols>
  <sheetData>
    <row r="1" spans="1:63" x14ac:dyDescent="0.25">
      <c r="A1" s="1" t="s">
        <v>1</v>
      </c>
      <c r="F1" s="13" t="s">
        <v>144</v>
      </c>
    </row>
    <row r="3" spans="1:63" x14ac:dyDescent="0.25">
      <c r="A3" s="2" t="s">
        <v>12</v>
      </c>
    </row>
    <row r="4" spans="1:63" x14ac:dyDescent="0.25">
      <c r="A4" s="6"/>
      <c r="B4" s="6"/>
      <c r="C4" s="6">
        <v>1990</v>
      </c>
      <c r="D4" s="6">
        <v>1991</v>
      </c>
      <c r="E4" s="6">
        <v>1992</v>
      </c>
      <c r="F4" s="6">
        <v>1993</v>
      </c>
      <c r="G4" s="6">
        <v>1994</v>
      </c>
      <c r="H4" s="6">
        <v>1995</v>
      </c>
      <c r="I4" s="6">
        <v>1996</v>
      </c>
      <c r="J4" s="6">
        <v>1997</v>
      </c>
      <c r="K4" s="6">
        <v>1998</v>
      </c>
      <c r="L4" s="6">
        <v>1999</v>
      </c>
      <c r="M4" s="6">
        <v>2000</v>
      </c>
      <c r="N4" s="6">
        <v>2001</v>
      </c>
      <c r="O4" s="6">
        <v>2002</v>
      </c>
      <c r="P4" s="6">
        <v>2003</v>
      </c>
      <c r="Q4" s="6">
        <v>2004</v>
      </c>
      <c r="R4" s="6">
        <v>2005</v>
      </c>
      <c r="S4" s="6">
        <v>2006</v>
      </c>
      <c r="T4" s="6">
        <v>2007</v>
      </c>
      <c r="U4" s="6">
        <v>2008</v>
      </c>
      <c r="V4" s="6">
        <v>2009</v>
      </c>
      <c r="W4" s="6">
        <v>2010</v>
      </c>
      <c r="X4" s="6">
        <v>2011</v>
      </c>
      <c r="Y4" s="6">
        <v>2012</v>
      </c>
      <c r="Z4" s="6">
        <v>2013</v>
      </c>
      <c r="AA4" s="6">
        <v>2014</v>
      </c>
      <c r="AB4" s="6">
        <v>2015</v>
      </c>
      <c r="AC4" s="6">
        <v>2016</v>
      </c>
      <c r="AD4" s="7">
        <v>2017</v>
      </c>
      <c r="AE4" s="8">
        <v>2018</v>
      </c>
      <c r="AF4" s="8">
        <v>2019</v>
      </c>
      <c r="AG4" s="8">
        <v>2020</v>
      </c>
      <c r="AH4" s="8">
        <v>2021</v>
      </c>
      <c r="AI4" s="8">
        <v>2022</v>
      </c>
      <c r="AJ4" s="8">
        <v>2023</v>
      </c>
      <c r="AK4" s="8">
        <v>2024</v>
      </c>
      <c r="AL4" s="8">
        <v>2025</v>
      </c>
      <c r="AM4" s="8">
        <v>2026</v>
      </c>
      <c r="AN4" s="8">
        <v>2027</v>
      </c>
      <c r="AO4" s="8">
        <v>2028</v>
      </c>
      <c r="AP4" s="8">
        <v>2029</v>
      </c>
      <c r="AQ4" s="8">
        <v>2030</v>
      </c>
      <c r="AR4" s="8">
        <v>2031</v>
      </c>
      <c r="AS4" s="8">
        <v>2032</v>
      </c>
      <c r="AT4" s="8">
        <v>2033</v>
      </c>
      <c r="AU4" s="8">
        <v>2034</v>
      </c>
      <c r="AV4" s="8">
        <v>2035</v>
      </c>
      <c r="AW4" s="8">
        <v>2036</v>
      </c>
      <c r="AX4" s="8">
        <v>2037</v>
      </c>
      <c r="AY4" s="8">
        <v>2038</v>
      </c>
      <c r="AZ4" s="8">
        <v>2039</v>
      </c>
      <c r="BA4" s="8">
        <v>2040</v>
      </c>
      <c r="BB4" s="8">
        <v>2041</v>
      </c>
      <c r="BC4" s="8">
        <v>2042</v>
      </c>
      <c r="BD4" s="8">
        <v>2043</v>
      </c>
      <c r="BE4" s="8">
        <v>2044</v>
      </c>
      <c r="BF4" s="8">
        <v>2045</v>
      </c>
      <c r="BG4" s="8">
        <v>2046</v>
      </c>
      <c r="BH4" s="8">
        <v>2047</v>
      </c>
      <c r="BI4" s="8">
        <v>2048</v>
      </c>
      <c r="BJ4" s="8">
        <v>2049</v>
      </c>
      <c r="BK4" s="8">
        <v>2050</v>
      </c>
    </row>
    <row r="5" spans="1:63" x14ac:dyDescent="0.25">
      <c r="A5" s="105" t="s">
        <v>0</v>
      </c>
      <c r="B5" s="10" t="s">
        <v>76</v>
      </c>
      <c r="C5" s="9">
        <f>Crops!B19</f>
        <v>15856600</v>
      </c>
      <c r="D5" s="9">
        <f>Crops!C19</f>
        <v>16231100</v>
      </c>
      <c r="E5" s="9">
        <f>Crops!D19</f>
        <v>13704100</v>
      </c>
      <c r="F5" s="9">
        <f>Crops!E19</f>
        <v>17730000</v>
      </c>
      <c r="G5" s="9">
        <f>Crops!F19</f>
        <v>14915200</v>
      </c>
      <c r="H5" s="9">
        <f>Crops!G19</f>
        <v>17027500</v>
      </c>
      <c r="I5" s="9">
        <f>Crops!H19</f>
        <v>17773100</v>
      </c>
      <c r="J5" s="9">
        <f>Crops!I19</f>
        <v>16371600</v>
      </c>
      <c r="K5" s="9">
        <f>Crops!J19</f>
        <v>15832300</v>
      </c>
      <c r="L5" s="9">
        <f>Crops!K19</f>
        <v>18230500</v>
      </c>
      <c r="M5" s="9">
        <f>Crops!L19</f>
        <v>15350100</v>
      </c>
      <c r="N5" s="9">
        <f>Crops!M19</f>
        <v>12959300</v>
      </c>
      <c r="O5" s="9">
        <f>Crops!N19</f>
        <v>7742300</v>
      </c>
      <c r="P5" s="9">
        <f>Crops!O19</f>
        <v>15061600</v>
      </c>
      <c r="Q5" s="9">
        <f>Crops!P19</f>
        <v>17131000</v>
      </c>
      <c r="R5" s="9">
        <f>Crops!Q19</f>
        <v>18275100</v>
      </c>
      <c r="S5" s="9">
        <f>Crops!R19</f>
        <v>16167900</v>
      </c>
      <c r="T5" s="9">
        <f>Crops!S19</f>
        <v>15336333.333333334</v>
      </c>
      <c r="U5" s="9">
        <f>Crops!T19</f>
        <v>19232966.666666664</v>
      </c>
      <c r="V5" s="9">
        <f>Crops!U19</f>
        <v>15409300</v>
      </c>
      <c r="W5" s="9">
        <f>Crops!V19</f>
        <v>18368100</v>
      </c>
      <c r="X5" s="9">
        <f>Crops!W19</f>
        <v>19841300</v>
      </c>
      <c r="Y5" s="9">
        <f>Crops!X19</f>
        <v>18665900</v>
      </c>
      <c r="Z5" s="9">
        <f>Crops!Y19</f>
        <v>23968300</v>
      </c>
      <c r="AA5" s="9">
        <f>Crops!Z19</f>
        <v>20208400</v>
      </c>
      <c r="AB5" s="9">
        <f>Crops!AA19</f>
        <v>19236500</v>
      </c>
      <c r="AC5" s="9">
        <f>Crops!AB19</f>
        <v>22029300</v>
      </c>
      <c r="AD5" s="9">
        <f>Crops!AC19</f>
        <v>21862000</v>
      </c>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10"/>
    </row>
    <row r="6" spans="1:63" x14ac:dyDescent="0.25">
      <c r="A6" s="106"/>
      <c r="B6" s="3" t="s">
        <v>114</v>
      </c>
      <c r="C6" s="11">
        <f>'Fruit, Veg, and Greenhouse'!C26</f>
        <v>30134.482</v>
      </c>
      <c r="D6" s="11">
        <f>'Fruit, Veg, and Greenhouse'!D26</f>
        <v>29885.033799999997</v>
      </c>
      <c r="E6" s="11">
        <f>'Fruit, Veg, and Greenhouse'!E26</f>
        <v>29635.585599999977</v>
      </c>
      <c r="F6" s="11">
        <f>'Fruit, Veg, and Greenhouse'!F26</f>
        <v>29386.137399999992</v>
      </c>
      <c r="G6" s="11">
        <f>'Fruit, Veg, and Greenhouse'!G26</f>
        <v>29136.689200000015</v>
      </c>
      <c r="H6" s="11">
        <f>'Fruit, Veg, and Greenhouse'!H26</f>
        <v>28887.241000000005</v>
      </c>
      <c r="I6" s="11">
        <f>'Fruit, Veg, and Greenhouse'!I26</f>
        <v>28637.792799999996</v>
      </c>
      <c r="J6" s="11">
        <f>'Fruit, Veg, and Greenhouse'!J26</f>
        <v>28388.344599999989</v>
      </c>
      <c r="K6" s="11">
        <f>'Fruit, Veg, and Greenhouse'!K26</f>
        <v>28138.896399999998</v>
      </c>
      <c r="L6" s="11">
        <f>'Fruit, Veg, and Greenhouse'!L26</f>
        <v>27889.448200000021</v>
      </c>
      <c r="M6" s="11">
        <f>'Fruit, Veg, and Greenhouse'!M26</f>
        <v>27640</v>
      </c>
      <c r="N6" s="11">
        <f>'Fruit, Veg, and Greenhouse'!N26</f>
        <v>27390.551800000001</v>
      </c>
      <c r="O6" s="11">
        <f>'Fruit, Veg, and Greenhouse'!O26</f>
        <v>29975.275599999994</v>
      </c>
      <c r="P6" s="11">
        <f>'Fruit, Veg, and Greenhouse'!P26</f>
        <v>26318.483999999997</v>
      </c>
      <c r="Q6" s="11">
        <f>'Fruit, Veg, and Greenhouse'!Q26</f>
        <v>27325.011999999984</v>
      </c>
      <c r="R6" s="11">
        <f>'Fruit, Veg, and Greenhouse'!R26</f>
        <v>25213.54</v>
      </c>
      <c r="S6" s="11">
        <f>'Fruit, Veg, and Greenhouse'!S26</f>
        <v>27750.067999999992</v>
      </c>
      <c r="T6" s="11">
        <f>'Fruit, Veg, and Greenhouse'!T26</f>
        <v>27038.295999999998</v>
      </c>
      <c r="U6" s="11">
        <f>'Fruit, Veg, and Greenhouse'!U26</f>
        <v>25091.600000000002</v>
      </c>
      <c r="V6" s="11">
        <f>'Fruit, Veg, and Greenhouse'!V26</f>
        <v>24393.8</v>
      </c>
      <c r="W6" s="11">
        <f>'Fruit, Veg, and Greenhouse'!W26</f>
        <v>21467</v>
      </c>
      <c r="X6" s="11">
        <f>'Fruit, Veg, and Greenhouse'!X26</f>
        <v>22059</v>
      </c>
      <c r="Y6" s="11">
        <f>'Fruit, Veg, and Greenhouse'!Y26</f>
        <v>21446</v>
      </c>
      <c r="Z6" s="11">
        <f>'Fruit, Veg, and Greenhouse'!Z26</f>
        <v>20537</v>
      </c>
      <c r="AA6" s="11">
        <f>'Fruit, Veg, and Greenhouse'!AA26</f>
        <v>24991</v>
      </c>
      <c r="AB6" s="11">
        <f>'Fruit, Veg, and Greenhouse'!AB26</f>
        <v>23855</v>
      </c>
      <c r="AC6" s="11">
        <f>'Fruit, Veg, and Greenhouse'!AC26</f>
        <v>25468</v>
      </c>
      <c r="AD6" s="11">
        <f>'Fruit, Veg, and Greenhouse'!AD26</f>
        <v>25568</v>
      </c>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3"/>
    </row>
    <row r="7" spans="1:63" x14ac:dyDescent="0.25">
      <c r="A7" s="106"/>
      <c r="B7" s="3" t="s">
        <v>141</v>
      </c>
      <c r="C7" s="11">
        <f>'Fruit, Veg, and Greenhouse'!C25</f>
        <v>18384.624925631415</v>
      </c>
      <c r="D7" s="11">
        <f>'Fruit, Veg, and Greenhouse'!D25</f>
        <v>18514.814143504096</v>
      </c>
      <c r="E7" s="11">
        <f>'Fruit, Veg, and Greenhouse'!E25</f>
        <v>18659.197373085204</v>
      </c>
      <c r="F7" s="11">
        <f>'Fruit, Veg, and Greenhouse'!F25</f>
        <v>18818.539707971839</v>
      </c>
      <c r="G7" s="11">
        <f>'Fruit, Veg, and Greenhouse'!G25</f>
        <v>18993.64748226654</v>
      </c>
      <c r="H7" s="11">
        <f>'Fruit, Veg, and Greenhouse'!H25</f>
        <v>19185.370493545513</v>
      </c>
      <c r="I7" s="11">
        <f>'Fruit, Veg, and Greenhouse'!I25</f>
        <v>19394.60434565186</v>
      </c>
      <c r="J7" s="11">
        <f>'Fruit, Veg, and Greenhouse'!J25</f>
        <v>19622.292917770399</v>
      </c>
      <c r="K7" s="11">
        <f>'Fruit, Veg, and Greenhouse'!K25</f>
        <v>19869.430966592045</v>
      </c>
      <c r="L7" s="11">
        <f>'Fruit, Veg, and Greenhouse'!L25</f>
        <v>20137.06686874228</v>
      </c>
      <c r="M7" s="11">
        <f>'Fruit, Veg, and Greenhouse'!M25</f>
        <v>20426.305511032733</v>
      </c>
      <c r="N7" s="11">
        <f>'Fruit, Veg, and Greenhouse'!N25</f>
        <v>20738.311336504659</v>
      </c>
      <c r="O7" s="11">
        <f>'Fruit, Veg, and Greenhouse'!O25</f>
        <v>17926.933554662959</v>
      </c>
      <c r="P7" s="11">
        <f>'Fruit, Veg, and Greenhouse'!P25</f>
        <v>20246.032524749084</v>
      </c>
      <c r="Q7" s="11">
        <f>'Fruit, Veg, and Greenhouse'!Q25</f>
        <v>23978.691999999999</v>
      </c>
      <c r="R7" s="11">
        <f>'Fruit, Veg, and Greenhouse'!R25</f>
        <v>26059.364999999998</v>
      </c>
      <c r="S7" s="11">
        <f>'Fruit, Veg, and Greenhouse'!S25</f>
        <v>27569.038</v>
      </c>
      <c r="T7" s="11">
        <f>'Fruit, Veg, and Greenhouse'!T25</f>
        <v>20929.710999999999</v>
      </c>
      <c r="U7" s="11">
        <f>'Fruit, Veg, and Greenhouse'!U25</f>
        <v>15558.384000000002</v>
      </c>
      <c r="V7" s="11">
        <f>'Fruit, Veg, and Greenhouse'!V25</f>
        <v>20270.057000000004</v>
      </c>
      <c r="W7" s="11">
        <f>'Fruit, Veg, and Greenhouse'!W25</f>
        <v>18848</v>
      </c>
      <c r="X7" s="11">
        <f>'Fruit, Veg, and Greenhouse'!X25</f>
        <v>22438</v>
      </c>
      <c r="Y7" s="11">
        <f>'Fruit, Veg, and Greenhouse'!Y25</f>
        <v>21539</v>
      </c>
      <c r="Z7" s="11">
        <f>'Fruit, Veg, and Greenhouse'!Z25</f>
        <v>14177</v>
      </c>
      <c r="AA7" s="11">
        <f>'Fruit, Veg, and Greenhouse'!AA25</f>
        <v>29743</v>
      </c>
      <c r="AB7" s="11">
        <f>'Fruit, Veg, and Greenhouse'!AB25</f>
        <v>27781</v>
      </c>
      <c r="AC7" s="11">
        <f>'Fruit, Veg, and Greenhouse'!AC25</f>
        <v>27725</v>
      </c>
      <c r="AD7" s="11">
        <f>'Fruit, Veg, and Greenhouse'!AD25</f>
        <v>33521</v>
      </c>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3"/>
    </row>
    <row r="8" spans="1:63" x14ac:dyDescent="0.25">
      <c r="A8" s="106" t="s">
        <v>5</v>
      </c>
      <c r="B8" s="3" t="s">
        <v>142</v>
      </c>
      <c r="C8" s="11" t="s">
        <v>135</v>
      </c>
      <c r="D8" s="11" t="s">
        <v>135</v>
      </c>
      <c r="E8" s="11" t="s">
        <v>135</v>
      </c>
      <c r="F8" s="11" t="s">
        <v>135</v>
      </c>
      <c r="G8" s="11" t="s">
        <v>135</v>
      </c>
      <c r="H8" s="11" t="s">
        <v>135</v>
      </c>
      <c r="I8" s="11" t="s">
        <v>135</v>
      </c>
      <c r="J8" s="11" t="s">
        <v>135</v>
      </c>
      <c r="K8" s="11" t="s">
        <v>135</v>
      </c>
      <c r="L8" s="50">
        <f>'Slaughtered Livestock (All)'!D31</f>
        <v>2322307</v>
      </c>
      <c r="M8" s="50">
        <f>'Slaughtered Livestock (All)'!E31</f>
        <v>2334903</v>
      </c>
      <c r="N8" s="50">
        <f>'Slaughtered Livestock (All)'!F31</f>
        <v>2342002</v>
      </c>
      <c r="O8" s="50">
        <f>'Slaughtered Livestock (All)'!G31</f>
        <v>2367910</v>
      </c>
      <c r="P8" s="50">
        <f>'Slaughtered Livestock (All)'!H31</f>
        <v>2071455</v>
      </c>
      <c r="Q8" s="50">
        <f>'Slaughtered Livestock (All)'!I31</f>
        <v>2648341</v>
      </c>
      <c r="R8" s="50">
        <f>'Slaughtered Livestock (All)'!J31</f>
        <v>2462980</v>
      </c>
      <c r="S8" s="50">
        <f>'Slaughtered Livestock (All)'!K31</f>
        <v>2151811</v>
      </c>
      <c r="T8" s="50">
        <f>'Slaughtered Livestock (All)'!L31</f>
        <v>2200258</v>
      </c>
      <c r="U8" s="50">
        <f>'Slaughtered Livestock (All)'!M31</f>
        <v>2303532</v>
      </c>
      <c r="V8" s="50">
        <f>'Slaughtered Livestock (All)'!N31</f>
        <v>2396065</v>
      </c>
      <c r="W8" s="50">
        <f>'Slaughtered Livestock (All)'!O31</f>
        <v>2471063</v>
      </c>
      <c r="X8" s="50">
        <f>'Slaughtered Livestock (All)'!P31</f>
        <v>2046687.3927091865</v>
      </c>
      <c r="Y8" s="50">
        <f>'Slaughtered Livestock (All)'!Q31</f>
        <v>1835241.2835253035</v>
      </c>
      <c r="Z8" s="50">
        <f>'Slaughtered Livestock (All)'!R31</f>
        <v>1853139.6194029923</v>
      </c>
      <c r="AA8" s="50">
        <f>'Slaughtered Livestock (All)'!S31</f>
        <v>1932559.6156879328</v>
      </c>
      <c r="AB8" s="50">
        <f>'Slaughtered Livestock (All)'!T31</f>
        <v>1833141.9161532817</v>
      </c>
      <c r="AC8" s="50">
        <f>'Slaughtered Livestock (All)'!U31</f>
        <v>1924370.6263074744</v>
      </c>
      <c r="AD8" s="50">
        <f>'Slaughtered Livestock (All)'!V31</f>
        <v>2058257.6438991474</v>
      </c>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3"/>
    </row>
    <row r="9" spans="1:63" x14ac:dyDescent="0.25">
      <c r="A9" s="106"/>
      <c r="B9" s="3" t="s">
        <v>143</v>
      </c>
      <c r="C9" s="11" t="s">
        <v>135</v>
      </c>
      <c r="D9" s="11" t="s">
        <v>135</v>
      </c>
      <c r="E9" s="11" t="s">
        <v>135</v>
      </c>
      <c r="F9" s="11" t="s">
        <v>135</v>
      </c>
      <c r="G9" s="11" t="s">
        <v>135</v>
      </c>
      <c r="H9" s="11" t="s">
        <v>135</v>
      </c>
      <c r="I9" s="11" t="s">
        <v>135</v>
      </c>
      <c r="J9" s="11" t="s">
        <v>135</v>
      </c>
      <c r="K9" s="11" t="s">
        <v>135</v>
      </c>
      <c r="L9" s="50">
        <f>'Slaughtered Livestock (All)'!D39</f>
        <v>2135335</v>
      </c>
      <c r="M9" s="50">
        <f>'Slaughtered Livestock (All)'!E39</f>
        <v>2091472</v>
      </c>
      <c r="N9" s="50">
        <f>'Slaughtered Livestock (All)'!F39</f>
        <v>2218087</v>
      </c>
      <c r="O9" s="50">
        <f>'Slaughtered Livestock (All)'!G39</f>
        <v>2587197</v>
      </c>
      <c r="P9" s="50">
        <f>'Slaughtered Livestock (All)'!H39</f>
        <v>2818608</v>
      </c>
      <c r="Q9" s="50">
        <f>'Slaughtered Livestock (All)'!I39</f>
        <v>3008995</v>
      </c>
      <c r="R9" s="50">
        <f>'Slaughtered Livestock (All)'!J39</f>
        <v>3122270</v>
      </c>
      <c r="S9" s="50">
        <f>'Slaughtered Livestock (All)'!K39</f>
        <v>3241863</v>
      </c>
      <c r="T9" s="50">
        <f>'Slaughtered Livestock (All)'!L39</f>
        <v>2934702</v>
      </c>
      <c r="U9" s="50">
        <f>'Slaughtered Livestock (All)'!M39</f>
        <v>2701366</v>
      </c>
      <c r="V9" s="50">
        <f>'Slaughtered Livestock (All)'!N39</f>
        <v>2599175</v>
      </c>
      <c r="W9" s="50">
        <f>'Slaughtered Livestock (All)'!O39</f>
        <v>2662056</v>
      </c>
      <c r="X9" s="50">
        <f>'Slaughtered Livestock (All)'!P39</f>
        <v>2507035</v>
      </c>
      <c r="Y9" s="50">
        <f>'Slaughtered Livestock (All)'!Q39</f>
        <v>2406048</v>
      </c>
      <c r="Z9" s="50">
        <f>'Slaughtered Livestock (All)'!R39</f>
        <v>2358033</v>
      </c>
      <c r="AA9" s="50">
        <f>'Slaughtered Livestock (All)'!S39</f>
        <v>2509468</v>
      </c>
      <c r="AB9" s="50">
        <f>'Slaughtered Livestock (All)'!T39</f>
        <v>2673257</v>
      </c>
      <c r="AC9" s="50">
        <f>'Slaughtered Livestock (All)'!U39</f>
        <v>2619485</v>
      </c>
      <c r="AD9" s="50">
        <f>'Slaughtered Livestock (All)'!V39</f>
        <v>2597476</v>
      </c>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3"/>
    </row>
    <row r="10" spans="1:63" x14ac:dyDescent="0.25">
      <c r="A10" s="106"/>
      <c r="B10" s="3" t="s">
        <v>160</v>
      </c>
      <c r="C10" s="50">
        <f>Poultry!C10</f>
        <v>62411</v>
      </c>
      <c r="D10" s="50">
        <f>Poultry!D10</f>
        <v>61953</v>
      </c>
      <c r="E10" s="50">
        <f>Poultry!E10</f>
        <v>62061</v>
      </c>
      <c r="F10" s="50">
        <f>Poultry!F10</f>
        <v>65563</v>
      </c>
      <c r="G10" s="50">
        <f>Poultry!G10</f>
        <v>72352</v>
      </c>
      <c r="H10" s="50">
        <f>Poultry!H10</f>
        <v>75931</v>
      </c>
      <c r="I10" s="50">
        <f>Poultry!I10</f>
        <v>75396</v>
      </c>
      <c r="J10" s="50">
        <f>Poultry!J10</f>
        <v>79272</v>
      </c>
      <c r="K10" s="50">
        <f>Poultry!K10</f>
        <v>86437</v>
      </c>
      <c r="L10" s="50">
        <f>Poultry!L10</f>
        <v>91235</v>
      </c>
      <c r="M10" s="50">
        <f>Poultry!M10</f>
        <v>94146</v>
      </c>
      <c r="N10" s="50">
        <f>Poultry!N10</f>
        <v>100031</v>
      </c>
      <c r="O10" s="50">
        <f>Poultry!O10</f>
        <v>96404</v>
      </c>
      <c r="P10" s="50">
        <f>Poultry!P10</f>
        <v>95906</v>
      </c>
      <c r="Q10" s="50">
        <f>Poultry!Q10</f>
        <v>101572</v>
      </c>
      <c r="R10" s="50">
        <f>Poultry!R10</f>
        <v>100747</v>
      </c>
      <c r="S10" s="50">
        <f>Poultry!S10</f>
        <v>101392</v>
      </c>
      <c r="T10" s="50">
        <f>Poultry!T10</f>
        <v>103886</v>
      </c>
      <c r="U10" s="50">
        <f>Poultry!U10</f>
        <v>106822</v>
      </c>
      <c r="V10" s="50">
        <f>Poultry!V10</f>
        <v>104459</v>
      </c>
      <c r="W10" s="50">
        <f>Poultry!W10</f>
        <v>108438</v>
      </c>
      <c r="X10" s="50">
        <f>Poultry!X10</f>
        <v>111329</v>
      </c>
      <c r="Y10" s="50">
        <f>Poultry!Y10</f>
        <v>114280</v>
      </c>
      <c r="Z10" s="50">
        <f>Poultry!Z10</f>
        <v>114717</v>
      </c>
      <c r="AA10" s="50">
        <f>Poultry!AA10</f>
        <v>114492</v>
      </c>
      <c r="AB10" s="50">
        <f>Poultry!AB10</f>
        <v>123125</v>
      </c>
      <c r="AC10" s="50">
        <f>Poultry!AC10</f>
        <v>129390</v>
      </c>
      <c r="AD10" s="50">
        <f>Poultry!AD10</f>
        <v>133174</v>
      </c>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3"/>
    </row>
    <row r="11" spans="1:63" x14ac:dyDescent="0.25">
      <c r="A11" s="106"/>
      <c r="B11" s="3" t="s">
        <v>163</v>
      </c>
      <c r="C11" t="s">
        <v>135</v>
      </c>
      <c r="D11" t="s">
        <v>135</v>
      </c>
      <c r="E11" t="s">
        <v>135</v>
      </c>
      <c r="F11" t="s">
        <v>135</v>
      </c>
      <c r="G11" t="s">
        <v>135</v>
      </c>
      <c r="H11" t="s">
        <v>135</v>
      </c>
      <c r="I11" t="s">
        <v>135</v>
      </c>
      <c r="J11" t="s">
        <v>135</v>
      </c>
      <c r="K11" t="s">
        <v>135</v>
      </c>
      <c r="L11" t="s">
        <v>135</v>
      </c>
      <c r="M11" t="s">
        <v>135</v>
      </c>
      <c r="N11" s="11">
        <f>Dairy!N5</f>
        <v>629690</v>
      </c>
      <c r="O11" s="11">
        <f>Dairy!O5</f>
        <v>639079</v>
      </c>
      <c r="P11" s="11">
        <f>Dairy!P5</f>
        <v>623380</v>
      </c>
      <c r="Q11" s="11">
        <f>Dairy!Q5</f>
        <v>635065</v>
      </c>
      <c r="R11" s="11">
        <f>Dairy!R5</f>
        <v>637044</v>
      </c>
      <c r="S11" s="11">
        <f>Dairy!S5</f>
        <v>624029</v>
      </c>
      <c r="T11" s="11">
        <f>Dairy!T5</f>
        <v>626151</v>
      </c>
      <c r="U11" s="11">
        <f>Dairy!U5</f>
        <v>667956</v>
      </c>
      <c r="V11" s="11">
        <f>Dairy!V5</f>
        <v>649667</v>
      </c>
      <c r="W11" s="11">
        <f>Dairy!W5</f>
        <v>649997</v>
      </c>
      <c r="X11" s="11">
        <f>Dairy!X5</f>
        <v>660059</v>
      </c>
      <c r="Y11" s="11">
        <f>Dairy!Y5</f>
        <v>679935</v>
      </c>
      <c r="Z11" s="11">
        <f>Dairy!Z5</f>
        <v>653530</v>
      </c>
      <c r="AA11" s="11">
        <f>Dairy!AA5</f>
        <v>668400</v>
      </c>
      <c r="AB11" s="11">
        <f>Dairy!AB5</f>
        <v>701242</v>
      </c>
      <c r="AC11" s="11">
        <f>Dairy!AC5</f>
        <v>732337</v>
      </c>
      <c r="AD11" s="11">
        <f>Dairy!AD5</f>
        <v>768059</v>
      </c>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3"/>
    </row>
    <row r="12" spans="1:63" x14ac:dyDescent="0.25">
      <c r="A12" s="107" t="s">
        <v>10</v>
      </c>
      <c r="B12" s="5" t="s">
        <v>11</v>
      </c>
      <c r="C12" s="4">
        <f>SUM(C5:C7)</f>
        <v>15905119.106925633</v>
      </c>
      <c r="D12" s="4">
        <f t="shared" ref="D12:AD12" si="0">SUM(D5:D7)</f>
        <v>16279499.847943505</v>
      </c>
      <c r="E12" s="4">
        <f t="shared" si="0"/>
        <v>13752394.782973085</v>
      </c>
      <c r="F12" s="4">
        <f t="shared" si="0"/>
        <v>17778204.677107975</v>
      </c>
      <c r="G12" s="4">
        <f t="shared" si="0"/>
        <v>14963330.336682267</v>
      </c>
      <c r="H12" s="4">
        <f t="shared" si="0"/>
        <v>17075572.611493547</v>
      </c>
      <c r="I12" s="4">
        <f t="shared" si="0"/>
        <v>17821132.397145655</v>
      </c>
      <c r="J12" s="4">
        <f t="shared" si="0"/>
        <v>16419610.637517771</v>
      </c>
      <c r="K12" s="4">
        <f t="shared" si="0"/>
        <v>15880308.327366592</v>
      </c>
      <c r="L12" s="4">
        <f t="shared" si="0"/>
        <v>18278526.51506874</v>
      </c>
      <c r="M12" s="4">
        <f t="shared" si="0"/>
        <v>15398166.305511033</v>
      </c>
      <c r="N12" s="4">
        <f t="shared" si="0"/>
        <v>13007428.863136504</v>
      </c>
      <c r="O12" s="4">
        <f t="shared" si="0"/>
        <v>7790202.2091546636</v>
      </c>
      <c r="P12" s="4">
        <f t="shared" si="0"/>
        <v>15108164.516524749</v>
      </c>
      <c r="Q12" s="4">
        <f t="shared" si="0"/>
        <v>17182303.704</v>
      </c>
      <c r="R12" s="4">
        <f t="shared" si="0"/>
        <v>18326372.904999997</v>
      </c>
      <c r="S12" s="4">
        <f t="shared" si="0"/>
        <v>16223219.106000001</v>
      </c>
      <c r="T12" s="4">
        <f t="shared" si="0"/>
        <v>15384301.340333333</v>
      </c>
      <c r="U12" s="4">
        <f t="shared" si="0"/>
        <v>19273616.650666665</v>
      </c>
      <c r="V12" s="4">
        <f t="shared" si="0"/>
        <v>15453963.857000001</v>
      </c>
      <c r="W12" s="4">
        <f t="shared" si="0"/>
        <v>18408415</v>
      </c>
      <c r="X12" s="4">
        <f t="shared" si="0"/>
        <v>19885797</v>
      </c>
      <c r="Y12" s="4">
        <f t="shared" si="0"/>
        <v>18708885</v>
      </c>
      <c r="Z12" s="4">
        <f t="shared" si="0"/>
        <v>24003014</v>
      </c>
      <c r="AA12" s="4">
        <f t="shared" si="0"/>
        <v>20263134</v>
      </c>
      <c r="AB12" s="4">
        <f t="shared" si="0"/>
        <v>19288136</v>
      </c>
      <c r="AC12" s="4">
        <f t="shared" si="0"/>
        <v>22082493</v>
      </c>
      <c r="AD12" s="4">
        <f t="shared" si="0"/>
        <v>21921089</v>
      </c>
      <c r="AE12" s="11"/>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5"/>
    </row>
    <row r="13" spans="1:63" x14ac:dyDescent="0.25">
      <c r="AD13" s="9"/>
      <c r="AE13" s="9"/>
    </row>
    <row r="14" spans="1:63" x14ac:dyDescent="0.25">
      <c r="A14" s="2" t="s">
        <v>75</v>
      </c>
    </row>
    <row r="15" spans="1:63" x14ac:dyDescent="0.25">
      <c r="A15" s="6"/>
      <c r="B15" s="6"/>
      <c r="C15" s="9">
        <v>1990</v>
      </c>
      <c r="D15" s="9">
        <v>1991</v>
      </c>
      <c r="E15" s="9">
        <v>1992</v>
      </c>
      <c r="F15" s="9">
        <v>1993</v>
      </c>
      <c r="G15" s="9">
        <v>1994</v>
      </c>
      <c r="H15" s="9">
        <v>1995</v>
      </c>
      <c r="I15" s="9">
        <v>1996</v>
      </c>
      <c r="J15" s="9">
        <v>1997</v>
      </c>
      <c r="K15" s="9">
        <v>1998</v>
      </c>
      <c r="L15" s="9">
        <v>1999</v>
      </c>
      <c r="M15" s="9">
        <v>2000</v>
      </c>
      <c r="N15" s="9">
        <v>2001</v>
      </c>
      <c r="O15" s="9">
        <v>2002</v>
      </c>
      <c r="P15" s="9">
        <v>2003</v>
      </c>
      <c r="Q15" s="9">
        <v>2004</v>
      </c>
      <c r="R15" s="9">
        <v>2005</v>
      </c>
      <c r="S15" s="9">
        <v>2006</v>
      </c>
      <c r="T15" s="9">
        <v>2007</v>
      </c>
      <c r="U15" s="9">
        <v>2008</v>
      </c>
      <c r="V15" s="9">
        <v>2009</v>
      </c>
      <c r="W15" s="9">
        <v>2010</v>
      </c>
      <c r="X15" s="9">
        <v>2011</v>
      </c>
      <c r="Y15" s="9">
        <v>2012</v>
      </c>
      <c r="Z15" s="9">
        <v>2013</v>
      </c>
      <c r="AA15" s="9">
        <v>2014</v>
      </c>
      <c r="AB15" s="9">
        <v>2015</v>
      </c>
      <c r="AC15" s="9">
        <v>2016</v>
      </c>
      <c r="AD15" s="10">
        <v>2017</v>
      </c>
      <c r="AE15" s="8">
        <v>2018</v>
      </c>
      <c r="AF15" s="8">
        <v>2019</v>
      </c>
      <c r="AG15" s="8">
        <v>2020</v>
      </c>
      <c r="AH15" s="8">
        <v>2021</v>
      </c>
      <c r="AI15" s="8">
        <v>2022</v>
      </c>
      <c r="AJ15" s="8">
        <v>2023</v>
      </c>
      <c r="AK15" s="8">
        <v>2024</v>
      </c>
      <c r="AL15" s="8">
        <v>2025</v>
      </c>
      <c r="AM15" s="8">
        <v>2026</v>
      </c>
      <c r="AN15" s="8">
        <v>2027</v>
      </c>
      <c r="AO15" s="8">
        <v>2028</v>
      </c>
      <c r="AP15" s="8">
        <v>2029</v>
      </c>
      <c r="AQ15" s="8">
        <v>2030</v>
      </c>
      <c r="AR15" s="8">
        <v>2031</v>
      </c>
      <c r="AS15" s="8">
        <v>2032</v>
      </c>
      <c r="AT15" s="8">
        <v>2033</v>
      </c>
      <c r="AU15" s="8">
        <v>2034</v>
      </c>
      <c r="AV15" s="8">
        <v>2035</v>
      </c>
      <c r="AW15" s="8">
        <v>2036</v>
      </c>
      <c r="AX15" s="8">
        <v>2037</v>
      </c>
      <c r="AY15" s="8">
        <v>2038</v>
      </c>
      <c r="AZ15" s="8">
        <v>2039</v>
      </c>
      <c r="BA15" s="8">
        <v>2040</v>
      </c>
      <c r="BB15" s="8">
        <v>2041</v>
      </c>
      <c r="BC15" s="8">
        <v>2042</v>
      </c>
      <c r="BD15" s="8">
        <v>2043</v>
      </c>
      <c r="BE15" s="8">
        <v>2044</v>
      </c>
      <c r="BF15" s="8">
        <v>2045</v>
      </c>
      <c r="BG15" s="8">
        <v>2046</v>
      </c>
      <c r="BH15" s="8">
        <v>2047</v>
      </c>
      <c r="BI15" s="8">
        <v>2048</v>
      </c>
      <c r="BJ15" s="8">
        <v>2049</v>
      </c>
      <c r="BK15" s="8">
        <v>2050</v>
      </c>
    </row>
    <row r="16" spans="1:63" x14ac:dyDescent="0.25">
      <c r="A16" s="105" t="s">
        <v>0</v>
      </c>
      <c r="B16" s="9" t="s">
        <v>2</v>
      </c>
      <c r="C16" s="52">
        <f>0.001*C5</f>
        <v>15856.6</v>
      </c>
      <c r="D16" s="53">
        <f t="shared" ref="D16:AD16" si="1">0.001*D5</f>
        <v>16231.1</v>
      </c>
      <c r="E16" s="53">
        <f t="shared" si="1"/>
        <v>13704.1</v>
      </c>
      <c r="F16" s="53">
        <f t="shared" si="1"/>
        <v>17730</v>
      </c>
      <c r="G16" s="53">
        <f t="shared" si="1"/>
        <v>14915.2</v>
      </c>
      <c r="H16" s="53">
        <f t="shared" si="1"/>
        <v>17027.5</v>
      </c>
      <c r="I16" s="53">
        <f t="shared" si="1"/>
        <v>17773.100000000002</v>
      </c>
      <c r="J16" s="53">
        <f t="shared" si="1"/>
        <v>16371.6</v>
      </c>
      <c r="K16" s="53">
        <f t="shared" si="1"/>
        <v>15832.300000000001</v>
      </c>
      <c r="L16" s="53">
        <f t="shared" si="1"/>
        <v>18230.5</v>
      </c>
      <c r="M16" s="53">
        <f t="shared" si="1"/>
        <v>15350.1</v>
      </c>
      <c r="N16" s="53">
        <f t="shared" si="1"/>
        <v>12959.300000000001</v>
      </c>
      <c r="O16" s="53">
        <f t="shared" si="1"/>
        <v>7742.3</v>
      </c>
      <c r="P16" s="53">
        <f t="shared" si="1"/>
        <v>15061.6</v>
      </c>
      <c r="Q16" s="53">
        <f t="shared" si="1"/>
        <v>17131</v>
      </c>
      <c r="R16" s="53">
        <f t="shared" si="1"/>
        <v>18275.100000000002</v>
      </c>
      <c r="S16" s="53">
        <f t="shared" si="1"/>
        <v>16167.9</v>
      </c>
      <c r="T16" s="53">
        <f t="shared" si="1"/>
        <v>15336.333333333334</v>
      </c>
      <c r="U16" s="53">
        <f t="shared" si="1"/>
        <v>19232.966666666664</v>
      </c>
      <c r="V16" s="53">
        <f t="shared" si="1"/>
        <v>15409.300000000001</v>
      </c>
      <c r="W16" s="53">
        <f t="shared" si="1"/>
        <v>18368.100000000002</v>
      </c>
      <c r="X16" s="53">
        <f t="shared" si="1"/>
        <v>19841.3</v>
      </c>
      <c r="Y16" s="53">
        <f t="shared" si="1"/>
        <v>18665.900000000001</v>
      </c>
      <c r="Z16" s="53">
        <f t="shared" si="1"/>
        <v>23968.3</v>
      </c>
      <c r="AA16" s="53">
        <f t="shared" si="1"/>
        <v>20208.400000000001</v>
      </c>
      <c r="AB16" s="53">
        <f t="shared" si="1"/>
        <v>19236.5</v>
      </c>
      <c r="AC16" s="53">
        <f t="shared" si="1"/>
        <v>22029.3</v>
      </c>
      <c r="AD16" s="54">
        <f t="shared" si="1"/>
        <v>21862</v>
      </c>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10"/>
    </row>
    <row r="17" spans="1:63" x14ac:dyDescent="0.25">
      <c r="A17" s="106"/>
      <c r="B17" s="11" t="s">
        <v>3</v>
      </c>
      <c r="C17" s="55">
        <f t="shared" ref="C17:AD17" si="2">0.001*C6</f>
        <v>30.134482000000002</v>
      </c>
      <c r="D17" s="56">
        <f t="shared" si="2"/>
        <v>29.885033799999999</v>
      </c>
      <c r="E17" s="56">
        <f t="shared" si="2"/>
        <v>29.635585599999978</v>
      </c>
      <c r="F17" s="56">
        <f t="shared" si="2"/>
        <v>29.386137399999992</v>
      </c>
      <c r="G17" s="56">
        <f t="shared" si="2"/>
        <v>29.136689200000017</v>
      </c>
      <c r="H17" s="56">
        <f t="shared" si="2"/>
        <v>28.887241000000007</v>
      </c>
      <c r="I17" s="56">
        <f t="shared" si="2"/>
        <v>28.637792799999996</v>
      </c>
      <c r="J17" s="56">
        <f t="shared" si="2"/>
        <v>28.388344599999989</v>
      </c>
      <c r="K17" s="56">
        <f t="shared" si="2"/>
        <v>28.1388964</v>
      </c>
      <c r="L17" s="56">
        <f t="shared" si="2"/>
        <v>27.889448200000022</v>
      </c>
      <c r="M17" s="56">
        <f t="shared" si="2"/>
        <v>27.64</v>
      </c>
      <c r="N17" s="56">
        <f t="shared" si="2"/>
        <v>27.390551800000001</v>
      </c>
      <c r="O17" s="56">
        <f t="shared" si="2"/>
        <v>29.975275599999993</v>
      </c>
      <c r="P17" s="56">
        <f t="shared" si="2"/>
        <v>26.318483999999998</v>
      </c>
      <c r="Q17" s="56">
        <f t="shared" si="2"/>
        <v>27.325011999999983</v>
      </c>
      <c r="R17" s="56">
        <f t="shared" si="2"/>
        <v>25.213540000000002</v>
      </c>
      <c r="S17" s="56">
        <f t="shared" si="2"/>
        <v>27.750067999999992</v>
      </c>
      <c r="T17" s="56">
        <f t="shared" si="2"/>
        <v>27.038295999999999</v>
      </c>
      <c r="U17" s="56">
        <f t="shared" si="2"/>
        <v>25.091600000000003</v>
      </c>
      <c r="V17" s="56">
        <f t="shared" si="2"/>
        <v>24.393799999999999</v>
      </c>
      <c r="W17" s="56">
        <f t="shared" si="2"/>
        <v>21.466999999999999</v>
      </c>
      <c r="X17" s="56">
        <f t="shared" si="2"/>
        <v>22.059000000000001</v>
      </c>
      <c r="Y17" s="56">
        <f t="shared" si="2"/>
        <v>21.446000000000002</v>
      </c>
      <c r="Z17" s="56">
        <f t="shared" si="2"/>
        <v>20.536999999999999</v>
      </c>
      <c r="AA17" s="56">
        <f t="shared" si="2"/>
        <v>24.991</v>
      </c>
      <c r="AB17" s="56">
        <f t="shared" si="2"/>
        <v>23.855</v>
      </c>
      <c r="AC17" s="56">
        <f t="shared" si="2"/>
        <v>25.468</v>
      </c>
      <c r="AD17" s="57">
        <f t="shared" si="2"/>
        <v>25.568000000000001</v>
      </c>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3"/>
    </row>
    <row r="18" spans="1:63" x14ac:dyDescent="0.25">
      <c r="A18" s="106"/>
      <c r="B18" s="11" t="s">
        <v>4</v>
      </c>
      <c r="C18" s="55">
        <f t="shared" ref="C18:AD18" si="3">0.001*C7</f>
        <v>18.384624925631414</v>
      </c>
      <c r="D18" s="56">
        <f t="shared" si="3"/>
        <v>18.514814143504097</v>
      </c>
      <c r="E18" s="56">
        <f t="shared" si="3"/>
        <v>18.659197373085206</v>
      </c>
      <c r="F18" s="56">
        <f t="shared" si="3"/>
        <v>18.818539707971841</v>
      </c>
      <c r="G18" s="56">
        <f t="shared" si="3"/>
        <v>18.993647482266542</v>
      </c>
      <c r="H18" s="56">
        <f t="shared" si="3"/>
        <v>19.185370493545513</v>
      </c>
      <c r="I18" s="56">
        <f t="shared" si="3"/>
        <v>19.39460434565186</v>
      </c>
      <c r="J18" s="56">
        <f t="shared" si="3"/>
        <v>19.622292917770398</v>
      </c>
      <c r="K18" s="56">
        <f t="shared" si="3"/>
        <v>19.869430966592045</v>
      </c>
      <c r="L18" s="56">
        <f t="shared" si="3"/>
        <v>20.137066868742281</v>
      </c>
      <c r="M18" s="56">
        <f t="shared" si="3"/>
        <v>20.426305511032734</v>
      </c>
      <c r="N18" s="56">
        <f t="shared" si="3"/>
        <v>20.738311336504658</v>
      </c>
      <c r="O18" s="56">
        <f t="shared" si="3"/>
        <v>17.926933554662959</v>
      </c>
      <c r="P18" s="56">
        <f t="shared" si="3"/>
        <v>20.246032524749083</v>
      </c>
      <c r="Q18" s="56">
        <f t="shared" si="3"/>
        <v>23.978691999999999</v>
      </c>
      <c r="R18" s="56">
        <f t="shared" si="3"/>
        <v>26.059365</v>
      </c>
      <c r="S18" s="56">
        <f t="shared" si="3"/>
        <v>27.569038000000003</v>
      </c>
      <c r="T18" s="56">
        <f t="shared" si="3"/>
        <v>20.929711000000001</v>
      </c>
      <c r="U18" s="56">
        <f t="shared" si="3"/>
        <v>15.558384000000002</v>
      </c>
      <c r="V18" s="56">
        <f t="shared" si="3"/>
        <v>20.270057000000005</v>
      </c>
      <c r="W18" s="56">
        <f t="shared" si="3"/>
        <v>18.847999999999999</v>
      </c>
      <c r="X18" s="56">
        <f t="shared" si="3"/>
        <v>22.437999999999999</v>
      </c>
      <c r="Y18" s="56">
        <f t="shared" si="3"/>
        <v>21.539000000000001</v>
      </c>
      <c r="Z18" s="56">
        <f t="shared" si="3"/>
        <v>14.177</v>
      </c>
      <c r="AA18" s="56">
        <f t="shared" si="3"/>
        <v>29.743000000000002</v>
      </c>
      <c r="AB18" s="56">
        <f t="shared" si="3"/>
        <v>27.780999999999999</v>
      </c>
      <c r="AC18" s="56">
        <f t="shared" si="3"/>
        <v>27.725000000000001</v>
      </c>
      <c r="AD18" s="57">
        <f t="shared" si="3"/>
        <v>33.521000000000001</v>
      </c>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3"/>
    </row>
    <row r="19" spans="1:63" x14ac:dyDescent="0.25">
      <c r="A19" s="106" t="s">
        <v>5</v>
      </c>
      <c r="B19" s="3" t="s">
        <v>6</v>
      </c>
      <c r="C19" s="58">
        <f t="shared" ref="C19:J19" si="4">-29.111*C15+60642</f>
        <v>2711.1100000000006</v>
      </c>
      <c r="D19" s="58">
        <f t="shared" si="4"/>
        <v>2681.9989999999962</v>
      </c>
      <c r="E19" s="58">
        <f t="shared" si="4"/>
        <v>2652.887999999999</v>
      </c>
      <c r="F19" s="58">
        <f t="shared" si="4"/>
        <v>2623.7770000000019</v>
      </c>
      <c r="G19" s="58">
        <f t="shared" si="4"/>
        <v>2594.6659999999974</v>
      </c>
      <c r="H19" s="58">
        <f t="shared" si="4"/>
        <v>2565.5550000000003</v>
      </c>
      <c r="I19" s="58">
        <f t="shared" si="4"/>
        <v>2536.4439999999959</v>
      </c>
      <c r="J19" s="58">
        <f t="shared" si="4"/>
        <v>2507.3329999999987</v>
      </c>
      <c r="K19" s="58">
        <f>-29.111*K15+60642</f>
        <v>2478.2220000000016</v>
      </c>
      <c r="L19" s="56">
        <f>L8*'Slaughtered Livestock (All)'!$D$47*0.001</f>
        <v>2322.3070000000002</v>
      </c>
      <c r="M19" s="56">
        <f>M8*'Slaughtered Livestock (All)'!$D$47*0.001</f>
        <v>2334.9030000000002</v>
      </c>
      <c r="N19" s="56">
        <f>N8*'Slaughtered Livestock (All)'!$D$47*0.001</f>
        <v>2342.002</v>
      </c>
      <c r="O19" s="56">
        <f>O8*'Slaughtered Livestock (All)'!$D$47*0.001</f>
        <v>2367.91</v>
      </c>
      <c r="P19" s="56">
        <f>P8*'Slaughtered Livestock (All)'!$D$47*0.001</f>
        <v>2071.4549999999999</v>
      </c>
      <c r="Q19" s="56">
        <f>Q8*'Slaughtered Livestock (All)'!$D$47*0.001</f>
        <v>2648.3409999999999</v>
      </c>
      <c r="R19" s="56">
        <f>R8*'Slaughtered Livestock (All)'!$D$47*0.001</f>
        <v>2462.98</v>
      </c>
      <c r="S19" s="56">
        <f>S8*'Slaughtered Livestock (All)'!$D$47*0.001</f>
        <v>2151.8110000000001</v>
      </c>
      <c r="T19" s="56">
        <f>T8*'Slaughtered Livestock (All)'!$D$47*0.001</f>
        <v>2200.2580000000003</v>
      </c>
      <c r="U19" s="56">
        <f>U8*'Slaughtered Livestock (All)'!$D$47*0.001</f>
        <v>2303.5320000000002</v>
      </c>
      <c r="V19" s="56">
        <f>V8*'Slaughtered Livestock (All)'!$D$47*0.001</f>
        <v>2396.0650000000001</v>
      </c>
      <c r="W19" s="56">
        <f>W8*'Slaughtered Livestock (All)'!$D$47*0.001</f>
        <v>2471.0630000000001</v>
      </c>
      <c r="X19" s="56">
        <f>X8*'Slaughtered Livestock (All)'!$D$47*0.001</f>
        <v>2046.6873927091865</v>
      </c>
      <c r="Y19" s="56">
        <f>Y8*'Slaughtered Livestock (All)'!$D$47*0.001</f>
        <v>1835.2412835253035</v>
      </c>
      <c r="Z19" s="56">
        <f>Z8*'Slaughtered Livestock (All)'!$D$47*0.001</f>
        <v>1853.1396194029924</v>
      </c>
      <c r="AA19" s="56">
        <f>AA8*'Slaughtered Livestock (All)'!$D$47*0.001</f>
        <v>1932.5596156879328</v>
      </c>
      <c r="AB19" s="56">
        <f>AB8*'Slaughtered Livestock (All)'!$D$47*0.001</f>
        <v>1833.1419161532817</v>
      </c>
      <c r="AC19" s="56">
        <f>AC8*'Slaughtered Livestock (All)'!$D$47*0.001</f>
        <v>1924.3706263074746</v>
      </c>
      <c r="AD19" s="56">
        <f>AD8*'Slaughtered Livestock (All)'!$D$47*0.001</f>
        <v>2058.2576438991473</v>
      </c>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3"/>
    </row>
    <row r="20" spans="1:63" x14ac:dyDescent="0.25">
      <c r="A20" s="106"/>
      <c r="B20" s="3" t="s">
        <v>7</v>
      </c>
      <c r="C20" s="58">
        <f>0.679*C15-1030.7</f>
        <v>320.51</v>
      </c>
      <c r="D20" s="58">
        <f t="shared" ref="D20" si="5">0.679*D15-1030.7</f>
        <v>321.18900000000008</v>
      </c>
      <c r="E20" s="58">
        <f>0.679*E15-1030.7</f>
        <v>321.86799999999994</v>
      </c>
      <c r="F20" s="58">
        <f t="shared" ref="F20:J20" si="6">0.679*F15-1030.7</f>
        <v>322.54700000000003</v>
      </c>
      <c r="G20" s="58">
        <f t="shared" si="6"/>
        <v>323.22600000000011</v>
      </c>
      <c r="H20" s="58">
        <f t="shared" si="6"/>
        <v>323.90499999999997</v>
      </c>
      <c r="I20" s="58">
        <f t="shared" si="6"/>
        <v>324.58400000000006</v>
      </c>
      <c r="J20" s="58">
        <f t="shared" si="6"/>
        <v>325.26300000000015</v>
      </c>
      <c r="K20" s="58">
        <f>0.679*K15-1030.7</f>
        <v>325.94200000000001</v>
      </c>
      <c r="L20" s="56">
        <f>L9*0.001*'Slaughtered Livestock (All)'!$D$48</f>
        <v>271.187545</v>
      </c>
      <c r="M20" s="56">
        <f>M9*0.001*'Slaughtered Livestock (All)'!$D$48</f>
        <v>265.61694400000005</v>
      </c>
      <c r="N20" s="56">
        <f>N9*0.001*'Slaughtered Livestock (All)'!$D$48</f>
        <v>281.69704899999999</v>
      </c>
      <c r="O20" s="56">
        <f>O9*0.001*'Slaughtered Livestock (All)'!$D$48</f>
        <v>328.57401900000002</v>
      </c>
      <c r="P20" s="56">
        <f>P9*0.001*'Slaughtered Livestock (All)'!$D$48</f>
        <v>357.96321600000005</v>
      </c>
      <c r="Q20" s="56">
        <f>Q9*0.001*'Slaughtered Livestock (All)'!$D$48</f>
        <v>382.14236499999998</v>
      </c>
      <c r="R20" s="56">
        <f>R9*0.001*'Slaughtered Livestock (All)'!$D$48</f>
        <v>396.52829000000003</v>
      </c>
      <c r="S20" s="56">
        <f>S9*0.001*'Slaughtered Livestock (All)'!$D$48</f>
        <v>411.71660100000003</v>
      </c>
      <c r="T20" s="56">
        <f>T9*0.001*'Slaughtered Livestock (All)'!$D$48</f>
        <v>372.70715400000006</v>
      </c>
      <c r="U20" s="56">
        <f>U9*0.001*'Slaughtered Livestock (All)'!$D$48</f>
        <v>343.07348200000001</v>
      </c>
      <c r="V20" s="56">
        <f>V9*0.001*'Slaughtered Livestock (All)'!$D$48</f>
        <v>330.09522500000003</v>
      </c>
      <c r="W20" s="56">
        <f>W9*0.001*'Slaughtered Livestock (All)'!$D$48</f>
        <v>338.08111200000002</v>
      </c>
      <c r="X20" s="56">
        <f>X9*0.001*'Slaughtered Livestock (All)'!$D$48</f>
        <v>318.39344499999999</v>
      </c>
      <c r="Y20" s="56">
        <f>Y9*0.001*'Slaughtered Livestock (All)'!$D$48</f>
        <v>305.56809600000003</v>
      </c>
      <c r="Z20" s="56">
        <f>Z9*0.001*'Slaughtered Livestock (All)'!$D$48</f>
        <v>299.470191</v>
      </c>
      <c r="AA20" s="56">
        <f>AA9*0.001*'Slaughtered Livestock (All)'!$D$48</f>
        <v>318.70243599999998</v>
      </c>
      <c r="AB20" s="56">
        <f>AB9*0.001*'Slaughtered Livestock (All)'!$D$48</f>
        <v>339.50363900000002</v>
      </c>
      <c r="AC20" s="56">
        <f>AC9*0.001*'Slaughtered Livestock (All)'!$D$48</f>
        <v>332.67459500000001</v>
      </c>
      <c r="AD20" s="56">
        <f>AD9*0.001*'Slaughtered Livestock (All)'!$D$48</f>
        <v>329.87945200000001</v>
      </c>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3"/>
    </row>
    <row r="21" spans="1:63" x14ac:dyDescent="0.25">
      <c r="A21" s="106"/>
      <c r="B21" s="3" t="s">
        <v>8</v>
      </c>
      <c r="C21" s="56">
        <f>0.001*C10</f>
        <v>62.411000000000001</v>
      </c>
      <c r="D21" s="56">
        <f t="shared" ref="D21:AD21" si="7">0.001*D10</f>
        <v>61.953000000000003</v>
      </c>
      <c r="E21" s="56">
        <f t="shared" si="7"/>
        <v>62.061</v>
      </c>
      <c r="F21" s="56">
        <f t="shared" si="7"/>
        <v>65.563000000000002</v>
      </c>
      <c r="G21" s="56">
        <f t="shared" si="7"/>
        <v>72.352000000000004</v>
      </c>
      <c r="H21" s="56">
        <f t="shared" si="7"/>
        <v>75.930999999999997</v>
      </c>
      <c r="I21" s="56">
        <f t="shared" si="7"/>
        <v>75.396000000000001</v>
      </c>
      <c r="J21" s="56">
        <f t="shared" si="7"/>
        <v>79.272000000000006</v>
      </c>
      <c r="K21" s="56">
        <f t="shared" si="7"/>
        <v>86.436999999999998</v>
      </c>
      <c r="L21" s="56">
        <f t="shared" si="7"/>
        <v>91.234999999999999</v>
      </c>
      <c r="M21" s="56">
        <f t="shared" si="7"/>
        <v>94.146000000000001</v>
      </c>
      <c r="N21" s="56">
        <f t="shared" si="7"/>
        <v>100.03100000000001</v>
      </c>
      <c r="O21" s="56">
        <f t="shared" si="7"/>
        <v>96.403999999999996</v>
      </c>
      <c r="P21" s="56">
        <f t="shared" si="7"/>
        <v>95.906000000000006</v>
      </c>
      <c r="Q21" s="56">
        <f t="shared" si="7"/>
        <v>101.572</v>
      </c>
      <c r="R21" s="56">
        <f t="shared" si="7"/>
        <v>100.747</v>
      </c>
      <c r="S21" s="56">
        <f t="shared" si="7"/>
        <v>101.392</v>
      </c>
      <c r="T21" s="56">
        <f t="shared" si="7"/>
        <v>103.886</v>
      </c>
      <c r="U21" s="56">
        <f t="shared" si="7"/>
        <v>106.822</v>
      </c>
      <c r="V21" s="56">
        <f t="shared" si="7"/>
        <v>104.459</v>
      </c>
      <c r="W21" s="56">
        <f t="shared" si="7"/>
        <v>108.438</v>
      </c>
      <c r="X21" s="56">
        <f t="shared" si="7"/>
        <v>111.32900000000001</v>
      </c>
      <c r="Y21" s="56">
        <f t="shared" si="7"/>
        <v>114.28</v>
      </c>
      <c r="Z21" s="56">
        <f t="shared" si="7"/>
        <v>114.717</v>
      </c>
      <c r="AA21" s="56">
        <f t="shared" si="7"/>
        <v>114.492</v>
      </c>
      <c r="AB21" s="56">
        <f t="shared" si="7"/>
        <v>123.125</v>
      </c>
      <c r="AC21" s="56">
        <f t="shared" si="7"/>
        <v>129.39000000000001</v>
      </c>
      <c r="AD21" s="56">
        <f t="shared" si="7"/>
        <v>133.17400000000001</v>
      </c>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3"/>
    </row>
    <row r="22" spans="1:63" x14ac:dyDescent="0.25">
      <c r="A22" s="106"/>
      <c r="B22" s="3" t="s">
        <v>9</v>
      </c>
      <c r="C22" s="42">
        <f t="shared" ref="C22:L22" si="8">(6.56*10^3*C15-1.25*10^7)*0.001</f>
        <v>554.4</v>
      </c>
      <c r="D22" s="42">
        <f t="shared" si="8"/>
        <v>560.96</v>
      </c>
      <c r="E22" s="42">
        <f t="shared" si="8"/>
        <v>567.52</v>
      </c>
      <c r="F22" s="42">
        <f t="shared" si="8"/>
        <v>574.08000000000004</v>
      </c>
      <c r="G22" s="42">
        <f t="shared" si="8"/>
        <v>580.64</v>
      </c>
      <c r="H22" s="42">
        <f t="shared" si="8"/>
        <v>587.20000000000005</v>
      </c>
      <c r="I22" s="42">
        <f t="shared" si="8"/>
        <v>593.76</v>
      </c>
      <c r="J22" s="42">
        <f t="shared" si="8"/>
        <v>600.32000000000005</v>
      </c>
      <c r="K22" s="42">
        <f t="shared" si="8"/>
        <v>606.88</v>
      </c>
      <c r="L22" s="42">
        <f t="shared" si="8"/>
        <v>613.44000000000005</v>
      </c>
      <c r="M22" s="42">
        <f>(6.56*10^3*M15-1.25*10^7)*0.001</f>
        <v>620</v>
      </c>
      <c r="N22" s="11">
        <f>Dairy!N5*0.001</f>
        <v>629.69000000000005</v>
      </c>
      <c r="O22" s="11">
        <f>Dairy!O5*0.001</f>
        <v>639.07900000000006</v>
      </c>
      <c r="P22" s="11">
        <f>Dairy!P5*0.001</f>
        <v>623.38</v>
      </c>
      <c r="Q22" s="11">
        <f>Dairy!Q5*0.001</f>
        <v>635.06500000000005</v>
      </c>
      <c r="R22" s="11">
        <f>Dairy!R5*0.001</f>
        <v>637.04399999999998</v>
      </c>
      <c r="S22" s="11">
        <f>Dairy!S5*0.001</f>
        <v>624.029</v>
      </c>
      <c r="T22" s="11">
        <f>Dairy!T5*0.001</f>
        <v>626.15100000000007</v>
      </c>
      <c r="U22" s="11">
        <f>Dairy!U5*0.001</f>
        <v>667.95600000000002</v>
      </c>
      <c r="V22" s="11">
        <f>Dairy!V5*0.001</f>
        <v>649.66700000000003</v>
      </c>
      <c r="W22" s="11">
        <f>Dairy!W5*0.001</f>
        <v>649.99699999999996</v>
      </c>
      <c r="X22" s="11">
        <f>Dairy!X5*0.001</f>
        <v>660.05899999999997</v>
      </c>
      <c r="Y22" s="11">
        <f>Dairy!Y5*0.001</f>
        <v>679.93500000000006</v>
      </c>
      <c r="Z22" s="11">
        <f>Dairy!Z5*0.001</f>
        <v>653.53</v>
      </c>
      <c r="AA22" s="11">
        <f>Dairy!AA5*0.001</f>
        <v>668.4</v>
      </c>
      <c r="AB22" s="11">
        <f>Dairy!AB5*0.001</f>
        <v>701.24199999999996</v>
      </c>
      <c r="AC22" s="11">
        <f>Dairy!AC5*0.001</f>
        <v>732.33699999999999</v>
      </c>
      <c r="AD22" s="11">
        <f>Dairy!AD5*0.001</f>
        <v>768.05899999999997</v>
      </c>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3"/>
    </row>
    <row r="23" spans="1:63" x14ac:dyDescent="0.25">
      <c r="A23" s="107" t="s">
        <v>10</v>
      </c>
      <c r="B23" s="5" t="s">
        <v>11</v>
      </c>
      <c r="C23" s="63">
        <f>0.001*C12</f>
        <v>15905.119106925633</v>
      </c>
      <c r="D23" s="63">
        <f t="shared" ref="D23:AD23" si="9">0.001*D12</f>
        <v>16279.499847943505</v>
      </c>
      <c r="E23" s="63">
        <f t="shared" si="9"/>
        <v>13752.394782973084</v>
      </c>
      <c r="F23" s="63">
        <f t="shared" si="9"/>
        <v>17778.204677107977</v>
      </c>
      <c r="G23" s="63">
        <f t="shared" si="9"/>
        <v>14963.330336682267</v>
      </c>
      <c r="H23" s="63">
        <f t="shared" si="9"/>
        <v>17075.572611493546</v>
      </c>
      <c r="I23" s="63">
        <f t="shared" si="9"/>
        <v>17821.132397145655</v>
      </c>
      <c r="J23" s="63">
        <f t="shared" si="9"/>
        <v>16419.61063751777</v>
      </c>
      <c r="K23" s="63">
        <f t="shared" si="9"/>
        <v>15880.308327366592</v>
      </c>
      <c r="L23" s="63">
        <f t="shared" si="9"/>
        <v>18278.526515068741</v>
      </c>
      <c r="M23" s="63">
        <f t="shared" si="9"/>
        <v>15398.166305511033</v>
      </c>
      <c r="N23" s="63">
        <f t="shared" si="9"/>
        <v>13007.428863136503</v>
      </c>
      <c r="O23" s="63">
        <f t="shared" si="9"/>
        <v>7790.2022091546642</v>
      </c>
      <c r="P23" s="63">
        <f t="shared" si="9"/>
        <v>15108.16451652475</v>
      </c>
      <c r="Q23" s="63">
        <f t="shared" si="9"/>
        <v>17182.303704000002</v>
      </c>
      <c r="R23" s="63">
        <f t="shared" si="9"/>
        <v>18326.372904999997</v>
      </c>
      <c r="S23" s="63">
        <f t="shared" si="9"/>
        <v>16223.219106</v>
      </c>
      <c r="T23" s="63">
        <f t="shared" si="9"/>
        <v>15384.301340333333</v>
      </c>
      <c r="U23" s="63">
        <f t="shared" si="9"/>
        <v>19273.616650666667</v>
      </c>
      <c r="V23" s="63">
        <f t="shared" si="9"/>
        <v>15453.963857000001</v>
      </c>
      <c r="W23" s="63">
        <f t="shared" si="9"/>
        <v>18408.415000000001</v>
      </c>
      <c r="X23" s="63">
        <f t="shared" si="9"/>
        <v>19885.796999999999</v>
      </c>
      <c r="Y23" s="63">
        <f t="shared" si="9"/>
        <v>18708.885000000002</v>
      </c>
      <c r="Z23" s="63">
        <f t="shared" si="9"/>
        <v>24003.013999999999</v>
      </c>
      <c r="AA23" s="63">
        <f t="shared" si="9"/>
        <v>20263.134000000002</v>
      </c>
      <c r="AB23" s="63">
        <f t="shared" si="9"/>
        <v>19288.135999999999</v>
      </c>
      <c r="AC23" s="63">
        <f t="shared" si="9"/>
        <v>22082.493000000002</v>
      </c>
      <c r="AD23" s="63">
        <f t="shared" si="9"/>
        <v>21921.089</v>
      </c>
      <c r="AE23" s="11"/>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5"/>
    </row>
    <row r="24" spans="1:63" x14ac:dyDescent="0.25">
      <c r="C24" s="75"/>
      <c r="AD24" s="11"/>
      <c r="AE24" s="11"/>
    </row>
    <row r="25" spans="1:63" x14ac:dyDescent="0.25">
      <c r="A25" t="s">
        <v>164</v>
      </c>
      <c r="AD25" s="11"/>
      <c r="AE25" s="1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0D8D8-FB0E-4DE8-A602-F72552DB6A30}">
  <dimension ref="A1:AG58"/>
  <sheetViews>
    <sheetView topLeftCell="A40" zoomScale="71" workbookViewId="0">
      <selection activeCell="A57" sqref="A57"/>
    </sheetView>
  </sheetViews>
  <sheetFormatPr defaultRowHeight="15" x14ac:dyDescent="0.25"/>
  <cols>
    <col min="1" max="1" width="15.7109375" customWidth="1"/>
  </cols>
  <sheetData>
    <row r="1" spans="1:33" x14ac:dyDescent="0.25">
      <c r="A1" t="s">
        <v>13</v>
      </c>
    </row>
    <row r="2" spans="1:33" x14ac:dyDescent="0.25">
      <c r="A2" t="s">
        <v>14</v>
      </c>
    </row>
    <row r="3" spans="1:33" x14ac:dyDescent="0.25">
      <c r="A3" t="s">
        <v>15</v>
      </c>
    </row>
    <row r="4" spans="1:33" x14ac:dyDescent="0.25">
      <c r="A4" t="s">
        <v>16</v>
      </c>
    </row>
    <row r="5" spans="1:33" x14ac:dyDescent="0.25">
      <c r="A5" t="s">
        <v>17</v>
      </c>
    </row>
    <row r="7" spans="1:33" x14ac:dyDescent="0.25">
      <c r="B7" t="s">
        <v>18</v>
      </c>
    </row>
    <row r="8" spans="1:33" x14ac:dyDescent="0.25">
      <c r="B8" t="s">
        <v>19</v>
      </c>
    </row>
    <row r="9" spans="1:33" x14ac:dyDescent="0.25">
      <c r="A9" s="10" t="s">
        <v>20</v>
      </c>
      <c r="B9" s="9">
        <v>1990</v>
      </c>
      <c r="C9" s="9">
        <v>1991</v>
      </c>
      <c r="D9" s="9">
        <v>1992</v>
      </c>
      <c r="E9" s="9">
        <v>1993</v>
      </c>
      <c r="F9" s="9">
        <v>1994</v>
      </c>
      <c r="G9" s="9">
        <v>1995</v>
      </c>
      <c r="H9" s="9">
        <v>1996</v>
      </c>
      <c r="I9" s="9">
        <v>1997</v>
      </c>
      <c r="J9" s="9">
        <v>1998</v>
      </c>
      <c r="K9" s="9">
        <v>1999</v>
      </c>
      <c r="L9" s="9">
        <v>2000</v>
      </c>
      <c r="M9" s="9">
        <v>2001</v>
      </c>
      <c r="N9" s="9">
        <v>2002</v>
      </c>
      <c r="O9" s="9">
        <v>2003</v>
      </c>
      <c r="P9" s="9">
        <v>2004</v>
      </c>
      <c r="Q9" s="9">
        <v>2005</v>
      </c>
      <c r="R9" s="9">
        <v>2006</v>
      </c>
      <c r="S9" s="9">
        <v>2007</v>
      </c>
      <c r="T9" s="9">
        <v>2008</v>
      </c>
      <c r="U9" s="9">
        <v>2009</v>
      </c>
      <c r="V9" s="9">
        <v>2010</v>
      </c>
      <c r="W9" s="9">
        <v>2011</v>
      </c>
      <c r="X9" s="9">
        <v>2012</v>
      </c>
      <c r="Y9" s="9">
        <v>2013</v>
      </c>
      <c r="Z9" s="9">
        <v>2014</v>
      </c>
      <c r="AA9" s="9">
        <v>2015</v>
      </c>
      <c r="AB9" s="9">
        <v>2016</v>
      </c>
      <c r="AC9" s="9">
        <v>2017</v>
      </c>
      <c r="AD9" s="9">
        <v>2018</v>
      </c>
      <c r="AE9" s="9">
        <v>2019</v>
      </c>
      <c r="AF9" s="9">
        <v>2020</v>
      </c>
      <c r="AG9" s="9">
        <v>2021</v>
      </c>
    </row>
    <row r="10" spans="1:33" x14ac:dyDescent="0.25">
      <c r="A10" s="3" t="s">
        <v>21</v>
      </c>
      <c r="B10" s="9">
        <v>6248700</v>
      </c>
      <c r="C10" s="9">
        <v>5878600</v>
      </c>
      <c r="D10" s="9">
        <v>4855300</v>
      </c>
      <c r="E10" s="9">
        <v>6314000</v>
      </c>
      <c r="F10" s="9">
        <v>5464900</v>
      </c>
      <c r="G10" s="9">
        <v>6335800</v>
      </c>
      <c r="H10" s="9">
        <v>7076000</v>
      </c>
      <c r="I10" s="9">
        <v>6270500</v>
      </c>
      <c r="J10" s="9">
        <v>5660800</v>
      </c>
      <c r="K10" s="9">
        <v>5987400</v>
      </c>
      <c r="L10" s="9">
        <v>5268900</v>
      </c>
      <c r="M10" s="9">
        <v>4746400</v>
      </c>
      <c r="N10" s="9">
        <v>2547400</v>
      </c>
      <c r="O10" s="9">
        <v>5421300</v>
      </c>
      <c r="P10" s="9">
        <v>5628200</v>
      </c>
      <c r="Q10" s="9">
        <v>5231900</v>
      </c>
      <c r="R10" s="9">
        <v>4404600</v>
      </c>
      <c r="S10" s="9">
        <v>5114300</v>
      </c>
      <c r="T10" s="9">
        <v>5447500</v>
      </c>
      <c r="U10" s="9">
        <v>3840700</v>
      </c>
      <c r="V10" s="9">
        <v>4528700</v>
      </c>
      <c r="W10" s="9">
        <v>4668000</v>
      </c>
      <c r="X10" s="9">
        <v>4463300</v>
      </c>
      <c r="Y10" s="9">
        <v>5545400</v>
      </c>
      <c r="Z10" s="9">
        <v>4131300</v>
      </c>
      <c r="AA10" s="9">
        <v>4289200</v>
      </c>
      <c r="AB10" s="9">
        <v>4398000</v>
      </c>
      <c r="AC10" s="9">
        <v>3906000</v>
      </c>
      <c r="AD10" s="9">
        <v>3996300</v>
      </c>
      <c r="AE10" s="9">
        <v>4955200</v>
      </c>
      <c r="AF10" s="9">
        <v>5283000</v>
      </c>
      <c r="AG10" t="s">
        <v>22</v>
      </c>
    </row>
    <row r="11" spans="1:33" x14ac:dyDescent="0.25">
      <c r="A11" s="3" t="s">
        <v>23</v>
      </c>
      <c r="B11" s="11">
        <v>1281400</v>
      </c>
      <c r="C11" s="11">
        <v>1621600</v>
      </c>
      <c r="D11" s="11">
        <v>1349400</v>
      </c>
      <c r="E11" s="11">
        <v>2154600</v>
      </c>
      <c r="F11" s="11">
        <v>2472100</v>
      </c>
      <c r="G11" s="11">
        <v>2449400</v>
      </c>
      <c r="H11" s="11">
        <v>1701000</v>
      </c>
      <c r="I11" s="11">
        <v>2109200</v>
      </c>
      <c r="J11" s="11">
        <v>2472100</v>
      </c>
      <c r="K11" s="11">
        <v>2971000</v>
      </c>
      <c r="L11" s="11">
        <v>2188600</v>
      </c>
      <c r="M11" s="11">
        <v>1655600</v>
      </c>
      <c r="N11" s="11">
        <v>1224700</v>
      </c>
      <c r="O11" s="11">
        <v>2222600</v>
      </c>
      <c r="P11" s="11">
        <v>2925700</v>
      </c>
      <c r="Q11" s="11">
        <v>3651400</v>
      </c>
      <c r="R11" s="11">
        <v>3424600</v>
      </c>
      <c r="S11" s="11">
        <v>3401900</v>
      </c>
      <c r="T11" s="11">
        <v>4322700</v>
      </c>
      <c r="U11" s="11">
        <v>3628700</v>
      </c>
      <c r="V11" s="11">
        <v>4740000</v>
      </c>
      <c r="W11" s="11">
        <v>5347900</v>
      </c>
      <c r="X11" s="11">
        <v>5097200</v>
      </c>
      <c r="Y11" s="11">
        <v>6168900</v>
      </c>
      <c r="Z11" s="11">
        <v>5796900</v>
      </c>
      <c r="AA11" s="11">
        <v>5851300</v>
      </c>
      <c r="AB11" s="11">
        <v>6157500</v>
      </c>
      <c r="AC11" s="11">
        <v>6826600</v>
      </c>
      <c r="AD11" s="11">
        <v>5870600</v>
      </c>
      <c r="AE11" s="11">
        <v>5320100</v>
      </c>
      <c r="AF11" s="11">
        <v>5212100</v>
      </c>
      <c r="AG11" t="s">
        <v>22</v>
      </c>
    </row>
    <row r="12" spans="1:33" x14ac:dyDescent="0.25">
      <c r="A12" s="3" t="s">
        <v>24</v>
      </c>
      <c r="B12" s="11">
        <v>16500</v>
      </c>
      <c r="C12" s="11">
        <v>20300</v>
      </c>
      <c r="D12" s="11">
        <v>5600</v>
      </c>
      <c r="E12" s="11">
        <v>12700</v>
      </c>
      <c r="F12" s="11">
        <v>12700</v>
      </c>
      <c r="G12" s="11">
        <v>12700</v>
      </c>
      <c r="H12" s="11">
        <v>6400</v>
      </c>
      <c r="I12" s="11">
        <v>10200</v>
      </c>
      <c r="J12" s="11">
        <v>11400</v>
      </c>
      <c r="K12" s="11">
        <v>20300</v>
      </c>
      <c r="L12" s="11">
        <v>27900</v>
      </c>
      <c r="M12" s="11">
        <v>6600</v>
      </c>
      <c r="N12" s="11">
        <v>20300</v>
      </c>
      <c r="O12" s="11">
        <v>7600</v>
      </c>
      <c r="P12" s="11">
        <v>8300</v>
      </c>
      <c r="Q12" s="11">
        <v>13200</v>
      </c>
      <c r="R12" s="11">
        <v>9900</v>
      </c>
      <c r="S12" s="11">
        <v>22900</v>
      </c>
      <c r="T12" s="11">
        <v>35600</v>
      </c>
      <c r="U12" s="11">
        <v>43200</v>
      </c>
      <c r="V12" s="11">
        <v>39400</v>
      </c>
      <c r="W12" s="11">
        <v>35600</v>
      </c>
      <c r="X12" s="11">
        <v>35600</v>
      </c>
      <c r="Y12" s="11">
        <v>66000</v>
      </c>
      <c r="Z12" s="11">
        <v>91400</v>
      </c>
      <c r="AA12" s="11">
        <v>87600</v>
      </c>
      <c r="AB12" s="11">
        <v>98000</v>
      </c>
      <c r="AC12" s="11">
        <v>152900</v>
      </c>
      <c r="AD12" s="11">
        <v>118300</v>
      </c>
      <c r="AE12" s="11">
        <v>63300</v>
      </c>
      <c r="AF12" s="11">
        <v>108600</v>
      </c>
      <c r="AG12" t="s">
        <v>22</v>
      </c>
    </row>
    <row r="13" spans="1:33" x14ac:dyDescent="0.25">
      <c r="A13" s="3" t="s">
        <v>25</v>
      </c>
      <c r="B13" s="11">
        <v>76200</v>
      </c>
      <c r="C13" s="11">
        <v>38100</v>
      </c>
      <c r="D13" s="11">
        <v>19100</v>
      </c>
      <c r="E13" s="11">
        <v>40600</v>
      </c>
      <c r="F13" s="11">
        <v>40600</v>
      </c>
      <c r="G13" s="11">
        <v>53300</v>
      </c>
      <c r="H13" s="11">
        <v>20300</v>
      </c>
      <c r="I13" s="11">
        <v>38100</v>
      </c>
      <c r="J13" s="11">
        <v>39400</v>
      </c>
      <c r="K13" s="11">
        <v>39400</v>
      </c>
      <c r="L13" s="11">
        <v>17800</v>
      </c>
      <c r="M13" s="11">
        <v>20300</v>
      </c>
      <c r="N13" s="11">
        <v>20300</v>
      </c>
      <c r="O13" s="11">
        <v>25400</v>
      </c>
      <c r="P13" s="11">
        <v>29200</v>
      </c>
      <c r="Q13" s="11">
        <v>53300</v>
      </c>
      <c r="R13" s="11">
        <v>36300</v>
      </c>
      <c r="S13" s="11">
        <v>16300</v>
      </c>
      <c r="T13" s="11">
        <v>33000</v>
      </c>
      <c r="U13" s="11">
        <v>28400</v>
      </c>
      <c r="V13" s="11">
        <v>30500</v>
      </c>
      <c r="W13" s="11">
        <v>54700</v>
      </c>
      <c r="X13" s="11">
        <v>44500</v>
      </c>
      <c r="Y13" s="11">
        <v>73700</v>
      </c>
      <c r="Z13" s="11">
        <v>98400</v>
      </c>
      <c r="AA13" s="11">
        <v>83800</v>
      </c>
      <c r="AB13" s="11">
        <v>59800</v>
      </c>
      <c r="AC13" s="11">
        <v>62200</v>
      </c>
      <c r="AD13" s="11">
        <v>60500</v>
      </c>
      <c r="AE13" s="11">
        <v>81500</v>
      </c>
      <c r="AF13" s="11">
        <v>78600</v>
      </c>
      <c r="AG13" t="s">
        <v>22</v>
      </c>
    </row>
    <row r="14" spans="1:33" x14ac:dyDescent="0.25">
      <c r="A14" s="3" t="s">
        <v>26</v>
      </c>
      <c r="B14" s="11">
        <v>2700</v>
      </c>
      <c r="C14" s="11">
        <v>6600</v>
      </c>
      <c r="D14" s="11">
        <v>15600</v>
      </c>
      <c r="E14" s="11">
        <v>9400</v>
      </c>
      <c r="F14" s="11">
        <v>19500</v>
      </c>
      <c r="G14" s="11">
        <v>21500</v>
      </c>
      <c r="H14" s="11">
        <v>7700</v>
      </c>
      <c r="I14" s="11">
        <v>8300</v>
      </c>
      <c r="J14" s="11">
        <v>8000</v>
      </c>
      <c r="K14" s="11">
        <v>12400</v>
      </c>
      <c r="L14" s="11">
        <v>9900</v>
      </c>
      <c r="M14" s="11">
        <v>5000</v>
      </c>
      <c r="N14" s="11">
        <v>1900</v>
      </c>
      <c r="O14" s="11">
        <v>6900</v>
      </c>
      <c r="P14" s="11">
        <v>11300</v>
      </c>
      <c r="Q14" s="11">
        <v>14100</v>
      </c>
      <c r="R14" s="11">
        <v>0</v>
      </c>
      <c r="S14" s="11">
        <v>11133.333333333332</v>
      </c>
      <c r="T14" s="11">
        <v>22266.666666666664</v>
      </c>
      <c r="U14" s="11">
        <v>33400</v>
      </c>
      <c r="V14" s="11">
        <v>82000</v>
      </c>
      <c r="W14" s="11">
        <v>76000</v>
      </c>
      <c r="X14" s="11">
        <v>68100</v>
      </c>
      <c r="Y14" s="11">
        <v>110300</v>
      </c>
      <c r="Z14" s="11">
        <v>84400</v>
      </c>
      <c r="AA14" s="11">
        <v>176400</v>
      </c>
      <c r="AB14" s="11">
        <v>451800</v>
      </c>
      <c r="AC14" s="11">
        <v>264400</v>
      </c>
      <c r="AD14" s="11">
        <v>199600</v>
      </c>
      <c r="AE14" s="11" t="s">
        <v>27</v>
      </c>
      <c r="AF14" s="11">
        <v>370600</v>
      </c>
      <c r="AG14" t="s">
        <v>22</v>
      </c>
    </row>
    <row r="15" spans="1:33" x14ac:dyDescent="0.25">
      <c r="A15" s="3" t="s">
        <v>28</v>
      </c>
      <c r="B15" s="11">
        <v>34500</v>
      </c>
      <c r="C15" s="11">
        <v>30500</v>
      </c>
      <c r="D15" s="11">
        <v>20100</v>
      </c>
      <c r="E15" s="11">
        <v>32100</v>
      </c>
      <c r="F15" s="11">
        <v>36300</v>
      </c>
      <c r="G15" s="11">
        <v>51100</v>
      </c>
      <c r="H15" s="11">
        <v>29000</v>
      </c>
      <c r="I15" s="11">
        <v>50600</v>
      </c>
      <c r="J15" s="11">
        <v>39700</v>
      </c>
      <c r="K15" s="11">
        <v>44800</v>
      </c>
      <c r="L15" s="11">
        <v>13800</v>
      </c>
      <c r="M15" s="11">
        <v>9900</v>
      </c>
      <c r="N15" s="11">
        <v>19100</v>
      </c>
      <c r="O15" s="11">
        <v>38800</v>
      </c>
      <c r="P15" s="11">
        <v>51200</v>
      </c>
      <c r="Q15" s="11">
        <v>31100</v>
      </c>
      <c r="R15" s="11">
        <v>25600</v>
      </c>
      <c r="S15" s="11">
        <v>29500</v>
      </c>
      <c r="T15" s="11">
        <v>37200</v>
      </c>
      <c r="U15" s="11">
        <v>47700</v>
      </c>
      <c r="V15" s="11">
        <v>47700</v>
      </c>
      <c r="W15" s="11">
        <v>26800</v>
      </c>
      <c r="X15" s="11">
        <v>35900</v>
      </c>
      <c r="Y15" s="11">
        <v>37200</v>
      </c>
      <c r="Z15" s="11">
        <v>59400</v>
      </c>
      <c r="AA15" s="11">
        <v>31900</v>
      </c>
      <c r="AB15" s="11">
        <v>73300</v>
      </c>
      <c r="AC15" s="11">
        <v>27100</v>
      </c>
      <c r="AD15" s="11">
        <v>36700</v>
      </c>
      <c r="AE15" s="11">
        <v>27600</v>
      </c>
      <c r="AF15" s="11">
        <v>36500</v>
      </c>
      <c r="AG15" t="s">
        <v>22</v>
      </c>
    </row>
    <row r="16" spans="1:33" x14ac:dyDescent="0.25">
      <c r="A16" s="3" t="s">
        <v>29</v>
      </c>
      <c r="B16" s="11">
        <v>1110400</v>
      </c>
      <c r="C16" s="11">
        <v>786500</v>
      </c>
      <c r="D16" s="11">
        <v>1036400</v>
      </c>
      <c r="E16" s="11">
        <v>1465100</v>
      </c>
      <c r="F16" s="11">
        <v>1187500</v>
      </c>
      <c r="G16" s="11">
        <v>771100</v>
      </c>
      <c r="H16" s="11">
        <v>1079500</v>
      </c>
      <c r="I16" s="11">
        <v>979300</v>
      </c>
      <c r="J16" s="11">
        <v>771100</v>
      </c>
      <c r="K16" s="11">
        <v>863600</v>
      </c>
      <c r="L16" s="11">
        <v>657000</v>
      </c>
      <c r="M16" s="11">
        <v>592200</v>
      </c>
      <c r="N16" s="11">
        <v>370100</v>
      </c>
      <c r="O16" s="11">
        <v>826600</v>
      </c>
      <c r="P16" s="11">
        <v>828200</v>
      </c>
      <c r="Q16" s="11">
        <v>829700</v>
      </c>
      <c r="R16" s="11">
        <v>706300</v>
      </c>
      <c r="S16" s="11">
        <v>627400</v>
      </c>
      <c r="T16" s="11">
        <v>541300</v>
      </c>
      <c r="U16" s="11">
        <v>308400</v>
      </c>
      <c r="V16" s="11">
        <v>647700</v>
      </c>
      <c r="W16" s="11">
        <v>738700</v>
      </c>
      <c r="X16" s="11">
        <v>518200</v>
      </c>
      <c r="Y16" s="11">
        <v>601500</v>
      </c>
      <c r="Z16" s="11">
        <v>542900</v>
      </c>
      <c r="AA16" s="11">
        <v>393300</v>
      </c>
      <c r="AB16" s="11">
        <v>624600</v>
      </c>
      <c r="AC16" s="11">
        <v>609200</v>
      </c>
      <c r="AD16" s="11">
        <v>700100</v>
      </c>
      <c r="AE16" s="11">
        <v>834800</v>
      </c>
      <c r="AF16" s="11">
        <v>802000</v>
      </c>
      <c r="AG16" t="s">
        <v>22</v>
      </c>
    </row>
    <row r="17" spans="1:33" x14ac:dyDescent="0.25">
      <c r="A17" s="3" t="s">
        <v>30</v>
      </c>
      <c r="B17" s="11">
        <v>91400</v>
      </c>
      <c r="C17" s="11">
        <v>76200</v>
      </c>
      <c r="D17" s="11">
        <v>75000</v>
      </c>
      <c r="E17" s="11">
        <v>81300</v>
      </c>
      <c r="F17" s="11">
        <v>88900</v>
      </c>
      <c r="G17" s="11">
        <v>66100</v>
      </c>
      <c r="H17" s="11">
        <v>64100</v>
      </c>
      <c r="I17" s="11">
        <v>66100</v>
      </c>
      <c r="J17" s="11">
        <v>77500</v>
      </c>
      <c r="K17" s="11">
        <v>72400</v>
      </c>
      <c r="L17" s="11">
        <v>42500</v>
      </c>
      <c r="M17" s="11">
        <v>58400</v>
      </c>
      <c r="N17" s="11">
        <v>16100</v>
      </c>
      <c r="O17" s="11">
        <v>82800</v>
      </c>
      <c r="P17" s="11">
        <v>77500</v>
      </c>
      <c r="Q17" s="11">
        <v>79000</v>
      </c>
      <c r="R17" s="11">
        <v>57200</v>
      </c>
      <c r="S17" s="11">
        <v>36800</v>
      </c>
      <c r="T17" s="11">
        <v>57200</v>
      </c>
      <c r="U17" s="11">
        <v>38100</v>
      </c>
      <c r="V17" s="11">
        <v>50800</v>
      </c>
      <c r="W17" s="11">
        <v>54000</v>
      </c>
      <c r="X17" s="11">
        <v>34300</v>
      </c>
      <c r="Y17" s="11">
        <v>36300</v>
      </c>
      <c r="Z17" s="11">
        <v>30900</v>
      </c>
      <c r="AA17" s="11">
        <v>33000</v>
      </c>
      <c r="AB17" s="11">
        <v>59700</v>
      </c>
      <c r="AC17" s="11">
        <v>33500</v>
      </c>
      <c r="AD17" s="11">
        <v>30000</v>
      </c>
      <c r="AE17" s="11">
        <v>26800</v>
      </c>
      <c r="AF17" s="11">
        <v>107400</v>
      </c>
      <c r="AG17" t="s">
        <v>22</v>
      </c>
    </row>
    <row r="18" spans="1:33" x14ac:dyDescent="0.25">
      <c r="A18" s="3" t="s">
        <v>31</v>
      </c>
      <c r="B18" s="4">
        <v>6994800</v>
      </c>
      <c r="C18" s="4">
        <v>7772700</v>
      </c>
      <c r="D18" s="4">
        <v>6327600</v>
      </c>
      <c r="E18" s="4">
        <v>7620200</v>
      </c>
      <c r="F18" s="4">
        <v>5592700</v>
      </c>
      <c r="G18" s="4">
        <v>7266500</v>
      </c>
      <c r="H18" s="4">
        <v>7789100</v>
      </c>
      <c r="I18" s="4">
        <v>6839300</v>
      </c>
      <c r="J18" s="4">
        <v>6752300</v>
      </c>
      <c r="K18" s="4">
        <v>8219200</v>
      </c>
      <c r="L18" s="4">
        <v>7123700</v>
      </c>
      <c r="M18" s="4">
        <v>5864900</v>
      </c>
      <c r="N18" s="4">
        <v>3522400</v>
      </c>
      <c r="O18" s="4">
        <v>6429600</v>
      </c>
      <c r="P18" s="4">
        <v>7571400</v>
      </c>
      <c r="Q18" s="4">
        <v>8371400</v>
      </c>
      <c r="R18" s="4">
        <v>7503400</v>
      </c>
      <c r="S18" s="4">
        <v>6076100</v>
      </c>
      <c r="T18" s="4">
        <v>8736200</v>
      </c>
      <c r="U18" s="4">
        <v>7440700</v>
      </c>
      <c r="V18" s="4">
        <v>8201300</v>
      </c>
      <c r="W18" s="4">
        <v>8839600</v>
      </c>
      <c r="X18" s="4">
        <v>8368800</v>
      </c>
      <c r="Y18" s="4">
        <v>11329000</v>
      </c>
      <c r="Z18" s="4">
        <v>9372800</v>
      </c>
      <c r="AA18" s="4">
        <v>8290000</v>
      </c>
      <c r="AB18" s="4">
        <v>10106600</v>
      </c>
      <c r="AC18" s="4">
        <v>9980100</v>
      </c>
      <c r="AD18" s="4">
        <v>10006100</v>
      </c>
      <c r="AE18" s="4">
        <v>10263200</v>
      </c>
      <c r="AF18" s="4">
        <v>11041000</v>
      </c>
      <c r="AG18" t="s">
        <v>22</v>
      </c>
    </row>
    <row r="19" spans="1:33" x14ac:dyDescent="0.25">
      <c r="A19" s="3"/>
      <c r="B19">
        <v>15856600</v>
      </c>
      <c r="C19">
        <v>16231100</v>
      </c>
      <c r="D19">
        <v>13704100</v>
      </c>
      <c r="E19">
        <v>17730000</v>
      </c>
      <c r="F19">
        <v>14915200</v>
      </c>
      <c r="G19">
        <v>17027500</v>
      </c>
      <c r="H19">
        <v>17773100</v>
      </c>
      <c r="I19">
        <v>16371600</v>
      </c>
      <c r="J19">
        <v>15832300</v>
      </c>
      <c r="K19">
        <v>18230500</v>
      </c>
      <c r="L19">
        <v>15350100</v>
      </c>
      <c r="M19">
        <v>12959300</v>
      </c>
      <c r="N19">
        <v>7742300</v>
      </c>
      <c r="O19">
        <v>15061600</v>
      </c>
      <c r="P19">
        <v>17131000</v>
      </c>
      <c r="Q19">
        <v>18275100</v>
      </c>
      <c r="R19">
        <v>16167900</v>
      </c>
      <c r="S19">
        <v>15336333.333333334</v>
      </c>
      <c r="T19">
        <v>19232966.666666664</v>
      </c>
      <c r="U19">
        <v>15409300</v>
      </c>
      <c r="V19">
        <v>18368100</v>
      </c>
      <c r="W19">
        <v>19841300</v>
      </c>
      <c r="X19">
        <v>18665900</v>
      </c>
      <c r="Y19">
        <v>23968300</v>
      </c>
      <c r="Z19">
        <v>20208400</v>
      </c>
      <c r="AA19">
        <v>19236500</v>
      </c>
      <c r="AB19">
        <v>22029300</v>
      </c>
      <c r="AC19">
        <v>21862000</v>
      </c>
    </row>
    <row r="20" spans="1:33" x14ac:dyDescent="0.25">
      <c r="A20" t="s">
        <v>32</v>
      </c>
    </row>
    <row r="21" spans="1:33" x14ac:dyDescent="0.25">
      <c r="A21" t="s">
        <v>22</v>
      </c>
      <c r="B21" t="s">
        <v>33</v>
      </c>
    </row>
    <row r="22" spans="1:33" x14ac:dyDescent="0.25">
      <c r="A22" t="s">
        <v>34</v>
      </c>
      <c r="B22" t="s">
        <v>35</v>
      </c>
    </row>
    <row r="23" spans="1:33" x14ac:dyDescent="0.25">
      <c r="A23" t="s">
        <v>36</v>
      </c>
      <c r="B23" t="s">
        <v>37</v>
      </c>
    </row>
    <row r="24" spans="1:33" x14ac:dyDescent="0.25">
      <c r="A24" t="s">
        <v>38</v>
      </c>
      <c r="B24" t="s">
        <v>39</v>
      </c>
    </row>
    <row r="26" spans="1:33" x14ac:dyDescent="0.25">
      <c r="A26" t="s">
        <v>40</v>
      </c>
    </row>
    <row r="27" spans="1:33" x14ac:dyDescent="0.25">
      <c r="A27" t="s">
        <v>41</v>
      </c>
      <c r="B27" t="s">
        <v>42</v>
      </c>
    </row>
    <row r="28" spans="1:33" x14ac:dyDescent="0.25">
      <c r="A28" t="s">
        <v>43</v>
      </c>
      <c r="B28" t="s">
        <v>44</v>
      </c>
    </row>
    <row r="29" spans="1:33" x14ac:dyDescent="0.25">
      <c r="A29" t="s">
        <v>45</v>
      </c>
      <c r="B29" t="s">
        <v>46</v>
      </c>
    </row>
    <row r="30" spans="1:33" x14ac:dyDescent="0.25">
      <c r="A30" t="s">
        <v>47</v>
      </c>
      <c r="B30" t="s">
        <v>48</v>
      </c>
    </row>
    <row r="31" spans="1:33" x14ac:dyDescent="0.25">
      <c r="A31" t="s">
        <v>49</v>
      </c>
      <c r="B31" t="s">
        <v>50</v>
      </c>
    </row>
    <row r="33" spans="1:2" x14ac:dyDescent="0.25">
      <c r="A33" t="s">
        <v>51</v>
      </c>
    </row>
    <row r="34" spans="1:2" x14ac:dyDescent="0.25">
      <c r="A34">
        <v>1</v>
      </c>
      <c r="B34" t="s">
        <v>52</v>
      </c>
    </row>
    <row r="35" spans="1:2" x14ac:dyDescent="0.25">
      <c r="A35">
        <v>2</v>
      </c>
      <c r="B35" t="s">
        <v>53</v>
      </c>
    </row>
    <row r="36" spans="1:2" x14ac:dyDescent="0.25">
      <c r="A36">
        <v>3</v>
      </c>
      <c r="B36" t="s">
        <v>50</v>
      </c>
    </row>
    <row r="37" spans="1:2" x14ac:dyDescent="0.25">
      <c r="A37">
        <v>4</v>
      </c>
      <c r="B37" t="s">
        <v>54</v>
      </c>
    </row>
    <row r="38" spans="1:2" x14ac:dyDescent="0.25">
      <c r="A38">
        <v>5</v>
      </c>
      <c r="B38" t="s">
        <v>55</v>
      </c>
    </row>
    <row r="39" spans="1:2" x14ac:dyDescent="0.25">
      <c r="A39">
        <v>6</v>
      </c>
      <c r="B39" t="s">
        <v>56</v>
      </c>
    </row>
    <row r="40" spans="1:2" x14ac:dyDescent="0.25">
      <c r="A40">
        <v>7</v>
      </c>
      <c r="B40" t="s">
        <v>57</v>
      </c>
    </row>
    <row r="41" spans="1:2" x14ac:dyDescent="0.25">
      <c r="A41">
        <v>8</v>
      </c>
      <c r="B41" t="s">
        <v>58</v>
      </c>
    </row>
    <row r="42" spans="1:2" x14ac:dyDescent="0.25">
      <c r="A42">
        <v>9</v>
      </c>
      <c r="B42" t="s">
        <v>59</v>
      </c>
    </row>
    <row r="43" spans="1:2" x14ac:dyDescent="0.25">
      <c r="A43">
        <v>10</v>
      </c>
      <c r="B43" t="s">
        <v>60</v>
      </c>
    </row>
    <row r="44" spans="1:2" x14ac:dyDescent="0.25">
      <c r="A44">
        <v>11</v>
      </c>
      <c r="B44" t="s">
        <v>61</v>
      </c>
    </row>
    <row r="45" spans="1:2" x14ac:dyDescent="0.25">
      <c r="A45">
        <v>12</v>
      </c>
      <c r="B45" t="s">
        <v>62</v>
      </c>
    </row>
    <row r="46" spans="1:2" x14ac:dyDescent="0.25">
      <c r="A46">
        <v>13</v>
      </c>
      <c r="B46" t="s">
        <v>63</v>
      </c>
    </row>
    <row r="47" spans="1:2" x14ac:dyDescent="0.25">
      <c r="A47">
        <v>14</v>
      </c>
      <c r="B47" t="s">
        <v>64</v>
      </c>
    </row>
    <row r="48" spans="1:2" x14ac:dyDescent="0.25">
      <c r="A48">
        <v>15</v>
      </c>
      <c r="B48" t="s">
        <v>65</v>
      </c>
    </row>
    <row r="49" spans="1:2" x14ac:dyDescent="0.25">
      <c r="A49">
        <v>16</v>
      </c>
      <c r="B49" t="s">
        <v>66</v>
      </c>
    </row>
    <row r="50" spans="1:2" x14ac:dyDescent="0.25">
      <c r="A50">
        <v>17</v>
      </c>
      <c r="B50" t="s">
        <v>67</v>
      </c>
    </row>
    <row r="51" spans="1:2" x14ac:dyDescent="0.25">
      <c r="A51">
        <v>18</v>
      </c>
      <c r="B51" t="s">
        <v>68</v>
      </c>
    </row>
    <row r="52" spans="1:2" x14ac:dyDescent="0.25">
      <c r="A52">
        <v>19</v>
      </c>
      <c r="B52" t="s">
        <v>69</v>
      </c>
    </row>
    <row r="53" spans="1:2" x14ac:dyDescent="0.25">
      <c r="A53">
        <v>20</v>
      </c>
      <c r="B53" t="s">
        <v>70</v>
      </c>
    </row>
    <row r="54" spans="1:2" x14ac:dyDescent="0.25">
      <c r="A54">
        <v>21</v>
      </c>
      <c r="B54" t="s">
        <v>71</v>
      </c>
    </row>
    <row r="56" spans="1:2" x14ac:dyDescent="0.25">
      <c r="A56" t="s">
        <v>72</v>
      </c>
    </row>
    <row r="57" spans="1:2" x14ac:dyDescent="0.25">
      <c r="A57" t="s">
        <v>73</v>
      </c>
    </row>
    <row r="58" spans="1:2" x14ac:dyDescent="0.25">
      <c r="A58"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F19F5-11B1-45E3-B590-71EB58D1E247}">
  <dimension ref="A1:AG48"/>
  <sheetViews>
    <sheetView topLeftCell="A16" zoomScale="61" zoomScaleNormal="95" workbookViewId="0">
      <selection activeCell="A47" sqref="A47"/>
    </sheetView>
  </sheetViews>
  <sheetFormatPr defaultRowHeight="15" x14ac:dyDescent="0.25"/>
  <cols>
    <col min="1" max="1" width="16.42578125" customWidth="1"/>
    <col min="2" max="2" width="44.85546875" customWidth="1"/>
    <col min="3" max="16" width="12" bestFit="1" customWidth="1"/>
    <col min="17" max="18" width="10" bestFit="1" customWidth="1"/>
  </cols>
  <sheetData>
    <row r="1" spans="1:33" x14ac:dyDescent="0.25">
      <c r="A1" t="s">
        <v>77</v>
      </c>
    </row>
    <row r="2" spans="1:33" x14ac:dyDescent="0.25">
      <c r="A2" t="s">
        <v>14</v>
      </c>
    </row>
    <row r="3" spans="1:33" x14ac:dyDescent="0.25">
      <c r="A3" t="s">
        <v>78</v>
      </c>
    </row>
    <row r="4" spans="1:33" x14ac:dyDescent="0.25">
      <c r="A4" t="s">
        <v>79</v>
      </c>
    </row>
    <row r="5" spans="1:33" x14ac:dyDescent="0.25">
      <c r="A5" t="s">
        <v>17</v>
      </c>
      <c r="G5" s="12" t="s">
        <v>80</v>
      </c>
    </row>
    <row r="6" spans="1:33" x14ac:dyDescent="0.25">
      <c r="G6" s="13" t="s">
        <v>81</v>
      </c>
    </row>
    <row r="7" spans="1:33" x14ac:dyDescent="0.25">
      <c r="C7" t="s">
        <v>18</v>
      </c>
    </row>
    <row r="8" spans="1:33" x14ac:dyDescent="0.25">
      <c r="A8" t="s">
        <v>82</v>
      </c>
      <c r="B8" s="10" t="s">
        <v>83</v>
      </c>
      <c r="C8" s="6">
        <v>1990</v>
      </c>
      <c r="D8" s="6">
        <v>1991</v>
      </c>
      <c r="E8" s="6">
        <v>1992</v>
      </c>
      <c r="F8" s="6">
        <v>1993</v>
      </c>
      <c r="G8" s="6">
        <v>1994</v>
      </c>
      <c r="H8" s="6">
        <v>1995</v>
      </c>
      <c r="I8" s="6">
        <v>1996</v>
      </c>
      <c r="J8" s="6">
        <v>1997</v>
      </c>
      <c r="K8" s="6">
        <v>1998</v>
      </c>
      <c r="L8" s="6">
        <v>1999</v>
      </c>
      <c r="M8" s="6">
        <v>2000</v>
      </c>
      <c r="N8" s="6">
        <v>2001</v>
      </c>
      <c r="O8" s="6">
        <v>2002</v>
      </c>
      <c r="P8" s="6">
        <v>2003</v>
      </c>
      <c r="Q8" s="6">
        <v>2004</v>
      </c>
      <c r="R8" s="6">
        <v>2005</v>
      </c>
      <c r="S8" s="6">
        <v>2006</v>
      </c>
      <c r="T8" s="6">
        <v>2007</v>
      </c>
      <c r="U8" s="6">
        <v>2008</v>
      </c>
      <c r="V8" s="6">
        <v>2009</v>
      </c>
      <c r="W8" s="6">
        <v>2010</v>
      </c>
      <c r="X8" s="6">
        <v>2011</v>
      </c>
      <c r="Y8" s="6">
        <v>2012</v>
      </c>
      <c r="Z8" s="6">
        <v>2013</v>
      </c>
      <c r="AA8" s="6">
        <v>2014</v>
      </c>
      <c r="AB8" s="6">
        <v>2015</v>
      </c>
      <c r="AC8" s="6">
        <v>2016</v>
      </c>
      <c r="AD8" s="6">
        <v>2017</v>
      </c>
      <c r="AE8" s="6">
        <v>2018</v>
      </c>
      <c r="AF8" s="6">
        <v>2019</v>
      </c>
      <c r="AG8" s="6">
        <v>2020</v>
      </c>
    </row>
    <row r="9" spans="1:33" x14ac:dyDescent="0.25">
      <c r="B9" s="5"/>
      <c r="C9" t="s">
        <v>84</v>
      </c>
    </row>
    <row r="10" spans="1:33" x14ac:dyDescent="0.25">
      <c r="B10" s="10" t="s">
        <v>85</v>
      </c>
      <c r="C10" s="14">
        <f t="shared" ref="C10:M10" si="0">-8.991*C8+18316</f>
        <v>423.90999999999985</v>
      </c>
      <c r="D10" s="14">
        <f t="shared" si="0"/>
        <v>414.91900000000169</v>
      </c>
      <c r="E10" s="14">
        <f t="shared" si="0"/>
        <v>405.92799999999988</v>
      </c>
      <c r="F10" s="14">
        <f t="shared" si="0"/>
        <v>396.93700000000172</v>
      </c>
      <c r="G10" s="14">
        <f t="shared" si="0"/>
        <v>387.94599999999991</v>
      </c>
      <c r="H10" s="14">
        <f t="shared" si="0"/>
        <v>378.95500000000175</v>
      </c>
      <c r="I10" s="14">
        <f t="shared" si="0"/>
        <v>369.96399999999994</v>
      </c>
      <c r="J10" s="14">
        <f t="shared" si="0"/>
        <v>360.97300000000178</v>
      </c>
      <c r="K10" s="14">
        <f t="shared" si="0"/>
        <v>351.98199999999997</v>
      </c>
      <c r="L10" s="14">
        <f t="shared" si="0"/>
        <v>342.9910000000018</v>
      </c>
      <c r="M10" s="14">
        <f t="shared" si="0"/>
        <v>334</v>
      </c>
      <c r="N10" s="14">
        <f>-8.991*N8+18316</f>
        <v>325.00900000000183</v>
      </c>
      <c r="O10" s="9">
        <v>308</v>
      </c>
      <c r="P10" s="9">
        <v>329</v>
      </c>
      <c r="Q10" s="9">
        <v>363</v>
      </c>
      <c r="R10" s="9">
        <v>272</v>
      </c>
      <c r="S10" s="15">
        <v>226.5</v>
      </c>
      <c r="T10" s="9">
        <v>181</v>
      </c>
      <c r="U10" s="9">
        <v>209</v>
      </c>
      <c r="V10" s="9">
        <v>207</v>
      </c>
      <c r="W10" s="9">
        <v>206</v>
      </c>
      <c r="X10" s="9">
        <v>204</v>
      </c>
      <c r="Y10" s="9">
        <v>211</v>
      </c>
      <c r="Z10" s="9">
        <v>205</v>
      </c>
      <c r="AA10" s="9">
        <v>217</v>
      </c>
      <c r="AB10" s="9">
        <v>219</v>
      </c>
      <c r="AC10" s="9">
        <v>233</v>
      </c>
      <c r="AD10" s="9">
        <v>129</v>
      </c>
      <c r="AE10" s="9">
        <v>145</v>
      </c>
      <c r="AF10" s="9">
        <v>161</v>
      </c>
      <c r="AG10" s="9">
        <v>129</v>
      </c>
    </row>
    <row r="11" spans="1:33" x14ac:dyDescent="0.25">
      <c r="B11" s="3" t="s">
        <v>86</v>
      </c>
      <c r="C11" s="13">
        <f t="shared" ref="C11:M11" si="1">36.189*C8-69429</f>
        <v>2587.1100000000006</v>
      </c>
      <c r="D11" s="13">
        <f t="shared" si="1"/>
        <v>2623.2989999999991</v>
      </c>
      <c r="E11" s="13">
        <f t="shared" si="1"/>
        <v>2659.4879999999976</v>
      </c>
      <c r="F11" s="13">
        <f t="shared" si="1"/>
        <v>2695.676999999996</v>
      </c>
      <c r="G11" s="13">
        <f t="shared" si="1"/>
        <v>2731.8659999999945</v>
      </c>
      <c r="H11" s="13">
        <f t="shared" si="1"/>
        <v>2768.054999999993</v>
      </c>
      <c r="I11" s="13">
        <f t="shared" si="1"/>
        <v>2804.2440000000061</v>
      </c>
      <c r="J11" s="13">
        <f t="shared" si="1"/>
        <v>2840.4330000000045</v>
      </c>
      <c r="K11" s="13">
        <f t="shared" si="1"/>
        <v>2876.622000000003</v>
      </c>
      <c r="L11" s="13">
        <f t="shared" si="1"/>
        <v>2912.8110000000015</v>
      </c>
      <c r="M11" s="13">
        <f t="shared" si="1"/>
        <v>2949</v>
      </c>
      <c r="N11" s="13">
        <f>36.189*N8-69429</f>
        <v>2985.1889999999985</v>
      </c>
      <c r="O11" s="16">
        <v>2200</v>
      </c>
      <c r="P11" s="12">
        <v>3595</v>
      </c>
      <c r="Q11" s="16">
        <v>4990</v>
      </c>
      <c r="R11" s="16">
        <v>2005</v>
      </c>
      <c r="S11" s="17">
        <v>2359</v>
      </c>
      <c r="T11" s="17">
        <v>2713</v>
      </c>
      <c r="U11" s="17">
        <v>3066</v>
      </c>
      <c r="V11" s="17">
        <v>3420</v>
      </c>
      <c r="W11" s="16">
        <v>3774</v>
      </c>
      <c r="X11" s="16">
        <v>3043</v>
      </c>
      <c r="Y11" s="16">
        <v>2527</v>
      </c>
      <c r="Z11" s="16">
        <v>3519</v>
      </c>
      <c r="AA11" s="16">
        <v>4669</v>
      </c>
      <c r="AB11" s="16">
        <v>4405</v>
      </c>
      <c r="AC11" s="16">
        <v>4022</v>
      </c>
      <c r="AD11" s="16">
        <v>4027</v>
      </c>
      <c r="AE11" s="16">
        <v>3643</v>
      </c>
      <c r="AF11" s="16">
        <v>3037</v>
      </c>
      <c r="AG11" s="16">
        <v>2594</v>
      </c>
    </row>
    <row r="12" spans="1:33" x14ac:dyDescent="0.25">
      <c r="B12" s="3" t="s">
        <v>87</v>
      </c>
      <c r="C12" s="13">
        <f t="shared" ref="C12:N12" si="2">-96.4*C8+197511</f>
        <v>5675</v>
      </c>
      <c r="D12" s="13">
        <f t="shared" si="2"/>
        <v>5578.5999999999767</v>
      </c>
      <c r="E12" s="13">
        <f t="shared" si="2"/>
        <v>5482.1999999999825</v>
      </c>
      <c r="F12" s="13">
        <f t="shared" si="2"/>
        <v>5385.7999999999884</v>
      </c>
      <c r="G12" s="13">
        <f t="shared" si="2"/>
        <v>5289.3999999999942</v>
      </c>
      <c r="H12" s="13">
        <f t="shared" si="2"/>
        <v>5193</v>
      </c>
      <c r="I12" s="13">
        <f t="shared" si="2"/>
        <v>5096.5999999999767</v>
      </c>
      <c r="J12" s="13">
        <f t="shared" si="2"/>
        <v>5000.1999999999825</v>
      </c>
      <c r="K12" s="13">
        <f t="shared" si="2"/>
        <v>4903.7999999999884</v>
      </c>
      <c r="L12" s="13">
        <f t="shared" si="2"/>
        <v>4807.3999999999942</v>
      </c>
      <c r="M12" s="13">
        <f t="shared" si="2"/>
        <v>4711</v>
      </c>
      <c r="N12" s="13">
        <f t="shared" si="2"/>
        <v>4614.5999999999767</v>
      </c>
      <c r="O12" s="13">
        <f>-96.4*O8+197511</f>
        <v>4518.1999999999825</v>
      </c>
      <c r="P12" s="16">
        <v>2155</v>
      </c>
      <c r="Q12" s="12">
        <v>4201.5</v>
      </c>
      <c r="R12" s="16">
        <v>6248</v>
      </c>
      <c r="S12" s="17">
        <v>6302</v>
      </c>
      <c r="T12" s="16">
        <v>6355</v>
      </c>
      <c r="U12" s="17">
        <v>4526</v>
      </c>
      <c r="V12" s="16">
        <v>2697</v>
      </c>
      <c r="W12" s="16">
        <v>1528</v>
      </c>
      <c r="X12" s="16">
        <v>2244</v>
      </c>
      <c r="Y12" s="16">
        <v>2357</v>
      </c>
      <c r="Z12" s="16">
        <v>2446</v>
      </c>
      <c r="AA12" s="16">
        <v>3921</v>
      </c>
      <c r="AB12" s="16">
        <v>4517</v>
      </c>
      <c r="AC12" s="16">
        <v>2394</v>
      </c>
      <c r="AD12" s="16">
        <v>3243</v>
      </c>
      <c r="AE12" s="16">
        <v>2490</v>
      </c>
      <c r="AF12" s="16">
        <v>3616</v>
      </c>
      <c r="AG12" s="16">
        <v>3602</v>
      </c>
    </row>
    <row r="13" spans="1:33" x14ac:dyDescent="0.25">
      <c r="B13" s="3" t="s">
        <v>88</v>
      </c>
      <c r="C13" s="13">
        <f t="shared" ref="C13:U13" si="3">-21.727*C8+43973</f>
        <v>736.2699999999968</v>
      </c>
      <c r="D13" s="13">
        <f t="shared" si="3"/>
        <v>714.54299999999785</v>
      </c>
      <c r="E13" s="13">
        <f t="shared" si="3"/>
        <v>692.81599999999889</v>
      </c>
      <c r="F13" s="13">
        <f t="shared" si="3"/>
        <v>671.08899999999994</v>
      </c>
      <c r="G13" s="13">
        <f t="shared" si="3"/>
        <v>649.36200000000099</v>
      </c>
      <c r="H13" s="13">
        <f t="shared" si="3"/>
        <v>627.63500000000204</v>
      </c>
      <c r="I13" s="13">
        <f t="shared" si="3"/>
        <v>605.90799999999581</v>
      </c>
      <c r="J13" s="13">
        <f t="shared" si="3"/>
        <v>584.18099999999686</v>
      </c>
      <c r="K13" s="13">
        <f t="shared" si="3"/>
        <v>562.4539999999979</v>
      </c>
      <c r="L13" s="13">
        <f t="shared" si="3"/>
        <v>540.72699999999895</v>
      </c>
      <c r="M13" s="13">
        <f t="shared" si="3"/>
        <v>519</v>
      </c>
      <c r="N13" s="13">
        <f t="shared" si="3"/>
        <v>497.27300000000105</v>
      </c>
      <c r="O13" s="13">
        <f t="shared" si="3"/>
        <v>475.5460000000021</v>
      </c>
      <c r="P13" s="13">
        <f t="shared" si="3"/>
        <v>453.81899999999587</v>
      </c>
      <c r="Q13" s="13">
        <f t="shared" si="3"/>
        <v>432.09199999999691</v>
      </c>
      <c r="R13" s="13">
        <f t="shared" si="3"/>
        <v>410.36499999999796</v>
      </c>
      <c r="S13" s="13">
        <f t="shared" si="3"/>
        <v>388.63799999999901</v>
      </c>
      <c r="T13" s="13">
        <f t="shared" si="3"/>
        <v>366.91100000000006</v>
      </c>
      <c r="U13" s="13">
        <f t="shared" si="3"/>
        <v>345.18400000000111</v>
      </c>
      <c r="V13" s="13">
        <f>-21.727*V8+43973</f>
        <v>323.45700000000215</v>
      </c>
      <c r="W13">
        <v>44</v>
      </c>
      <c r="X13">
        <v>335</v>
      </c>
      <c r="Y13">
        <v>360</v>
      </c>
      <c r="Z13">
        <v>377</v>
      </c>
      <c r="AA13">
        <v>331</v>
      </c>
      <c r="AB13">
        <v>187</v>
      </c>
      <c r="AC13">
        <v>134</v>
      </c>
      <c r="AD13">
        <v>82</v>
      </c>
      <c r="AE13">
        <v>117</v>
      </c>
      <c r="AF13">
        <v>79</v>
      </c>
      <c r="AG13">
        <v>74</v>
      </c>
    </row>
    <row r="14" spans="1:33" x14ac:dyDescent="0.25">
      <c r="B14" s="3" t="s">
        <v>89</v>
      </c>
      <c r="C14" s="13">
        <f t="shared" ref="C14:M14" si="4">-165.35*C8+346959</f>
        <v>17912.5</v>
      </c>
      <c r="D14" s="13">
        <f t="shared" si="4"/>
        <v>17747.150000000023</v>
      </c>
      <c r="E14" s="13">
        <f t="shared" si="4"/>
        <v>17581.799999999988</v>
      </c>
      <c r="F14" s="13">
        <f t="shared" si="4"/>
        <v>17416.450000000012</v>
      </c>
      <c r="G14" s="13">
        <f t="shared" si="4"/>
        <v>17251.100000000035</v>
      </c>
      <c r="H14" s="13">
        <f t="shared" si="4"/>
        <v>17085.75</v>
      </c>
      <c r="I14" s="13">
        <f t="shared" si="4"/>
        <v>16920.400000000023</v>
      </c>
      <c r="J14" s="13">
        <f t="shared" si="4"/>
        <v>16755.049999999988</v>
      </c>
      <c r="K14" s="13">
        <f t="shared" si="4"/>
        <v>16589.700000000012</v>
      </c>
      <c r="L14" s="13">
        <f t="shared" si="4"/>
        <v>16424.350000000035</v>
      </c>
      <c r="M14" s="13">
        <f t="shared" si="4"/>
        <v>16259</v>
      </c>
      <c r="N14" s="13">
        <f>-165.35*N8+346959</f>
        <v>16093.650000000023</v>
      </c>
      <c r="O14" s="16">
        <v>18770</v>
      </c>
      <c r="P14" s="16">
        <v>17282</v>
      </c>
      <c r="Q14" s="16">
        <v>16329</v>
      </c>
      <c r="R14" s="16">
        <v>12247</v>
      </c>
      <c r="S14" s="16">
        <v>14742</v>
      </c>
      <c r="T14" s="16">
        <v>14560</v>
      </c>
      <c r="U14" s="16">
        <v>14515</v>
      </c>
      <c r="V14" s="16">
        <v>15422</v>
      </c>
      <c r="W14" s="16">
        <v>13440</v>
      </c>
      <c r="X14" s="16">
        <v>12727</v>
      </c>
      <c r="Y14" s="16">
        <v>12793</v>
      </c>
      <c r="Z14" s="16">
        <v>13069</v>
      </c>
      <c r="AA14" s="16">
        <v>15039</v>
      </c>
      <c r="AB14" s="16">
        <v>14114</v>
      </c>
      <c r="AC14" s="16">
        <v>15012</v>
      </c>
      <c r="AD14" s="16">
        <v>14749</v>
      </c>
      <c r="AE14" s="16">
        <v>13203</v>
      </c>
      <c r="AF14" s="16">
        <v>12904</v>
      </c>
      <c r="AG14" s="16">
        <v>13421</v>
      </c>
    </row>
    <row r="15" spans="1:33" x14ac:dyDescent="0.25">
      <c r="B15" s="3" t="s">
        <v>90</v>
      </c>
      <c r="C15" s="13">
        <f t="shared" ref="C15:N15" si="5">6.5098*C8-12897</f>
        <v>57.502000000000407</v>
      </c>
      <c r="D15" s="13">
        <f t="shared" si="5"/>
        <v>64.011800000000221</v>
      </c>
      <c r="E15" s="13">
        <f t="shared" si="5"/>
        <v>70.521600000000035</v>
      </c>
      <c r="F15" s="13">
        <f t="shared" si="5"/>
        <v>77.031399999999849</v>
      </c>
      <c r="G15" s="13">
        <f t="shared" si="5"/>
        <v>83.541199999999662</v>
      </c>
      <c r="H15" s="13">
        <f t="shared" si="5"/>
        <v>90.051000000001295</v>
      </c>
      <c r="I15" s="13">
        <f t="shared" si="5"/>
        <v>96.560800000001109</v>
      </c>
      <c r="J15" s="13">
        <f t="shared" si="5"/>
        <v>103.07060000000092</v>
      </c>
      <c r="K15" s="13">
        <f t="shared" si="5"/>
        <v>109.58040000000074</v>
      </c>
      <c r="L15" s="13">
        <f t="shared" si="5"/>
        <v>116.09020000000055</v>
      </c>
      <c r="M15" s="13">
        <f t="shared" si="5"/>
        <v>122.60000000000036</v>
      </c>
      <c r="N15" s="13">
        <f t="shared" si="5"/>
        <v>129.10980000000018</v>
      </c>
      <c r="O15" s="13">
        <f>6.5098*O8-12897</f>
        <v>135.61959999999999</v>
      </c>
      <c r="P15">
        <v>295</v>
      </c>
      <c r="Q15">
        <v>159</v>
      </c>
      <c r="R15">
        <v>159</v>
      </c>
      <c r="S15">
        <v>177</v>
      </c>
      <c r="T15">
        <v>52</v>
      </c>
      <c r="U15">
        <v>156</v>
      </c>
      <c r="V15" s="12">
        <v>96</v>
      </c>
      <c r="W15">
        <v>36</v>
      </c>
      <c r="X15">
        <v>168</v>
      </c>
      <c r="Y15">
        <v>138</v>
      </c>
      <c r="Z15">
        <v>313</v>
      </c>
      <c r="AA15">
        <v>326</v>
      </c>
      <c r="AB15">
        <v>261</v>
      </c>
      <c r="AC15">
        <v>308</v>
      </c>
      <c r="AD15">
        <v>210</v>
      </c>
      <c r="AE15">
        <v>259</v>
      </c>
      <c r="AF15">
        <v>238</v>
      </c>
      <c r="AG15">
        <v>205</v>
      </c>
    </row>
    <row r="16" spans="1:33" x14ac:dyDescent="0.25">
      <c r="B16" s="3" t="s">
        <v>91</v>
      </c>
      <c r="C16" s="13">
        <f t="shared" ref="C16:O16" si="6">2.07*10^-42*EXP(5.25*10^-2*C8)</f>
        <v>4885.2449256314185</v>
      </c>
      <c r="D16" s="13">
        <f t="shared" si="6"/>
        <v>5148.5721435040996</v>
      </c>
      <c r="E16" s="13">
        <f t="shared" si="6"/>
        <v>5426.0933730852066</v>
      </c>
      <c r="F16" s="13">
        <f t="shared" si="6"/>
        <v>5718.5737079718419</v>
      </c>
      <c r="G16" s="13">
        <f t="shared" si="6"/>
        <v>6026.8194822665409</v>
      </c>
      <c r="H16" s="13">
        <f t="shared" si="6"/>
        <v>6351.6804935455193</v>
      </c>
      <c r="I16" s="13">
        <f t="shared" si="6"/>
        <v>6694.0523456518558</v>
      </c>
      <c r="J16" s="13">
        <f t="shared" si="6"/>
        <v>7054.8789177703984</v>
      </c>
      <c r="K16" s="13">
        <f t="shared" si="6"/>
        <v>7435.1549665920438</v>
      </c>
      <c r="L16" s="13">
        <f t="shared" si="6"/>
        <v>7835.9288687422768</v>
      </c>
      <c r="M16" s="13">
        <f t="shared" si="6"/>
        <v>8258.305511032735</v>
      </c>
      <c r="N16" s="13">
        <f t="shared" si="6"/>
        <v>8703.4493365046601</v>
      </c>
      <c r="O16" s="13">
        <f t="shared" si="6"/>
        <v>9172.5875546629595</v>
      </c>
      <c r="P16" s="13">
        <f>2.07*10^-42*EXP(5.25*10^-2*P8)</f>
        <v>9667.0135247490871</v>
      </c>
      <c r="Q16" s="16">
        <v>11113</v>
      </c>
      <c r="R16" s="16">
        <v>15195</v>
      </c>
      <c r="S16" s="16">
        <v>17237</v>
      </c>
      <c r="T16" s="17">
        <v>11499</v>
      </c>
      <c r="U16" s="16">
        <v>5761</v>
      </c>
      <c r="V16" s="17">
        <v>8683</v>
      </c>
      <c r="W16" s="17">
        <v>11606</v>
      </c>
      <c r="X16" s="16">
        <v>14528</v>
      </c>
      <c r="Y16" s="16">
        <v>13597</v>
      </c>
      <c r="Z16" s="16">
        <v>6070</v>
      </c>
      <c r="AA16" s="16">
        <v>19115</v>
      </c>
      <c r="AB16" s="16">
        <v>16794</v>
      </c>
      <c r="AC16" s="16">
        <v>17661</v>
      </c>
      <c r="AD16" s="16">
        <v>23743</v>
      </c>
      <c r="AE16" s="16">
        <v>25178</v>
      </c>
      <c r="AF16" s="16">
        <v>23551</v>
      </c>
      <c r="AG16" s="16">
        <v>23097</v>
      </c>
    </row>
    <row r="17" spans="1:33" x14ac:dyDescent="0.25">
      <c r="B17" s="3" t="s">
        <v>92</v>
      </c>
      <c r="C17" s="13">
        <f t="shared" ref="C17:M17" si="7">-12.245*C8+24809</f>
        <v>441.45000000000073</v>
      </c>
      <c r="D17" s="13">
        <f t="shared" si="7"/>
        <v>429.20500000000175</v>
      </c>
      <c r="E17" s="13">
        <f t="shared" si="7"/>
        <v>416.96000000000276</v>
      </c>
      <c r="F17" s="13">
        <f t="shared" si="7"/>
        <v>404.71500000000015</v>
      </c>
      <c r="G17" s="13">
        <f t="shared" si="7"/>
        <v>392.47000000000116</v>
      </c>
      <c r="H17" s="13">
        <f t="shared" si="7"/>
        <v>380.22500000000218</v>
      </c>
      <c r="I17" s="13">
        <f t="shared" si="7"/>
        <v>367.9800000000032</v>
      </c>
      <c r="J17" s="13">
        <f t="shared" si="7"/>
        <v>355.73500000000058</v>
      </c>
      <c r="K17" s="13">
        <f t="shared" si="7"/>
        <v>343.4900000000016</v>
      </c>
      <c r="L17" s="13">
        <f t="shared" si="7"/>
        <v>331.24500000000262</v>
      </c>
      <c r="M17" s="13">
        <f t="shared" si="7"/>
        <v>319</v>
      </c>
      <c r="N17" s="13">
        <f>-12.245*N8+24809</f>
        <v>306.75500000000102</v>
      </c>
      <c r="O17">
        <v>295</v>
      </c>
      <c r="P17">
        <v>282</v>
      </c>
      <c r="Q17">
        <v>270</v>
      </c>
      <c r="R17">
        <v>258</v>
      </c>
      <c r="S17">
        <v>246</v>
      </c>
      <c r="T17">
        <v>233</v>
      </c>
      <c r="U17">
        <v>221</v>
      </c>
      <c r="V17">
        <v>209</v>
      </c>
      <c r="W17">
        <v>197</v>
      </c>
      <c r="X17">
        <v>193</v>
      </c>
      <c r="Y17">
        <v>150</v>
      </c>
      <c r="Z17">
        <v>180</v>
      </c>
      <c r="AA17">
        <v>116</v>
      </c>
      <c r="AB17">
        <v>125</v>
      </c>
      <c r="AC17">
        <v>115</v>
      </c>
      <c r="AD17">
        <v>167</v>
      </c>
      <c r="AE17" s="12">
        <v>123</v>
      </c>
      <c r="AF17">
        <v>79</v>
      </c>
      <c r="AG17">
        <v>39.5</v>
      </c>
    </row>
    <row r="18" spans="1:33" x14ac:dyDescent="0.25">
      <c r="B18" s="3" t="s">
        <v>93</v>
      </c>
      <c r="C18" s="13">
        <f t="shared" ref="C18:M18" si="8">-1.61*10^2*C8+3.3*10^5</f>
        <v>9610</v>
      </c>
      <c r="D18" s="13">
        <f t="shared" si="8"/>
        <v>9449</v>
      </c>
      <c r="E18" s="13">
        <f t="shared" si="8"/>
        <v>9288</v>
      </c>
      <c r="F18" s="13">
        <f t="shared" si="8"/>
        <v>9127</v>
      </c>
      <c r="G18" s="13">
        <f t="shared" si="8"/>
        <v>8966</v>
      </c>
      <c r="H18" s="13">
        <f t="shared" si="8"/>
        <v>8805</v>
      </c>
      <c r="I18" s="13">
        <f t="shared" si="8"/>
        <v>8644</v>
      </c>
      <c r="J18" s="13">
        <f t="shared" si="8"/>
        <v>8483</v>
      </c>
      <c r="K18" s="13">
        <f t="shared" si="8"/>
        <v>8322</v>
      </c>
      <c r="L18" s="13">
        <f t="shared" si="8"/>
        <v>8161</v>
      </c>
      <c r="M18" s="13">
        <f t="shared" si="8"/>
        <v>8000</v>
      </c>
      <c r="N18" s="13">
        <f>-1.61*10^2*N8+3.3*10^5</f>
        <v>7839</v>
      </c>
      <c r="O18" s="16">
        <v>5352</v>
      </c>
      <c r="P18" s="16">
        <v>5790</v>
      </c>
      <c r="Q18" s="16">
        <v>6690</v>
      </c>
      <c r="R18" s="16">
        <v>7682</v>
      </c>
      <c r="S18" s="16">
        <v>6804</v>
      </c>
      <c r="T18" s="16">
        <v>5557</v>
      </c>
      <c r="U18" s="16">
        <v>5579</v>
      </c>
      <c r="V18" s="16">
        <v>7023</v>
      </c>
      <c r="W18" s="16">
        <v>2590</v>
      </c>
      <c r="X18" s="16">
        <v>3713</v>
      </c>
      <c r="Y18" s="16">
        <v>4211</v>
      </c>
      <c r="Z18" s="16">
        <v>3432</v>
      </c>
      <c r="AA18" s="16">
        <v>4701</v>
      </c>
      <c r="AB18" s="16">
        <v>5271</v>
      </c>
      <c r="AC18" s="16">
        <v>4569</v>
      </c>
      <c r="AD18" s="16">
        <v>4309</v>
      </c>
      <c r="AE18" s="16">
        <v>4138</v>
      </c>
      <c r="AF18" s="16">
        <v>2818</v>
      </c>
      <c r="AG18" s="16">
        <v>4284</v>
      </c>
    </row>
    <row r="19" spans="1:33" x14ac:dyDescent="0.25">
      <c r="B19" s="3" t="s">
        <v>94</v>
      </c>
      <c r="C19" s="13">
        <f>6.29*10*C8-1.24*10^5</f>
        <v>1171</v>
      </c>
      <c r="D19" s="13">
        <f t="shared" ref="D19:R19" si="9">6.29*10*D8-1.24*10^5</f>
        <v>1233.8999999999942</v>
      </c>
      <c r="E19" s="13">
        <f t="shared" si="9"/>
        <v>1296.8000000000029</v>
      </c>
      <c r="F19" s="13">
        <f t="shared" si="9"/>
        <v>1359.6999999999971</v>
      </c>
      <c r="G19" s="13">
        <f t="shared" si="9"/>
        <v>1422.5999999999913</v>
      </c>
      <c r="H19" s="13">
        <f t="shared" si="9"/>
        <v>1485.5</v>
      </c>
      <c r="I19" s="13">
        <f t="shared" si="9"/>
        <v>1548.3999999999942</v>
      </c>
      <c r="J19" s="13">
        <f t="shared" si="9"/>
        <v>1611.3000000000029</v>
      </c>
      <c r="K19" s="13">
        <f t="shared" si="9"/>
        <v>1674.1999999999971</v>
      </c>
      <c r="L19" s="13">
        <f t="shared" si="9"/>
        <v>1737.0999999999913</v>
      </c>
      <c r="M19" s="13">
        <f t="shared" si="9"/>
        <v>1800</v>
      </c>
      <c r="N19" s="13">
        <f t="shared" si="9"/>
        <v>1862.8999999999942</v>
      </c>
      <c r="O19" s="13">
        <f t="shared" si="9"/>
        <v>1925.8000000000029</v>
      </c>
      <c r="P19" s="13">
        <f t="shared" si="9"/>
        <v>1988.6999999999971</v>
      </c>
      <c r="Q19" s="13">
        <f t="shared" si="9"/>
        <v>2051.5999999999913</v>
      </c>
      <c r="R19" s="13">
        <f t="shared" si="9"/>
        <v>2114.5</v>
      </c>
      <c r="S19" s="13">
        <f>6.29*10*S8-1.24*10^5</f>
        <v>2177.3999999999942</v>
      </c>
      <c r="T19" s="16">
        <v>1814</v>
      </c>
      <c r="U19" s="16">
        <v>1724</v>
      </c>
      <c r="V19" s="12">
        <v>2034</v>
      </c>
      <c r="W19" s="12">
        <v>2344</v>
      </c>
      <c r="X19" s="16">
        <v>2654</v>
      </c>
      <c r="Y19" s="16">
        <v>2709</v>
      </c>
      <c r="Z19" s="16">
        <v>1013</v>
      </c>
      <c r="AA19" s="16">
        <v>1575</v>
      </c>
      <c r="AB19" s="16">
        <v>2155</v>
      </c>
      <c r="AC19" s="16">
        <v>2937</v>
      </c>
      <c r="AD19" s="16">
        <v>3263</v>
      </c>
      <c r="AE19" s="16">
        <v>2826</v>
      </c>
      <c r="AF19" s="16">
        <v>2473</v>
      </c>
      <c r="AG19" s="16">
        <v>2315</v>
      </c>
    </row>
    <row r="20" spans="1:33" x14ac:dyDescent="0.25">
      <c r="B20" s="3" t="s">
        <v>95</v>
      </c>
      <c r="C20" s="13">
        <f t="shared" ref="C20:V20" si="10">1.34*10*C8-2.61*10^4</f>
        <v>566</v>
      </c>
      <c r="D20" s="13">
        <f t="shared" si="10"/>
        <v>579.40000000000146</v>
      </c>
      <c r="E20" s="13">
        <f t="shared" si="10"/>
        <v>592.79999999999927</v>
      </c>
      <c r="F20" s="13">
        <f t="shared" si="10"/>
        <v>606.20000000000073</v>
      </c>
      <c r="G20" s="13">
        <f t="shared" si="10"/>
        <v>619.60000000000218</v>
      </c>
      <c r="H20" s="13">
        <f t="shared" si="10"/>
        <v>633</v>
      </c>
      <c r="I20" s="13">
        <f t="shared" si="10"/>
        <v>646.40000000000146</v>
      </c>
      <c r="J20" s="13">
        <f t="shared" si="10"/>
        <v>659.79999999999927</v>
      </c>
      <c r="K20" s="13">
        <f t="shared" si="10"/>
        <v>673.20000000000073</v>
      </c>
      <c r="L20" s="13">
        <f t="shared" si="10"/>
        <v>686.60000000000218</v>
      </c>
      <c r="M20" s="13">
        <f t="shared" si="10"/>
        <v>700</v>
      </c>
      <c r="N20" s="13">
        <f t="shared" si="10"/>
        <v>713.40000000000146</v>
      </c>
      <c r="O20" s="13">
        <f t="shared" si="10"/>
        <v>726.79999999999927</v>
      </c>
      <c r="P20" s="13">
        <f t="shared" si="10"/>
        <v>740.20000000000073</v>
      </c>
      <c r="Q20" s="13">
        <f t="shared" si="10"/>
        <v>753.60000000000218</v>
      </c>
      <c r="R20" s="13">
        <f t="shared" si="10"/>
        <v>767</v>
      </c>
      <c r="S20" s="13">
        <f t="shared" si="10"/>
        <v>780.40000000000146</v>
      </c>
      <c r="T20" s="13">
        <f t="shared" si="10"/>
        <v>793.79999999999927</v>
      </c>
      <c r="U20" s="13">
        <f t="shared" si="10"/>
        <v>807.20000000000073</v>
      </c>
      <c r="V20" s="13">
        <f t="shared" si="10"/>
        <v>820.60000000000218</v>
      </c>
      <c r="W20" s="13">
        <f>1.34*10*W8-2.61*10^4</f>
        <v>834</v>
      </c>
      <c r="X20">
        <v>819</v>
      </c>
      <c r="Y20">
        <v>844</v>
      </c>
      <c r="Z20">
        <v>779</v>
      </c>
      <c r="AA20">
        <v>927</v>
      </c>
      <c r="AB20" s="16">
        <v>1124</v>
      </c>
      <c r="AC20" s="16">
        <v>1339</v>
      </c>
      <c r="AD20" s="16">
        <v>1360</v>
      </c>
      <c r="AE20">
        <v>802</v>
      </c>
      <c r="AF20">
        <v>725</v>
      </c>
      <c r="AG20">
        <v>977</v>
      </c>
    </row>
    <row r="21" spans="1:33" x14ac:dyDescent="0.25">
      <c r="B21" s="3" t="s">
        <v>96</v>
      </c>
      <c r="C21" s="13">
        <f t="shared" ref="C21:S21" si="11">-4.072*C8+8538.4</f>
        <v>435.11999999999989</v>
      </c>
      <c r="D21" s="13">
        <f t="shared" si="11"/>
        <v>431.04799999999977</v>
      </c>
      <c r="E21" s="13">
        <f t="shared" si="11"/>
        <v>426.97599999999966</v>
      </c>
      <c r="F21" s="13">
        <f t="shared" si="11"/>
        <v>422.90399999999954</v>
      </c>
      <c r="G21" s="13">
        <f t="shared" si="11"/>
        <v>418.83199999999943</v>
      </c>
      <c r="H21" s="13">
        <f t="shared" si="11"/>
        <v>414.75999999999931</v>
      </c>
      <c r="I21" s="13">
        <f t="shared" si="11"/>
        <v>410.68799999999919</v>
      </c>
      <c r="J21" s="13">
        <f t="shared" si="11"/>
        <v>406.61599999999908</v>
      </c>
      <c r="K21" s="13">
        <f t="shared" si="11"/>
        <v>402.54399999999987</v>
      </c>
      <c r="L21" s="13">
        <f t="shared" si="11"/>
        <v>398.47199999999975</v>
      </c>
      <c r="M21" s="13">
        <f t="shared" si="11"/>
        <v>394.39999999999964</v>
      </c>
      <c r="N21" s="13">
        <f t="shared" si="11"/>
        <v>390.32799999999952</v>
      </c>
      <c r="O21" s="13">
        <f t="shared" si="11"/>
        <v>386.2559999999994</v>
      </c>
      <c r="P21" s="13">
        <f t="shared" si="11"/>
        <v>382.18399999999929</v>
      </c>
      <c r="Q21" s="13">
        <f t="shared" si="11"/>
        <v>378.11199999999917</v>
      </c>
      <c r="R21" s="13">
        <f t="shared" si="11"/>
        <v>374.03999999999905</v>
      </c>
      <c r="S21" s="13">
        <f t="shared" si="11"/>
        <v>369.96799999999985</v>
      </c>
      <c r="T21" s="13">
        <f>-4.072*T8+8538.4</f>
        <v>365.89599999999973</v>
      </c>
      <c r="U21">
        <v>295</v>
      </c>
      <c r="V21">
        <v>315</v>
      </c>
      <c r="W21">
        <v>334</v>
      </c>
      <c r="X21">
        <v>354</v>
      </c>
      <c r="Y21">
        <v>344</v>
      </c>
      <c r="Z21">
        <v>356</v>
      </c>
      <c r="AA21">
        <v>445</v>
      </c>
      <c r="AB21">
        <v>354</v>
      </c>
      <c r="AC21">
        <v>421</v>
      </c>
      <c r="AD21">
        <v>338</v>
      </c>
      <c r="AE21">
        <v>271</v>
      </c>
      <c r="AF21" s="12">
        <v>257.5</v>
      </c>
      <c r="AG21">
        <v>244</v>
      </c>
    </row>
    <row r="22" spans="1:33" x14ac:dyDescent="0.25">
      <c r="B22" s="3" t="s">
        <v>97</v>
      </c>
      <c r="C22" s="13">
        <f t="shared" ref="C22:V22" si="12">-1.71*10*C8+3.55*10^4</f>
        <v>1471</v>
      </c>
      <c r="D22" s="13">
        <f t="shared" si="12"/>
        <v>1453.8999999999942</v>
      </c>
      <c r="E22" s="13">
        <f t="shared" si="12"/>
        <v>1436.7999999999956</v>
      </c>
      <c r="F22" s="13">
        <f t="shared" si="12"/>
        <v>1419.6999999999971</v>
      </c>
      <c r="G22" s="13">
        <f t="shared" si="12"/>
        <v>1402.5999999999985</v>
      </c>
      <c r="H22" s="13">
        <f t="shared" si="12"/>
        <v>1385.5</v>
      </c>
      <c r="I22" s="13">
        <f t="shared" si="12"/>
        <v>1368.3999999999942</v>
      </c>
      <c r="J22" s="13">
        <f t="shared" si="12"/>
        <v>1351.2999999999956</v>
      </c>
      <c r="K22" s="13">
        <f t="shared" si="12"/>
        <v>1334.1999999999971</v>
      </c>
      <c r="L22" s="13">
        <f t="shared" si="12"/>
        <v>1317.0999999999985</v>
      </c>
      <c r="M22" s="13">
        <f t="shared" si="12"/>
        <v>1300</v>
      </c>
      <c r="N22" s="13">
        <f t="shared" si="12"/>
        <v>1282.8999999999942</v>
      </c>
      <c r="O22" s="13">
        <f t="shared" si="12"/>
        <v>1265.7999999999956</v>
      </c>
      <c r="P22" s="13">
        <f t="shared" si="12"/>
        <v>1248.6999999999971</v>
      </c>
      <c r="Q22" s="13">
        <f t="shared" si="12"/>
        <v>1231.5999999999985</v>
      </c>
      <c r="R22" s="13">
        <f t="shared" si="12"/>
        <v>1214.5</v>
      </c>
      <c r="S22" s="13">
        <f t="shared" si="12"/>
        <v>1197.3999999999942</v>
      </c>
      <c r="T22" s="13">
        <f t="shared" si="12"/>
        <v>1180.2999999999956</v>
      </c>
      <c r="U22" s="13">
        <f t="shared" si="12"/>
        <v>1163.1999999999971</v>
      </c>
      <c r="V22" s="13">
        <f t="shared" si="12"/>
        <v>1146.0999999999985</v>
      </c>
      <c r="W22" s="13">
        <f>-1.71*10*W8+3.55*10^4</f>
        <v>1129</v>
      </c>
      <c r="X22">
        <v>866</v>
      </c>
      <c r="Y22" s="16">
        <v>1395</v>
      </c>
      <c r="Z22" s="16">
        <v>1134</v>
      </c>
      <c r="AA22" s="16">
        <v>1139</v>
      </c>
      <c r="AB22">
        <v>471</v>
      </c>
      <c r="AC22">
        <v>945</v>
      </c>
      <c r="AD22" s="16">
        <v>1247</v>
      </c>
      <c r="AE22" s="16">
        <v>1061</v>
      </c>
      <c r="AF22">
        <v>979</v>
      </c>
      <c r="AG22">
        <v>828</v>
      </c>
    </row>
    <row r="23" spans="1:33" x14ac:dyDescent="0.25">
      <c r="B23" s="5" t="s">
        <v>98</v>
      </c>
      <c r="C23" s="18">
        <f t="shared" ref="C23:V23" si="13">-1.47*10*C8+3.18*10^4</f>
        <v>2547</v>
      </c>
      <c r="D23" s="18">
        <f t="shared" si="13"/>
        <v>2532.3000000000029</v>
      </c>
      <c r="E23" s="18">
        <f t="shared" si="13"/>
        <v>2517.6000000000022</v>
      </c>
      <c r="F23" s="18">
        <f t="shared" si="13"/>
        <v>2502.9000000000015</v>
      </c>
      <c r="G23" s="18">
        <f t="shared" si="13"/>
        <v>2488.2000000000007</v>
      </c>
      <c r="H23" s="18">
        <f t="shared" si="13"/>
        <v>2473.5</v>
      </c>
      <c r="I23" s="18">
        <f t="shared" si="13"/>
        <v>2458.8000000000029</v>
      </c>
      <c r="J23" s="18">
        <f t="shared" si="13"/>
        <v>2444.1000000000022</v>
      </c>
      <c r="K23" s="18">
        <f t="shared" si="13"/>
        <v>2429.4000000000015</v>
      </c>
      <c r="L23" s="18">
        <f t="shared" si="13"/>
        <v>2414.7000000000007</v>
      </c>
      <c r="M23" s="18">
        <f t="shared" si="13"/>
        <v>2400</v>
      </c>
      <c r="N23" s="18">
        <f t="shared" si="13"/>
        <v>2385.3000000000029</v>
      </c>
      <c r="O23" s="18">
        <f t="shared" si="13"/>
        <v>2370.6000000000022</v>
      </c>
      <c r="P23" s="18">
        <f t="shared" si="13"/>
        <v>2355.9000000000015</v>
      </c>
      <c r="Q23" s="18">
        <f t="shared" si="13"/>
        <v>2341.2000000000007</v>
      </c>
      <c r="R23" s="18">
        <f t="shared" si="13"/>
        <v>2326.5</v>
      </c>
      <c r="S23" s="18">
        <f t="shared" si="13"/>
        <v>2311.8000000000029</v>
      </c>
      <c r="T23" s="18">
        <f t="shared" si="13"/>
        <v>2297.1000000000022</v>
      </c>
      <c r="U23" s="18">
        <f t="shared" si="13"/>
        <v>2282.4000000000015</v>
      </c>
      <c r="V23" s="18">
        <f t="shared" si="13"/>
        <v>2267.7000000000007</v>
      </c>
      <c r="W23" s="18">
        <f>-1.47*10*W8+3.18*10^4</f>
        <v>2253</v>
      </c>
      <c r="X23" s="19">
        <v>2649</v>
      </c>
      <c r="Y23" s="19">
        <v>1349</v>
      </c>
      <c r="Z23" s="19">
        <v>1821</v>
      </c>
      <c r="AA23" s="19">
        <v>2213</v>
      </c>
      <c r="AB23" s="19">
        <v>1639</v>
      </c>
      <c r="AC23" s="19">
        <v>3103</v>
      </c>
      <c r="AD23" s="19">
        <v>2222</v>
      </c>
      <c r="AE23" s="19">
        <v>2682</v>
      </c>
      <c r="AF23" s="19">
        <v>2066</v>
      </c>
      <c r="AG23" s="19">
        <v>1177</v>
      </c>
    </row>
    <row r="24" spans="1:33" x14ac:dyDescent="0.25">
      <c r="B24" s="3" t="s">
        <v>115</v>
      </c>
      <c r="C24">
        <f>SUM(C10:C23)</f>
        <v>48519.106925631415</v>
      </c>
      <c r="D24">
        <f t="shared" ref="D24:AG24" si="14">SUM(D10:D23)</f>
        <v>48399.847943504094</v>
      </c>
      <c r="E24">
        <f t="shared" si="14"/>
        <v>48294.782973085181</v>
      </c>
      <c r="F24">
        <f t="shared" si="14"/>
        <v>48204.677107971831</v>
      </c>
      <c r="G24">
        <f t="shared" si="14"/>
        <v>48130.336682266556</v>
      </c>
      <c r="H24">
        <f t="shared" si="14"/>
        <v>48072.611493545519</v>
      </c>
      <c r="I24">
        <f t="shared" si="14"/>
        <v>48032.397145651856</v>
      </c>
      <c r="J24">
        <f t="shared" si="14"/>
        <v>48010.637517770389</v>
      </c>
      <c r="K24">
        <f t="shared" si="14"/>
        <v>48008.327366592042</v>
      </c>
      <c r="L24">
        <f t="shared" si="14"/>
        <v>48026.515068742301</v>
      </c>
      <c r="M24">
        <f t="shared" si="14"/>
        <v>48066.305511032733</v>
      </c>
      <c r="N24">
        <f t="shared" si="14"/>
        <v>48128.86313650466</v>
      </c>
      <c r="O24">
        <f t="shared" si="14"/>
        <v>47902.209154662953</v>
      </c>
      <c r="P24">
        <f t="shared" si="14"/>
        <v>46564.51652474908</v>
      </c>
      <c r="Q24">
        <f t="shared" si="14"/>
        <v>51303.703999999983</v>
      </c>
      <c r="R24">
        <f t="shared" si="14"/>
        <v>51272.904999999999</v>
      </c>
      <c r="S24">
        <f t="shared" si="14"/>
        <v>55319.105999999992</v>
      </c>
      <c r="T24">
        <f t="shared" si="14"/>
        <v>47968.006999999998</v>
      </c>
      <c r="U24">
        <f t="shared" si="14"/>
        <v>40649.984000000004</v>
      </c>
      <c r="V24">
        <f t="shared" si="14"/>
        <v>44663.857000000004</v>
      </c>
      <c r="W24">
        <f t="shared" si="14"/>
        <v>40315</v>
      </c>
      <c r="X24">
        <f t="shared" si="14"/>
        <v>44497</v>
      </c>
      <c r="Y24">
        <f t="shared" si="14"/>
        <v>42985</v>
      </c>
      <c r="Z24">
        <f t="shared" si="14"/>
        <v>34714</v>
      </c>
      <c r="AA24">
        <f t="shared" si="14"/>
        <v>54734</v>
      </c>
      <c r="AB24">
        <f t="shared" si="14"/>
        <v>51636</v>
      </c>
      <c r="AC24">
        <f t="shared" si="14"/>
        <v>53193</v>
      </c>
      <c r="AD24">
        <f t="shared" si="14"/>
        <v>59089</v>
      </c>
      <c r="AE24">
        <f t="shared" si="14"/>
        <v>56938</v>
      </c>
      <c r="AF24">
        <f t="shared" si="14"/>
        <v>52983.5</v>
      </c>
      <c r="AG24">
        <f t="shared" si="14"/>
        <v>52986.5</v>
      </c>
    </row>
    <row r="25" spans="1:33" x14ac:dyDescent="0.25">
      <c r="B25" s="3" t="s">
        <v>116</v>
      </c>
      <c r="C25">
        <f>C11+C16+C13+C20+C18</f>
        <v>18384.624925631415</v>
      </c>
      <c r="D25">
        <f t="shared" ref="D25:AG25" si="15">D11+D16+D13+D20+D18</f>
        <v>18514.814143504096</v>
      </c>
      <c r="E25">
        <f t="shared" si="15"/>
        <v>18659.197373085204</v>
      </c>
      <c r="F25">
        <f t="shared" si="15"/>
        <v>18818.539707971839</v>
      </c>
      <c r="G25">
        <f t="shared" si="15"/>
        <v>18993.64748226654</v>
      </c>
      <c r="H25">
        <f t="shared" si="15"/>
        <v>19185.370493545513</v>
      </c>
      <c r="I25">
        <f t="shared" si="15"/>
        <v>19394.60434565186</v>
      </c>
      <c r="J25">
        <f t="shared" si="15"/>
        <v>19622.292917770399</v>
      </c>
      <c r="K25">
        <f t="shared" si="15"/>
        <v>19869.430966592045</v>
      </c>
      <c r="L25">
        <f t="shared" si="15"/>
        <v>20137.06686874228</v>
      </c>
      <c r="M25">
        <f t="shared" si="15"/>
        <v>20426.305511032733</v>
      </c>
      <c r="N25">
        <f t="shared" si="15"/>
        <v>20738.311336504659</v>
      </c>
      <c r="O25">
        <f t="shared" si="15"/>
        <v>17926.933554662959</v>
      </c>
      <c r="P25">
        <f t="shared" si="15"/>
        <v>20246.032524749084</v>
      </c>
      <c r="Q25">
        <f t="shared" si="15"/>
        <v>23978.691999999999</v>
      </c>
      <c r="R25">
        <f t="shared" si="15"/>
        <v>26059.364999999998</v>
      </c>
      <c r="S25">
        <f t="shared" si="15"/>
        <v>27569.038</v>
      </c>
      <c r="T25">
        <f t="shared" si="15"/>
        <v>20929.710999999999</v>
      </c>
      <c r="U25">
        <f t="shared" si="15"/>
        <v>15558.384000000002</v>
      </c>
      <c r="V25">
        <f t="shared" si="15"/>
        <v>20270.057000000004</v>
      </c>
      <c r="W25">
        <f t="shared" si="15"/>
        <v>18848</v>
      </c>
      <c r="X25">
        <f t="shared" si="15"/>
        <v>22438</v>
      </c>
      <c r="Y25">
        <f t="shared" si="15"/>
        <v>21539</v>
      </c>
      <c r="Z25">
        <f t="shared" si="15"/>
        <v>14177</v>
      </c>
      <c r="AA25">
        <f t="shared" si="15"/>
        <v>29743</v>
      </c>
      <c r="AB25">
        <f t="shared" si="15"/>
        <v>27781</v>
      </c>
      <c r="AC25">
        <f t="shared" si="15"/>
        <v>27725</v>
      </c>
      <c r="AD25">
        <f t="shared" si="15"/>
        <v>33521</v>
      </c>
      <c r="AE25">
        <f t="shared" si="15"/>
        <v>33878</v>
      </c>
      <c r="AF25">
        <f t="shared" si="15"/>
        <v>30210</v>
      </c>
      <c r="AG25">
        <f t="shared" si="15"/>
        <v>31026</v>
      </c>
    </row>
    <row r="26" spans="1:33" x14ac:dyDescent="0.25">
      <c r="B26" t="s">
        <v>117</v>
      </c>
      <c r="C26">
        <f>C24-C25</f>
        <v>30134.482</v>
      </c>
      <c r="D26">
        <f t="shared" ref="D26:AG26" si="16">D24-D25</f>
        <v>29885.033799999997</v>
      </c>
      <c r="E26">
        <f t="shared" si="16"/>
        <v>29635.585599999977</v>
      </c>
      <c r="F26">
        <f t="shared" si="16"/>
        <v>29386.137399999992</v>
      </c>
      <c r="G26">
        <f t="shared" si="16"/>
        <v>29136.689200000015</v>
      </c>
      <c r="H26">
        <f t="shared" si="16"/>
        <v>28887.241000000005</v>
      </c>
      <c r="I26">
        <f t="shared" si="16"/>
        <v>28637.792799999996</v>
      </c>
      <c r="J26">
        <f t="shared" si="16"/>
        <v>28388.344599999989</v>
      </c>
      <c r="K26">
        <f t="shared" si="16"/>
        <v>28138.896399999998</v>
      </c>
      <c r="L26">
        <f t="shared" si="16"/>
        <v>27889.448200000021</v>
      </c>
      <c r="M26">
        <f t="shared" si="16"/>
        <v>27640</v>
      </c>
      <c r="N26">
        <f t="shared" si="16"/>
        <v>27390.551800000001</v>
      </c>
      <c r="O26">
        <f t="shared" si="16"/>
        <v>29975.275599999994</v>
      </c>
      <c r="P26">
        <f t="shared" si="16"/>
        <v>26318.483999999997</v>
      </c>
      <c r="Q26">
        <f t="shared" si="16"/>
        <v>27325.011999999984</v>
      </c>
      <c r="R26">
        <f t="shared" si="16"/>
        <v>25213.54</v>
      </c>
      <c r="S26">
        <f t="shared" si="16"/>
        <v>27750.067999999992</v>
      </c>
      <c r="T26">
        <f t="shared" si="16"/>
        <v>27038.295999999998</v>
      </c>
      <c r="U26">
        <f t="shared" si="16"/>
        <v>25091.600000000002</v>
      </c>
      <c r="V26">
        <f t="shared" si="16"/>
        <v>24393.8</v>
      </c>
      <c r="W26">
        <f t="shared" si="16"/>
        <v>21467</v>
      </c>
      <c r="X26">
        <f t="shared" si="16"/>
        <v>22059</v>
      </c>
      <c r="Y26">
        <f t="shared" si="16"/>
        <v>21446</v>
      </c>
      <c r="Z26">
        <f t="shared" si="16"/>
        <v>20537</v>
      </c>
      <c r="AA26">
        <f t="shared" si="16"/>
        <v>24991</v>
      </c>
      <c r="AB26">
        <f t="shared" si="16"/>
        <v>23855</v>
      </c>
      <c r="AC26">
        <f t="shared" si="16"/>
        <v>25468</v>
      </c>
      <c r="AD26">
        <f t="shared" si="16"/>
        <v>25568</v>
      </c>
      <c r="AE26">
        <f t="shared" si="16"/>
        <v>23060</v>
      </c>
      <c r="AF26">
        <f t="shared" si="16"/>
        <v>22773.5</v>
      </c>
      <c r="AG26">
        <f t="shared" si="16"/>
        <v>21960.5</v>
      </c>
    </row>
    <row r="27" spans="1:33" x14ac:dyDescent="0.25">
      <c r="B27" s="21" t="s">
        <v>118</v>
      </c>
    </row>
    <row r="28" spans="1:33" x14ac:dyDescent="0.25">
      <c r="A28" t="s">
        <v>32</v>
      </c>
    </row>
    <row r="29" spans="1:33" x14ac:dyDescent="0.25">
      <c r="A29" t="s">
        <v>22</v>
      </c>
      <c r="B29" t="s">
        <v>33</v>
      </c>
    </row>
    <row r="30" spans="1:33" x14ac:dyDescent="0.25">
      <c r="A30" t="s">
        <v>36</v>
      </c>
      <c r="B30" t="s">
        <v>37</v>
      </c>
    </row>
    <row r="31" spans="1:33" x14ac:dyDescent="0.25">
      <c r="A31" t="s">
        <v>99</v>
      </c>
      <c r="B31" t="s">
        <v>100</v>
      </c>
    </row>
    <row r="32" spans="1:33" x14ac:dyDescent="0.25">
      <c r="A32" t="s">
        <v>38</v>
      </c>
      <c r="B32" t="s">
        <v>39</v>
      </c>
    </row>
    <row r="34" spans="1:2" x14ac:dyDescent="0.25">
      <c r="A34" t="s">
        <v>51</v>
      </c>
    </row>
    <row r="35" spans="1:2" x14ac:dyDescent="0.25">
      <c r="A35">
        <v>1</v>
      </c>
      <c r="B35" t="s">
        <v>101</v>
      </c>
    </row>
    <row r="36" spans="1:2" x14ac:dyDescent="0.25">
      <c r="A36">
        <v>2</v>
      </c>
      <c r="B36" t="s">
        <v>102</v>
      </c>
    </row>
    <row r="37" spans="1:2" ht="105" x14ac:dyDescent="0.25">
      <c r="A37">
        <v>3</v>
      </c>
      <c r="B37" s="20" t="s">
        <v>103</v>
      </c>
    </row>
    <row r="38" spans="1:2" x14ac:dyDescent="0.25">
      <c r="A38">
        <v>4</v>
      </c>
      <c r="B38" t="s">
        <v>104</v>
      </c>
    </row>
    <row r="39" spans="1:2" x14ac:dyDescent="0.25">
      <c r="A39">
        <v>5</v>
      </c>
      <c r="B39" t="s">
        <v>105</v>
      </c>
    </row>
    <row r="40" spans="1:2" x14ac:dyDescent="0.25">
      <c r="A40">
        <v>6</v>
      </c>
      <c r="B40" t="s">
        <v>106</v>
      </c>
    </row>
    <row r="41" spans="1:2" x14ac:dyDescent="0.25">
      <c r="A41">
        <v>7</v>
      </c>
      <c r="B41" t="s">
        <v>107</v>
      </c>
    </row>
    <row r="42" spans="1:2" x14ac:dyDescent="0.25">
      <c r="A42">
        <v>8</v>
      </c>
      <c r="B42" t="s">
        <v>108</v>
      </c>
    </row>
    <row r="43" spans="1:2" x14ac:dyDescent="0.25">
      <c r="A43">
        <v>9</v>
      </c>
      <c r="B43" t="s">
        <v>109</v>
      </c>
    </row>
    <row r="44" spans="1:2" x14ac:dyDescent="0.25">
      <c r="A44">
        <v>10</v>
      </c>
      <c r="B44" t="s">
        <v>110</v>
      </c>
    </row>
    <row r="46" spans="1:2" x14ac:dyDescent="0.25">
      <c r="A46" t="s">
        <v>111</v>
      </c>
    </row>
    <row r="47" spans="1:2" x14ac:dyDescent="0.25">
      <c r="A47" t="s">
        <v>112</v>
      </c>
    </row>
    <row r="48" spans="1:2" x14ac:dyDescent="0.25">
      <c r="A48" t="s">
        <v>113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1C24D-0B46-4E2C-B1BC-C8A9FC70E77B}">
  <dimension ref="C2:Y48"/>
  <sheetViews>
    <sheetView topLeftCell="A22" zoomScale="84" workbookViewId="0">
      <selection activeCell="C40" sqref="C40"/>
    </sheetView>
  </sheetViews>
  <sheetFormatPr defaultRowHeight="15" x14ac:dyDescent="0.25"/>
  <cols>
    <col min="3" max="3" width="28.28515625" customWidth="1"/>
    <col min="4" max="4" width="11.140625" customWidth="1"/>
    <col min="5" max="6" width="18.42578125" customWidth="1"/>
    <col min="7" max="7" width="15" customWidth="1"/>
    <col min="8" max="8" width="18.7109375" customWidth="1"/>
    <col min="9" max="9" width="22.5703125" customWidth="1"/>
    <col min="10" max="10" width="13" customWidth="1"/>
    <col min="11" max="11" width="11.5703125" customWidth="1"/>
    <col min="12" max="12" width="14.42578125" customWidth="1"/>
    <col min="13" max="13" width="12.7109375" customWidth="1"/>
    <col min="14" max="14" width="12.140625" customWidth="1"/>
    <col min="15" max="15" width="10.5703125" customWidth="1"/>
    <col min="16" max="16" width="12.5703125" customWidth="1"/>
    <col min="17" max="17" width="11.5703125" customWidth="1"/>
    <col min="18" max="18" width="14.28515625" customWidth="1"/>
    <col min="21" max="21" width="11.5703125" customWidth="1"/>
    <col min="22" max="22" width="12.140625" customWidth="1"/>
    <col min="23" max="23" width="15.7109375" customWidth="1"/>
    <col min="24" max="24" width="13.7109375" customWidth="1"/>
  </cols>
  <sheetData>
    <row r="2" spans="3:19" x14ac:dyDescent="0.25">
      <c r="C2" s="21" t="s">
        <v>133</v>
      </c>
    </row>
    <row r="3" spans="3:19" ht="30" x14ac:dyDescent="0.25">
      <c r="C3" t="s">
        <v>125</v>
      </c>
      <c r="J3" s="11"/>
      <c r="K3" s="22" t="s">
        <v>126</v>
      </c>
      <c r="L3" s="22"/>
      <c r="M3" s="22"/>
      <c r="N3" s="27"/>
      <c r="O3" s="27"/>
      <c r="P3" s="23"/>
      <c r="Q3" s="22"/>
      <c r="R3" s="24"/>
    </row>
    <row r="4" spans="3:19" x14ac:dyDescent="0.25">
      <c r="C4" s="37"/>
      <c r="D4" s="6" t="s">
        <v>124</v>
      </c>
      <c r="E4" s="6" t="s">
        <v>122</v>
      </c>
      <c r="F4" s="6" t="s">
        <v>18</v>
      </c>
      <c r="G4" s="6" t="s">
        <v>123</v>
      </c>
      <c r="H4" s="6" t="s">
        <v>132</v>
      </c>
      <c r="I4" s="7" t="s">
        <v>134</v>
      </c>
      <c r="J4" s="11"/>
      <c r="K4" s="38"/>
      <c r="L4" s="6" t="s">
        <v>124</v>
      </c>
      <c r="M4" s="6" t="s">
        <v>18</v>
      </c>
      <c r="N4" s="6" t="s">
        <v>127</v>
      </c>
      <c r="O4" s="6" t="s">
        <v>128</v>
      </c>
      <c r="P4" s="6" t="s">
        <v>129</v>
      </c>
      <c r="Q4" s="6" t="s">
        <v>130</v>
      </c>
      <c r="R4" s="7" t="s">
        <v>131</v>
      </c>
      <c r="S4" s="11"/>
    </row>
    <row r="5" spans="3:19" x14ac:dyDescent="0.25">
      <c r="C5" s="32">
        <v>1999</v>
      </c>
      <c r="D5" s="26">
        <v>3848374</v>
      </c>
      <c r="E5" s="26">
        <v>2567214</v>
      </c>
      <c r="F5" s="26">
        <v>2322307</v>
      </c>
      <c r="G5" s="26">
        <v>809543</v>
      </c>
      <c r="H5" s="26">
        <v>471617</v>
      </c>
      <c r="I5" s="3">
        <f>F5/E5</f>
        <v>0.904602031618712</v>
      </c>
      <c r="J5" s="11"/>
      <c r="K5" s="32">
        <v>1999</v>
      </c>
      <c r="L5" s="26">
        <v>18771402</v>
      </c>
      <c r="M5" s="26">
        <v>2135335</v>
      </c>
      <c r="N5" s="26">
        <v>4096070</v>
      </c>
      <c r="O5" s="26">
        <v>319593</v>
      </c>
      <c r="P5" s="26">
        <f>SUM(M5:O5)</f>
        <v>6550998</v>
      </c>
      <c r="Q5" s="26">
        <v>4157888</v>
      </c>
      <c r="R5" s="29">
        <v>8062516</v>
      </c>
      <c r="S5" s="30"/>
    </row>
    <row r="6" spans="3:19" x14ac:dyDescent="0.25">
      <c r="C6" s="32">
        <v>2000</v>
      </c>
      <c r="D6" s="26">
        <v>3750399</v>
      </c>
      <c r="E6" s="26">
        <v>2533696</v>
      </c>
      <c r="F6" s="26">
        <v>2334903</v>
      </c>
      <c r="G6" s="26">
        <v>764373</v>
      </c>
      <c r="H6" s="26">
        <v>452330</v>
      </c>
      <c r="I6" s="3">
        <f t="shared" ref="I6:I16" si="0">F6/E6</f>
        <v>0.92154031107125711</v>
      </c>
      <c r="J6" s="11"/>
      <c r="K6" s="32">
        <v>2000</v>
      </c>
      <c r="L6" s="26">
        <v>19484817</v>
      </c>
      <c r="M6" s="26">
        <v>2091472</v>
      </c>
      <c r="N6" s="26">
        <v>4846214</v>
      </c>
      <c r="O6" s="26">
        <v>346356</v>
      </c>
      <c r="P6" s="26">
        <f t="shared" ref="P6:P10" si="1">SUM(M6:O6)</f>
        <v>7284042</v>
      </c>
      <c r="Q6" s="26">
        <v>4039243</v>
      </c>
      <c r="R6" s="29">
        <v>8161532</v>
      </c>
      <c r="S6" s="28"/>
    </row>
    <row r="7" spans="3:19" x14ac:dyDescent="0.25">
      <c r="C7" s="32">
        <v>2001</v>
      </c>
      <c r="D7" s="26">
        <v>3693240</v>
      </c>
      <c r="E7" s="26">
        <v>2553514</v>
      </c>
      <c r="F7" s="26">
        <v>2342002</v>
      </c>
      <c r="G7" s="26">
        <v>699416</v>
      </c>
      <c r="H7" s="26">
        <v>440310</v>
      </c>
      <c r="I7" s="3">
        <f t="shared" si="0"/>
        <v>0.91716826302890841</v>
      </c>
      <c r="J7" s="11"/>
      <c r="K7" s="32">
        <v>2001</v>
      </c>
      <c r="L7" s="26">
        <v>20541855</v>
      </c>
      <c r="M7" s="26">
        <v>2218087</v>
      </c>
      <c r="N7" s="26">
        <v>5187826</v>
      </c>
      <c r="O7" s="26">
        <v>451171</v>
      </c>
      <c r="P7" s="26">
        <f t="shared" si="1"/>
        <v>7857084</v>
      </c>
      <c r="Q7" s="26">
        <v>4256837</v>
      </c>
      <c r="R7" s="29">
        <v>8427934</v>
      </c>
      <c r="S7" s="28"/>
    </row>
    <row r="8" spans="3:19" x14ac:dyDescent="0.25">
      <c r="C8" s="32">
        <v>2002</v>
      </c>
      <c r="D8" s="26">
        <v>3749650</v>
      </c>
      <c r="E8" s="26">
        <v>2593829</v>
      </c>
      <c r="F8" s="26">
        <v>2367910</v>
      </c>
      <c r="G8" s="26">
        <v>707981</v>
      </c>
      <c r="H8" s="26">
        <v>447840</v>
      </c>
      <c r="I8" s="3">
        <f t="shared" si="0"/>
        <v>0.9129013516311214</v>
      </c>
      <c r="K8" s="32">
        <v>2002</v>
      </c>
      <c r="L8" s="26">
        <v>21978971</v>
      </c>
      <c r="M8" s="26">
        <v>2587197</v>
      </c>
      <c r="N8" s="26">
        <v>5555179</v>
      </c>
      <c r="O8" s="26">
        <v>504683</v>
      </c>
      <c r="P8" s="26">
        <f t="shared" si="1"/>
        <v>8647059</v>
      </c>
      <c r="Q8" s="26">
        <v>4620615</v>
      </c>
      <c r="R8" s="29">
        <v>8711297</v>
      </c>
      <c r="S8" s="28"/>
    </row>
    <row r="9" spans="3:19" x14ac:dyDescent="0.25">
      <c r="C9" s="32">
        <v>2003</v>
      </c>
      <c r="D9" s="26">
        <v>3435781</v>
      </c>
      <c r="E9" s="26">
        <v>2271942</v>
      </c>
      <c r="F9" s="26">
        <v>2071455</v>
      </c>
      <c r="G9" s="26">
        <v>729137</v>
      </c>
      <c r="H9" s="26">
        <v>434702</v>
      </c>
      <c r="I9" s="3">
        <f t="shared" si="0"/>
        <v>0.91175522966695455</v>
      </c>
      <c r="K9" s="32">
        <v>2003</v>
      </c>
      <c r="L9" s="26">
        <v>22288130</v>
      </c>
      <c r="M9" s="26">
        <v>2818608</v>
      </c>
      <c r="N9" s="26">
        <v>5502803</v>
      </c>
      <c r="O9" s="26">
        <v>512474</v>
      </c>
      <c r="P9" s="26">
        <f t="shared" si="1"/>
        <v>8833885</v>
      </c>
      <c r="Q9" s="26">
        <v>4757630</v>
      </c>
      <c r="R9" s="29">
        <v>8696615</v>
      </c>
      <c r="S9" s="28"/>
    </row>
    <row r="10" spans="3:19" x14ac:dyDescent="0.25">
      <c r="C10" s="32">
        <v>2004</v>
      </c>
      <c r="D10" s="26">
        <v>4334220</v>
      </c>
      <c r="E10" s="26">
        <v>2923833</v>
      </c>
      <c r="F10" s="26">
        <v>2648341</v>
      </c>
      <c r="G10" s="26">
        <v>863668</v>
      </c>
      <c r="H10" s="26">
        <v>546719</v>
      </c>
      <c r="I10" s="3">
        <f t="shared" si="0"/>
        <v>0.90577710833689884</v>
      </c>
      <c r="J10" s="25"/>
      <c r="K10" s="32">
        <v>2004</v>
      </c>
      <c r="L10" s="26">
        <v>22701314</v>
      </c>
      <c r="M10" s="26">
        <v>3008995</v>
      </c>
      <c r="N10" s="26">
        <v>5505254</v>
      </c>
      <c r="O10" s="26">
        <v>521714</v>
      </c>
      <c r="P10" s="26">
        <f t="shared" si="1"/>
        <v>9035963</v>
      </c>
      <c r="Q10" s="26">
        <v>4664010</v>
      </c>
      <c r="R10" s="29">
        <v>9001341</v>
      </c>
      <c r="S10" s="28"/>
    </row>
    <row r="11" spans="3:19" x14ac:dyDescent="0.25">
      <c r="C11" s="32">
        <v>2005</v>
      </c>
      <c r="D11" s="26">
        <v>4276557</v>
      </c>
      <c r="E11" s="26">
        <v>2845993</v>
      </c>
      <c r="F11" s="26">
        <v>2462980</v>
      </c>
      <c r="G11" s="26">
        <v>852604</v>
      </c>
      <c r="H11" s="26">
        <v>577960</v>
      </c>
      <c r="I11" s="3">
        <f t="shared" si="0"/>
        <v>0.86542025929086963</v>
      </c>
      <c r="K11" s="32">
        <v>2005</v>
      </c>
      <c r="L11" s="26">
        <v>22158939</v>
      </c>
      <c r="M11" s="26">
        <v>3122270</v>
      </c>
      <c r="N11" s="26">
        <v>5393054</v>
      </c>
      <c r="O11" s="26">
        <v>503404</v>
      </c>
      <c r="P11" s="26">
        <v>9018728</v>
      </c>
      <c r="Q11" s="26">
        <v>4602168</v>
      </c>
      <c r="R11" s="29">
        <v>8538043</v>
      </c>
    </row>
    <row r="12" spans="3:19" ht="14.25" customHeight="1" x14ac:dyDescent="0.25">
      <c r="C12" s="32">
        <v>2006</v>
      </c>
      <c r="D12" s="26">
        <v>3864793</v>
      </c>
      <c r="E12" s="26">
        <v>2478648</v>
      </c>
      <c r="F12" s="26">
        <v>2151811</v>
      </c>
      <c r="G12" s="26">
        <v>844066</v>
      </c>
      <c r="H12" s="26">
        <v>542079</v>
      </c>
      <c r="I12" s="3">
        <f t="shared" si="0"/>
        <v>0.86813900158473489</v>
      </c>
      <c r="K12" s="32">
        <v>2006</v>
      </c>
      <c r="L12" s="26">
        <v>21619564</v>
      </c>
      <c r="M12" s="26">
        <v>3241863</v>
      </c>
      <c r="N12" s="26">
        <v>5137169</v>
      </c>
      <c r="O12" s="26">
        <v>488843</v>
      </c>
      <c r="P12" s="26">
        <v>8867875</v>
      </c>
      <c r="Q12" s="26">
        <v>4513639</v>
      </c>
      <c r="R12" s="29">
        <v>8238050</v>
      </c>
    </row>
    <row r="13" spans="3:19" x14ac:dyDescent="0.25">
      <c r="C13" s="32">
        <v>2007</v>
      </c>
      <c r="D13" s="26">
        <v>3795838</v>
      </c>
      <c r="E13" s="26">
        <v>2465054</v>
      </c>
      <c r="F13" s="26">
        <v>2200258</v>
      </c>
      <c r="G13" s="26">
        <v>763817</v>
      </c>
      <c r="H13" s="26">
        <v>566967</v>
      </c>
      <c r="I13" s="3">
        <f t="shared" si="0"/>
        <v>0.89258004084291864</v>
      </c>
      <c r="K13" s="32">
        <v>2007</v>
      </c>
      <c r="L13" s="26">
        <v>21078354</v>
      </c>
      <c r="M13" s="26">
        <v>2934702</v>
      </c>
      <c r="N13" s="26">
        <v>4745023</v>
      </c>
      <c r="O13" s="26">
        <v>494856</v>
      </c>
      <c r="P13" s="26">
        <v>8174581</v>
      </c>
      <c r="Q13" s="26">
        <v>4799704</v>
      </c>
      <c r="R13" s="29">
        <v>8104069</v>
      </c>
    </row>
    <row r="14" spans="3:19" x14ac:dyDescent="0.25">
      <c r="C14" s="32">
        <v>2008</v>
      </c>
      <c r="D14" s="26">
        <v>3792242</v>
      </c>
      <c r="E14" s="26">
        <v>2587956</v>
      </c>
      <c r="F14" s="26">
        <v>2303532</v>
      </c>
      <c r="G14" s="26">
        <v>724753</v>
      </c>
      <c r="H14" s="26">
        <v>479533</v>
      </c>
      <c r="I14" s="3">
        <f t="shared" si="0"/>
        <v>0.89009704956343927</v>
      </c>
      <c r="K14" s="32">
        <v>2008</v>
      </c>
      <c r="L14" s="26">
        <v>21519392</v>
      </c>
      <c r="M14" s="26">
        <v>2701366</v>
      </c>
      <c r="N14" s="26">
        <v>4855220</v>
      </c>
      <c r="O14" s="26">
        <v>523003</v>
      </c>
      <c r="P14" s="26">
        <v>8079589</v>
      </c>
      <c r="Q14" s="26">
        <v>5122047</v>
      </c>
      <c r="R14" s="29">
        <v>8317756</v>
      </c>
    </row>
    <row r="15" spans="3:19" x14ac:dyDescent="0.25">
      <c r="C15" s="32">
        <v>2009</v>
      </c>
      <c r="D15" s="26">
        <v>3650287</v>
      </c>
      <c r="E15" s="26">
        <v>2512172</v>
      </c>
      <c r="F15" s="26">
        <v>2396065</v>
      </c>
      <c r="G15" s="26">
        <v>698138</v>
      </c>
      <c r="H15" s="26">
        <v>439977</v>
      </c>
      <c r="I15" s="3">
        <f t="shared" si="0"/>
        <v>0.95378222510242128</v>
      </c>
      <c r="K15" s="32">
        <v>2009</v>
      </c>
      <c r="L15" s="26">
        <v>21639122</v>
      </c>
      <c r="M15" s="26">
        <v>2599175</v>
      </c>
      <c r="N15" s="26">
        <v>5281888</v>
      </c>
      <c r="O15" s="26">
        <v>500035</v>
      </c>
      <c r="P15" s="26">
        <v>8381098</v>
      </c>
      <c r="Q15" s="26">
        <v>4949398</v>
      </c>
      <c r="R15" s="29">
        <v>8308626</v>
      </c>
    </row>
    <row r="16" spans="3:19" x14ac:dyDescent="0.25">
      <c r="C16" s="32">
        <v>2010</v>
      </c>
      <c r="D16" s="26">
        <v>3694979</v>
      </c>
      <c r="E16" s="26">
        <v>2519028</v>
      </c>
      <c r="F16" s="26">
        <v>2471063</v>
      </c>
      <c r="G16" s="26">
        <v>726651</v>
      </c>
      <c r="H16" s="26">
        <v>449300</v>
      </c>
      <c r="I16" s="3">
        <f t="shared" si="0"/>
        <v>0.98095892542679164</v>
      </c>
      <c r="K16" s="32">
        <v>2010</v>
      </c>
      <c r="L16" s="26">
        <v>21123052</v>
      </c>
      <c r="M16" s="26">
        <v>2662056</v>
      </c>
      <c r="N16" s="26">
        <v>5356151</v>
      </c>
      <c r="O16" s="26">
        <v>499317</v>
      </c>
      <c r="P16" s="26">
        <v>8517524</v>
      </c>
      <c r="Q16" s="26">
        <v>4432312</v>
      </c>
      <c r="R16" s="29">
        <v>8173216</v>
      </c>
    </row>
    <row r="17" spans="3:24" x14ac:dyDescent="0.25">
      <c r="C17" s="32">
        <v>2011</v>
      </c>
      <c r="D17" s="26">
        <v>3345786</v>
      </c>
      <c r="E17" s="26">
        <v>2211271</v>
      </c>
      <c r="F17" s="39">
        <f>I17*E17</f>
        <v>2046687.3927091865</v>
      </c>
      <c r="G17" s="26">
        <v>705487</v>
      </c>
      <c r="H17" s="26">
        <v>429028</v>
      </c>
      <c r="I17" s="41">
        <f>_xlfn.FORECAST.LINEAR(C17,$I$5:$I$16,$C$5:$C$16)</f>
        <v>0.92557058483975352</v>
      </c>
      <c r="K17" s="32">
        <v>2011</v>
      </c>
      <c r="L17" s="26">
        <v>21097518</v>
      </c>
      <c r="M17" s="26">
        <v>2507035</v>
      </c>
      <c r="N17" s="26">
        <v>5569738</v>
      </c>
      <c r="O17" s="26">
        <v>490521</v>
      </c>
      <c r="P17" s="26">
        <v>8567294</v>
      </c>
      <c r="Q17" s="26">
        <v>4451554</v>
      </c>
      <c r="R17" s="29">
        <v>8078670</v>
      </c>
    </row>
    <row r="18" spans="3:24" x14ac:dyDescent="0.25">
      <c r="C18" s="32">
        <v>2012</v>
      </c>
      <c r="D18" s="26">
        <v>3059962</v>
      </c>
      <c r="E18" s="26">
        <v>2015877</v>
      </c>
      <c r="F18" s="39">
        <f t="shared" ref="F18:F25" si="2">AVERAGE($I$5:$I$16)*E18</f>
        <v>1835241.2835253035</v>
      </c>
      <c r="G18" s="26">
        <v>711001</v>
      </c>
      <c r="H18" s="26">
        <v>333084</v>
      </c>
      <c r="I18" s="41">
        <f t="shared" ref="I18:I25" si="3">_xlfn.FORECAST.LINEAR(C18,$I$5:$I$16,$C$5:$C$16)</f>
        <v>0.92790552356939449</v>
      </c>
      <c r="K18" s="32">
        <v>2012</v>
      </c>
      <c r="L18" s="26">
        <v>21120505</v>
      </c>
      <c r="M18" s="26">
        <v>2406048</v>
      </c>
      <c r="N18" s="26">
        <v>5784752</v>
      </c>
      <c r="O18" s="26">
        <v>484602</v>
      </c>
      <c r="P18" s="26">
        <v>8675402</v>
      </c>
      <c r="Q18" s="26">
        <v>4430997</v>
      </c>
      <c r="R18" s="29">
        <v>8014106</v>
      </c>
    </row>
    <row r="19" spans="3:24" x14ac:dyDescent="0.25">
      <c r="C19" s="32">
        <v>2013</v>
      </c>
      <c r="D19" s="26">
        <v>3015832</v>
      </c>
      <c r="E19" s="26">
        <v>2035537</v>
      </c>
      <c r="F19" s="39">
        <f t="shared" si="2"/>
        <v>1853139.6194029923</v>
      </c>
      <c r="G19" s="26">
        <v>711012</v>
      </c>
      <c r="H19" s="26">
        <v>269283</v>
      </c>
      <c r="I19" s="41">
        <f t="shared" si="3"/>
        <v>0.93024046229903545</v>
      </c>
      <c r="K19" s="32">
        <v>2013</v>
      </c>
      <c r="L19" s="26">
        <v>20758902</v>
      </c>
      <c r="M19" s="26">
        <v>2358033</v>
      </c>
      <c r="N19" s="26">
        <v>5675383</v>
      </c>
      <c r="O19" s="26">
        <v>472952</v>
      </c>
      <c r="P19" s="26">
        <v>8506368</v>
      </c>
      <c r="Q19" s="26">
        <v>4232823</v>
      </c>
      <c r="R19" s="29">
        <v>8019711</v>
      </c>
    </row>
    <row r="20" spans="3:24" x14ac:dyDescent="0.25">
      <c r="C20" s="32">
        <v>2014</v>
      </c>
      <c r="D20" s="26">
        <v>3083446</v>
      </c>
      <c r="E20" s="26">
        <v>2122774</v>
      </c>
      <c r="F20" s="39">
        <f t="shared" si="2"/>
        <v>1932559.6156879328</v>
      </c>
      <c r="G20" s="26">
        <v>700343</v>
      </c>
      <c r="H20" s="26">
        <v>260329</v>
      </c>
      <c r="I20" s="41">
        <f t="shared" si="3"/>
        <v>0.93257540102867642</v>
      </c>
      <c r="K20" s="32">
        <v>2014</v>
      </c>
      <c r="L20" s="26">
        <v>20335730</v>
      </c>
      <c r="M20" s="26">
        <v>2509468</v>
      </c>
      <c r="N20" s="26">
        <v>5345215</v>
      </c>
      <c r="O20" s="26">
        <v>493772</v>
      </c>
      <c r="P20" s="26">
        <v>8348455</v>
      </c>
      <c r="Q20" s="26">
        <v>4021926</v>
      </c>
      <c r="R20" s="29">
        <v>7965349</v>
      </c>
    </row>
    <row r="21" spans="3:24" x14ac:dyDescent="0.25">
      <c r="C21" s="32">
        <v>2015</v>
      </c>
      <c r="D21" s="26">
        <v>2897779</v>
      </c>
      <c r="E21" s="26">
        <v>2013571</v>
      </c>
      <c r="F21" s="39">
        <f t="shared" si="2"/>
        <v>1833141.9161532817</v>
      </c>
      <c r="G21" s="26">
        <v>643427</v>
      </c>
      <c r="H21" s="26">
        <v>240781</v>
      </c>
      <c r="I21" s="41">
        <f t="shared" si="3"/>
        <v>0.93491033975831739</v>
      </c>
      <c r="K21" s="32">
        <v>2015</v>
      </c>
      <c r="L21" s="26">
        <v>21186243</v>
      </c>
      <c r="M21" s="26">
        <v>2673257</v>
      </c>
      <c r="N21" s="26">
        <v>5628842</v>
      </c>
      <c r="O21" s="26">
        <v>504124</v>
      </c>
      <c r="P21" s="26">
        <v>8806223</v>
      </c>
      <c r="Q21" s="26">
        <v>4017084</v>
      </c>
      <c r="R21" s="29">
        <v>8362936</v>
      </c>
    </row>
    <row r="22" spans="3:24" x14ac:dyDescent="0.25">
      <c r="C22" s="32">
        <v>2016</v>
      </c>
      <c r="D22" s="26">
        <v>3039426</v>
      </c>
      <c r="E22" s="26">
        <v>2113779</v>
      </c>
      <c r="F22" s="39">
        <f t="shared" si="2"/>
        <v>1924370.6263074744</v>
      </c>
      <c r="G22" s="26">
        <v>672629</v>
      </c>
      <c r="H22" s="26">
        <v>253018</v>
      </c>
      <c r="I22" s="41">
        <f t="shared" si="3"/>
        <v>0.93724527848795924</v>
      </c>
      <c r="K22" s="32">
        <v>2016</v>
      </c>
      <c r="L22" s="26">
        <v>21261873</v>
      </c>
      <c r="M22" s="26">
        <v>2619485</v>
      </c>
      <c r="N22" s="26">
        <v>5634536</v>
      </c>
      <c r="O22" s="26">
        <v>525668</v>
      </c>
      <c r="P22" s="26">
        <v>8779689</v>
      </c>
      <c r="Q22" s="26">
        <v>4008961</v>
      </c>
      <c r="R22" s="29">
        <v>8473223</v>
      </c>
    </row>
    <row r="23" spans="3:24" x14ac:dyDescent="0.25">
      <c r="C23" s="32">
        <v>2017</v>
      </c>
      <c r="D23" s="26">
        <v>3221013</v>
      </c>
      <c r="E23" s="26">
        <v>2260844</v>
      </c>
      <c r="F23" s="39">
        <f t="shared" si="2"/>
        <v>2058257.6438991474</v>
      </c>
      <c r="G23" s="26">
        <v>700152</v>
      </c>
      <c r="H23" s="26">
        <v>260017</v>
      </c>
      <c r="I23" s="41">
        <f t="shared" si="3"/>
        <v>0.93958021721760021</v>
      </c>
      <c r="K23" s="33" t="s">
        <v>121</v>
      </c>
      <c r="L23" s="26">
        <v>21595442</v>
      </c>
      <c r="M23" s="26">
        <v>2597476</v>
      </c>
      <c r="N23" s="26">
        <v>5742509</v>
      </c>
      <c r="O23" s="26">
        <v>519367</v>
      </c>
      <c r="P23" s="26">
        <v>8859352</v>
      </c>
      <c r="Q23" s="26">
        <v>4058447</v>
      </c>
      <c r="R23" s="29">
        <v>8677643</v>
      </c>
    </row>
    <row r="24" spans="3:24" x14ac:dyDescent="0.25">
      <c r="C24" s="33">
        <v>2018</v>
      </c>
      <c r="D24" s="26">
        <v>3389089</v>
      </c>
      <c r="E24" s="26">
        <v>2412587</v>
      </c>
      <c r="F24" s="39">
        <f t="shared" si="2"/>
        <v>2196403.4822047483</v>
      </c>
      <c r="G24" s="26">
        <v>720299</v>
      </c>
      <c r="H24" s="26">
        <v>256203</v>
      </c>
      <c r="I24" s="41">
        <f>_xlfn.FORECAST.LINEAR(C24,$I$5:$I$16,$C$5:$C$16)</f>
        <v>0.94191515594724118</v>
      </c>
      <c r="K24" s="33" t="s">
        <v>119</v>
      </c>
      <c r="L24" s="26">
        <v>21404799</v>
      </c>
      <c r="M24" s="26">
        <v>2510267</v>
      </c>
      <c r="N24" s="26">
        <v>5680367</v>
      </c>
      <c r="O24" s="26">
        <v>511040</v>
      </c>
      <c r="P24" s="26">
        <v>8701674</v>
      </c>
      <c r="Q24" s="26">
        <v>4119639</v>
      </c>
      <c r="R24" s="29">
        <v>8583486</v>
      </c>
    </row>
    <row r="25" spans="3:24" x14ac:dyDescent="0.25">
      <c r="C25" s="34">
        <v>2019</v>
      </c>
      <c r="D25" s="35">
        <v>3516237</v>
      </c>
      <c r="E25" s="35">
        <v>2543082</v>
      </c>
      <c r="F25" s="40">
        <f t="shared" si="2"/>
        <v>2315205.2797815027</v>
      </c>
      <c r="G25" s="35">
        <v>727927</v>
      </c>
      <c r="H25" s="35">
        <v>245228</v>
      </c>
      <c r="I25" s="41">
        <f t="shared" si="3"/>
        <v>0.94425009467688215</v>
      </c>
      <c r="K25" s="34" t="s">
        <v>120</v>
      </c>
      <c r="L25" s="35">
        <v>21678449</v>
      </c>
      <c r="M25" s="35">
        <v>2474210</v>
      </c>
      <c r="N25" s="35">
        <v>5853853</v>
      </c>
      <c r="O25" s="35">
        <v>498886</v>
      </c>
      <c r="P25" s="35">
        <v>8826949</v>
      </c>
      <c r="Q25" s="35">
        <v>4379092</v>
      </c>
      <c r="R25" s="36">
        <v>8472408</v>
      </c>
    </row>
    <row r="27" spans="3:24" x14ac:dyDescent="0.25">
      <c r="C27" t="s">
        <v>125</v>
      </c>
    </row>
    <row r="28" spans="3:24" x14ac:dyDescent="0.25">
      <c r="C28" s="6" cm="1">
        <f t="array" ref="C28:X34">TRANSPOSE(C4:I25)</f>
        <v>0</v>
      </c>
      <c r="D28" s="6">
        <v>1999</v>
      </c>
      <c r="E28" s="6">
        <v>2000</v>
      </c>
      <c r="F28" s="6">
        <v>2001</v>
      </c>
      <c r="G28" s="6">
        <v>2002</v>
      </c>
      <c r="H28" s="6">
        <v>2003</v>
      </c>
      <c r="I28" s="6">
        <v>2004</v>
      </c>
      <c r="J28" s="6">
        <v>2005</v>
      </c>
      <c r="K28" s="6">
        <v>2006</v>
      </c>
      <c r="L28" s="6">
        <v>2007</v>
      </c>
      <c r="M28" s="6">
        <v>2008</v>
      </c>
      <c r="N28" s="6">
        <v>2009</v>
      </c>
      <c r="O28" s="6">
        <v>2010</v>
      </c>
      <c r="P28" s="6">
        <v>2011</v>
      </c>
      <c r="Q28" s="6">
        <v>2012</v>
      </c>
      <c r="R28" s="6">
        <v>2013</v>
      </c>
      <c r="S28" s="6">
        <v>2014</v>
      </c>
      <c r="T28" s="6">
        <v>2015</v>
      </c>
      <c r="U28" s="6">
        <v>2016</v>
      </c>
      <c r="V28" s="6">
        <v>2017</v>
      </c>
      <c r="W28" s="6">
        <v>2018</v>
      </c>
      <c r="X28" s="6">
        <v>2019</v>
      </c>
    </row>
    <row r="29" spans="3:24" x14ac:dyDescent="0.25">
      <c r="C29" s="11" t="str">
        <v>Canada</v>
      </c>
      <c r="D29">
        <v>3848374</v>
      </c>
      <c r="E29">
        <v>3750399</v>
      </c>
      <c r="F29">
        <v>3693240</v>
      </c>
      <c r="G29">
        <v>3749650</v>
      </c>
      <c r="H29">
        <v>3435781</v>
      </c>
      <c r="I29">
        <v>4334220</v>
      </c>
      <c r="J29">
        <v>4276557</v>
      </c>
      <c r="K29">
        <v>3864793</v>
      </c>
      <c r="L29">
        <v>3795838</v>
      </c>
      <c r="M29">
        <v>3792242</v>
      </c>
      <c r="N29">
        <v>3650287</v>
      </c>
      <c r="O29">
        <v>3694979</v>
      </c>
      <c r="P29">
        <v>3345786</v>
      </c>
      <c r="Q29">
        <v>3059962</v>
      </c>
      <c r="R29">
        <v>3015832</v>
      </c>
      <c r="S29">
        <v>3083446</v>
      </c>
      <c r="T29">
        <v>2897779</v>
      </c>
      <c r="U29">
        <v>3039426</v>
      </c>
      <c r="V29">
        <v>3221013</v>
      </c>
      <c r="W29">
        <v>3389089</v>
      </c>
      <c r="X29">
        <v>3516237</v>
      </c>
    </row>
    <row r="30" spans="3:24" x14ac:dyDescent="0.25">
      <c r="C30" s="11" t="str">
        <v>Western Canada</v>
      </c>
      <c r="D30">
        <v>2567214</v>
      </c>
      <c r="E30">
        <v>2533696</v>
      </c>
      <c r="F30">
        <v>2553514</v>
      </c>
      <c r="G30">
        <v>2593829</v>
      </c>
      <c r="H30">
        <v>2271942</v>
      </c>
      <c r="I30">
        <v>2923833</v>
      </c>
      <c r="J30">
        <v>2845993</v>
      </c>
      <c r="K30">
        <v>2478648</v>
      </c>
      <c r="L30">
        <v>2465054</v>
      </c>
      <c r="M30">
        <v>2587956</v>
      </c>
      <c r="N30">
        <v>2512172</v>
      </c>
      <c r="O30">
        <v>2519028</v>
      </c>
      <c r="P30">
        <v>2211271</v>
      </c>
      <c r="Q30">
        <v>2015877</v>
      </c>
      <c r="R30">
        <v>2035537</v>
      </c>
      <c r="S30">
        <v>2122774</v>
      </c>
      <c r="T30">
        <v>2013571</v>
      </c>
      <c r="U30">
        <v>2113779</v>
      </c>
      <c r="V30">
        <v>2260844</v>
      </c>
      <c r="W30">
        <v>2412587</v>
      </c>
      <c r="X30">
        <v>2543082</v>
      </c>
    </row>
    <row r="31" spans="3:24" x14ac:dyDescent="0.25">
      <c r="C31" s="11" t="str">
        <v>Alberta</v>
      </c>
      <c r="D31">
        <v>2322307</v>
      </c>
      <c r="E31">
        <v>2334903</v>
      </c>
      <c r="F31">
        <v>2342002</v>
      </c>
      <c r="G31">
        <v>2367910</v>
      </c>
      <c r="H31">
        <v>2071455</v>
      </c>
      <c r="I31">
        <v>2648341</v>
      </c>
      <c r="J31">
        <v>2462980</v>
      </c>
      <c r="K31">
        <v>2151811</v>
      </c>
      <c r="L31">
        <v>2200258</v>
      </c>
      <c r="M31">
        <v>2303532</v>
      </c>
      <c r="N31">
        <v>2396065</v>
      </c>
      <c r="O31">
        <v>2471063</v>
      </c>
      <c r="P31">
        <v>2046687.3927091865</v>
      </c>
      <c r="Q31">
        <v>1835241.2835253035</v>
      </c>
      <c r="R31">
        <v>1853139.6194029923</v>
      </c>
      <c r="S31">
        <v>1932559.6156879328</v>
      </c>
      <c r="T31">
        <v>1833141.9161532817</v>
      </c>
      <c r="U31">
        <v>1924370.6263074744</v>
      </c>
      <c r="V31">
        <v>2058257.6438991474</v>
      </c>
      <c r="W31">
        <v>2196403.4822047483</v>
      </c>
      <c r="X31">
        <v>2315205.2797815027</v>
      </c>
    </row>
    <row r="32" spans="3:24" x14ac:dyDescent="0.25">
      <c r="C32" s="11" t="str">
        <v>Ontario</v>
      </c>
      <c r="D32">
        <v>809543</v>
      </c>
      <c r="E32">
        <v>764373</v>
      </c>
      <c r="F32">
        <v>699416</v>
      </c>
      <c r="G32">
        <v>707981</v>
      </c>
      <c r="H32">
        <v>729137</v>
      </c>
      <c r="I32">
        <v>863668</v>
      </c>
      <c r="J32">
        <v>852604</v>
      </c>
      <c r="K32">
        <v>844066</v>
      </c>
      <c r="L32">
        <v>763817</v>
      </c>
      <c r="M32">
        <v>724753</v>
      </c>
      <c r="N32">
        <v>698138</v>
      </c>
      <c r="O32">
        <v>726651</v>
      </c>
      <c r="P32">
        <v>705487</v>
      </c>
      <c r="Q32">
        <v>711001</v>
      </c>
      <c r="R32">
        <v>711012</v>
      </c>
      <c r="S32">
        <v>700343</v>
      </c>
      <c r="T32">
        <v>643427</v>
      </c>
      <c r="U32">
        <v>672629</v>
      </c>
      <c r="V32">
        <v>700152</v>
      </c>
      <c r="W32">
        <v>720299</v>
      </c>
      <c r="X32">
        <v>727927</v>
      </c>
    </row>
    <row r="33" spans="3:25" x14ac:dyDescent="0.25">
      <c r="C33" s="11" t="str">
        <v>Quebec &amp; Atlantic</v>
      </c>
      <c r="D33">
        <v>471617</v>
      </c>
      <c r="E33">
        <v>452330</v>
      </c>
      <c r="F33">
        <v>440310</v>
      </c>
      <c r="G33">
        <v>447840</v>
      </c>
      <c r="H33">
        <v>434702</v>
      </c>
      <c r="I33">
        <v>546719</v>
      </c>
      <c r="J33">
        <v>577960</v>
      </c>
      <c r="K33">
        <v>542079</v>
      </c>
      <c r="L33">
        <v>566967</v>
      </c>
      <c r="M33">
        <v>479533</v>
      </c>
      <c r="N33">
        <v>439977</v>
      </c>
      <c r="O33">
        <v>449300</v>
      </c>
      <c r="P33">
        <v>429028</v>
      </c>
      <c r="Q33">
        <v>333084</v>
      </c>
      <c r="R33">
        <v>269283</v>
      </c>
      <c r="S33">
        <v>260329</v>
      </c>
      <c r="T33">
        <v>240781</v>
      </c>
      <c r="U33">
        <v>253018</v>
      </c>
      <c r="V33">
        <v>260017</v>
      </c>
      <c r="W33">
        <v>256203</v>
      </c>
      <c r="X33">
        <v>245228</v>
      </c>
    </row>
    <row r="34" spans="3:25" x14ac:dyDescent="0.25">
      <c r="C34" s="11" t="str">
        <v>Alberta / Western Canada Share</v>
      </c>
      <c r="D34">
        <v>0.904602031618712</v>
      </c>
      <c r="E34">
        <v>0.92154031107125711</v>
      </c>
      <c r="F34">
        <v>0.91716826302890841</v>
      </c>
      <c r="G34">
        <v>0.9129013516311214</v>
      </c>
      <c r="H34">
        <v>0.91175522966695455</v>
      </c>
      <c r="I34">
        <v>0.90577710833689884</v>
      </c>
      <c r="J34">
        <v>0.86542025929086963</v>
      </c>
      <c r="K34">
        <v>0.86813900158473489</v>
      </c>
      <c r="L34">
        <v>0.89258004084291864</v>
      </c>
      <c r="M34">
        <v>0.89009704956343927</v>
      </c>
      <c r="N34">
        <v>0.95378222510242128</v>
      </c>
      <c r="O34">
        <v>0.98095892542679164</v>
      </c>
      <c r="P34">
        <v>0.92557058483975352</v>
      </c>
      <c r="Q34">
        <v>0.92790552356939449</v>
      </c>
      <c r="R34">
        <v>0.93024046229903545</v>
      </c>
      <c r="S34">
        <v>0.93257540102867642</v>
      </c>
      <c r="T34">
        <v>0.93491033975831739</v>
      </c>
      <c r="U34">
        <v>0.93724527848795924</v>
      </c>
      <c r="V34">
        <v>0.93958021721760021</v>
      </c>
      <c r="W34">
        <v>0.94191515594724118</v>
      </c>
      <c r="X34">
        <v>0.94425009467688215</v>
      </c>
    </row>
    <row r="35" spans="3:25" x14ac:dyDescent="0.25">
      <c r="C35" s="11"/>
    </row>
    <row r="36" spans="3:25" x14ac:dyDescent="0.25">
      <c r="C36" s="11" t="s">
        <v>126</v>
      </c>
      <c r="D36" s="11"/>
      <c r="E36" s="11"/>
      <c r="F36" s="11"/>
      <c r="G36" s="11"/>
      <c r="H36" s="11"/>
      <c r="I36" s="11"/>
      <c r="J36" s="11"/>
      <c r="K36" s="11"/>
      <c r="L36" s="11"/>
      <c r="M36" s="11"/>
      <c r="N36" s="11"/>
      <c r="O36" s="11"/>
      <c r="P36" s="11"/>
      <c r="Q36" s="11"/>
      <c r="R36" s="11"/>
      <c r="S36" s="11"/>
      <c r="T36" s="11"/>
      <c r="U36" s="11"/>
      <c r="V36" s="11"/>
      <c r="W36" s="11"/>
      <c r="X36" s="11"/>
      <c r="Y36" s="11"/>
    </row>
    <row r="37" spans="3:25" x14ac:dyDescent="0.25">
      <c r="C37" s="64" cm="1">
        <f t="array" ref="C37:X44">TRANSPOSE(K4:R25)</f>
        <v>0</v>
      </c>
      <c r="D37" s="64">
        <v>1999</v>
      </c>
      <c r="E37" s="65">
        <v>2000</v>
      </c>
      <c r="F37" s="65">
        <v>2001</v>
      </c>
      <c r="G37" s="65">
        <v>2002</v>
      </c>
      <c r="H37" s="65">
        <v>2003</v>
      </c>
      <c r="I37" s="65">
        <v>2004</v>
      </c>
      <c r="J37" s="65">
        <v>2005</v>
      </c>
      <c r="K37" s="65">
        <v>2006</v>
      </c>
      <c r="L37" s="65">
        <v>2007</v>
      </c>
      <c r="M37" s="65">
        <v>2008</v>
      </c>
      <c r="N37" s="65">
        <v>2009</v>
      </c>
      <c r="O37" s="65">
        <v>2010</v>
      </c>
      <c r="P37" s="65">
        <v>2011</v>
      </c>
      <c r="Q37" s="65">
        <v>2012</v>
      </c>
      <c r="R37" s="65">
        <v>2013</v>
      </c>
      <c r="S37" s="65">
        <v>2014</v>
      </c>
      <c r="T37" s="65">
        <v>2015</v>
      </c>
      <c r="U37" s="65">
        <v>2016</v>
      </c>
      <c r="V37" s="65" t="str">
        <v>2017r</v>
      </c>
      <c r="W37" s="66" t="str">
        <v>2018r</v>
      </c>
      <c r="X37" s="66" t="str">
        <v>2019p</v>
      </c>
      <c r="Y37" s="31"/>
    </row>
    <row r="38" spans="3:25" x14ac:dyDescent="0.25">
      <c r="C38" s="11" t="str">
        <v>Canada</v>
      </c>
      <c r="D38" s="11">
        <v>18771402</v>
      </c>
      <c r="E38" s="11">
        <v>19484817</v>
      </c>
      <c r="F38" s="11">
        <v>20541855</v>
      </c>
      <c r="G38" s="11">
        <v>21978971</v>
      </c>
      <c r="H38" s="11">
        <v>22288130</v>
      </c>
      <c r="I38" s="11">
        <v>22701314</v>
      </c>
      <c r="J38" s="11">
        <v>22158939</v>
      </c>
      <c r="K38" s="11">
        <v>21619564</v>
      </c>
      <c r="L38" s="11">
        <v>21078354</v>
      </c>
      <c r="M38" s="11">
        <v>21519392</v>
      </c>
      <c r="N38" s="11">
        <v>21639122</v>
      </c>
      <c r="O38" s="11">
        <v>21123052</v>
      </c>
      <c r="P38" s="11">
        <v>21097518</v>
      </c>
      <c r="Q38" s="11">
        <v>21120505</v>
      </c>
      <c r="R38" s="11">
        <v>20758902</v>
      </c>
      <c r="S38" s="11">
        <v>20335730</v>
      </c>
      <c r="T38" s="11">
        <v>21186243</v>
      </c>
      <c r="U38" s="11">
        <v>21261873</v>
      </c>
      <c r="V38" s="11">
        <v>21595442</v>
      </c>
      <c r="W38" s="11">
        <v>21404799</v>
      </c>
      <c r="X38" s="11">
        <v>21678449</v>
      </c>
      <c r="Y38" s="43"/>
    </row>
    <row r="39" spans="3:25" x14ac:dyDescent="0.25">
      <c r="C39" s="11" t="str">
        <v>Alberta</v>
      </c>
      <c r="D39" s="11">
        <v>2135335</v>
      </c>
      <c r="E39" s="11">
        <v>2091472</v>
      </c>
      <c r="F39" s="11">
        <v>2218087</v>
      </c>
      <c r="G39" s="11">
        <v>2587197</v>
      </c>
      <c r="H39" s="11">
        <v>2818608</v>
      </c>
      <c r="I39" s="11">
        <v>3008995</v>
      </c>
      <c r="J39" s="11">
        <v>3122270</v>
      </c>
      <c r="K39" s="11">
        <v>3241863</v>
      </c>
      <c r="L39" s="11">
        <v>2934702</v>
      </c>
      <c r="M39" s="11">
        <v>2701366</v>
      </c>
      <c r="N39" s="11">
        <v>2599175</v>
      </c>
      <c r="O39" s="11">
        <v>2662056</v>
      </c>
      <c r="P39" s="11">
        <v>2507035</v>
      </c>
      <c r="Q39" s="11">
        <v>2406048</v>
      </c>
      <c r="R39" s="11">
        <v>2358033</v>
      </c>
      <c r="S39" s="11">
        <v>2509468</v>
      </c>
      <c r="T39" s="11">
        <v>2673257</v>
      </c>
      <c r="U39" s="11">
        <v>2619485</v>
      </c>
      <c r="V39" s="11">
        <v>2597476</v>
      </c>
      <c r="W39" s="11">
        <v>2510267</v>
      </c>
      <c r="X39" s="11">
        <v>2474210</v>
      </c>
      <c r="Y39" s="26"/>
    </row>
    <row r="40" spans="3:25" x14ac:dyDescent="0.25">
      <c r="C40" s="11" t="str">
        <v>SK &amp; MB</v>
      </c>
      <c r="D40" s="11">
        <v>4096070</v>
      </c>
      <c r="E40" s="11">
        <v>4846214</v>
      </c>
      <c r="F40" s="11">
        <v>5187826</v>
      </c>
      <c r="G40" s="11">
        <v>5555179</v>
      </c>
      <c r="H40" s="11">
        <v>5502803</v>
      </c>
      <c r="I40" s="11">
        <v>5505254</v>
      </c>
      <c r="J40" s="11">
        <v>5393054</v>
      </c>
      <c r="K40" s="11">
        <v>5137169</v>
      </c>
      <c r="L40" s="11">
        <v>4745023</v>
      </c>
      <c r="M40" s="11">
        <v>4855220</v>
      </c>
      <c r="N40" s="11">
        <v>5281888</v>
      </c>
      <c r="O40" s="11">
        <v>5356151</v>
      </c>
      <c r="P40" s="11">
        <v>5569738</v>
      </c>
      <c r="Q40" s="11">
        <v>5784752</v>
      </c>
      <c r="R40" s="11">
        <v>5675383</v>
      </c>
      <c r="S40" s="11">
        <v>5345215</v>
      </c>
      <c r="T40" s="11">
        <v>5628842</v>
      </c>
      <c r="U40" s="11">
        <v>5634536</v>
      </c>
      <c r="V40" s="11">
        <v>5742509</v>
      </c>
      <c r="W40" s="11">
        <v>5680367</v>
      </c>
      <c r="X40" s="11">
        <v>5853853</v>
      </c>
      <c r="Y40" s="26"/>
    </row>
    <row r="41" spans="3:25" x14ac:dyDescent="0.25">
      <c r="C41" s="11" t="str">
        <v>BC</v>
      </c>
      <c r="D41" s="11">
        <v>319593</v>
      </c>
      <c r="E41" s="11">
        <v>346356</v>
      </c>
      <c r="F41" s="11">
        <v>451171</v>
      </c>
      <c r="G41" s="11">
        <v>504683</v>
      </c>
      <c r="H41" s="11">
        <v>512474</v>
      </c>
      <c r="I41" s="11">
        <v>521714</v>
      </c>
      <c r="J41" s="11">
        <v>503404</v>
      </c>
      <c r="K41" s="11">
        <v>488843</v>
      </c>
      <c r="L41" s="11">
        <v>494856</v>
      </c>
      <c r="M41" s="11">
        <v>523003</v>
      </c>
      <c r="N41" s="11">
        <v>500035</v>
      </c>
      <c r="O41" s="11">
        <v>499317</v>
      </c>
      <c r="P41" s="11">
        <v>490521</v>
      </c>
      <c r="Q41" s="11">
        <v>484602</v>
      </c>
      <c r="R41" s="11">
        <v>472952</v>
      </c>
      <c r="S41" s="11">
        <v>493772</v>
      </c>
      <c r="T41" s="11">
        <v>504124</v>
      </c>
      <c r="U41" s="11">
        <v>525668</v>
      </c>
      <c r="V41" s="11">
        <v>519367</v>
      </c>
      <c r="W41" s="11">
        <v>511040</v>
      </c>
      <c r="X41" s="11">
        <v>498886</v>
      </c>
      <c r="Y41" s="26"/>
    </row>
    <row r="42" spans="3:25" x14ac:dyDescent="0.25">
      <c r="C42" s="11" t="str">
        <v>West. Can</v>
      </c>
      <c r="D42" s="11">
        <v>6550998</v>
      </c>
      <c r="E42" s="11">
        <v>7284042</v>
      </c>
      <c r="F42" s="11">
        <v>7857084</v>
      </c>
      <c r="G42" s="11">
        <v>8647059</v>
      </c>
      <c r="H42" s="11">
        <v>8833885</v>
      </c>
      <c r="I42" s="11">
        <v>9035963</v>
      </c>
      <c r="J42" s="11">
        <v>9018728</v>
      </c>
      <c r="K42" s="11">
        <v>8867875</v>
      </c>
      <c r="L42" s="11">
        <v>8174581</v>
      </c>
      <c r="M42" s="11">
        <v>8079589</v>
      </c>
      <c r="N42" s="11">
        <v>8381098</v>
      </c>
      <c r="O42" s="11">
        <v>8517524</v>
      </c>
      <c r="P42" s="11">
        <v>8567294</v>
      </c>
      <c r="Q42" s="11">
        <v>8675402</v>
      </c>
      <c r="R42" s="11">
        <v>8506368</v>
      </c>
      <c r="S42" s="11">
        <v>8348455</v>
      </c>
      <c r="T42" s="11">
        <v>8806223</v>
      </c>
      <c r="U42" s="11">
        <v>8779689</v>
      </c>
      <c r="V42" s="11">
        <v>8859352</v>
      </c>
      <c r="W42" s="11">
        <v>8701674</v>
      </c>
      <c r="X42" s="11">
        <v>8826949</v>
      </c>
      <c r="Y42" s="26"/>
    </row>
    <row r="43" spans="3:25" x14ac:dyDescent="0.25">
      <c r="C43" s="11" t="str">
        <v>Ont</v>
      </c>
      <c r="D43" s="11">
        <v>4157888</v>
      </c>
      <c r="E43" s="11">
        <v>4039243</v>
      </c>
      <c r="F43" s="11">
        <v>4256837</v>
      </c>
      <c r="G43" s="11">
        <v>4620615</v>
      </c>
      <c r="H43" s="11">
        <v>4757630</v>
      </c>
      <c r="I43" s="11">
        <v>4664010</v>
      </c>
      <c r="J43" s="11">
        <v>4602168</v>
      </c>
      <c r="K43" s="11">
        <v>4513639</v>
      </c>
      <c r="L43" s="11">
        <v>4799704</v>
      </c>
      <c r="M43" s="11">
        <v>5122047</v>
      </c>
      <c r="N43" s="11">
        <v>4949398</v>
      </c>
      <c r="O43" s="11">
        <v>4432312</v>
      </c>
      <c r="P43" s="11">
        <v>4451554</v>
      </c>
      <c r="Q43" s="11">
        <v>4430997</v>
      </c>
      <c r="R43" s="11">
        <v>4232823</v>
      </c>
      <c r="S43" s="11">
        <v>4021926</v>
      </c>
      <c r="T43" s="11">
        <v>4017084</v>
      </c>
      <c r="U43" s="11">
        <v>4008961</v>
      </c>
      <c r="V43" s="11">
        <v>4058447</v>
      </c>
      <c r="W43" s="11">
        <v>4119639</v>
      </c>
      <c r="X43" s="11">
        <v>4379092</v>
      </c>
      <c r="Y43" s="26"/>
    </row>
    <row r="44" spans="3:25" x14ac:dyDescent="0.25">
      <c r="C44" s="11" t="str">
        <v>Quebec &amp; Atl</v>
      </c>
      <c r="D44" s="11">
        <v>8062516</v>
      </c>
      <c r="E44" s="11">
        <v>8161532</v>
      </c>
      <c r="F44" s="11">
        <v>8427934</v>
      </c>
      <c r="G44" s="11">
        <v>8711297</v>
      </c>
      <c r="H44" s="11">
        <v>8696615</v>
      </c>
      <c r="I44" s="11">
        <v>9001341</v>
      </c>
      <c r="J44" s="11">
        <v>8538043</v>
      </c>
      <c r="K44" s="11">
        <v>8238050</v>
      </c>
      <c r="L44" s="11">
        <v>8104069</v>
      </c>
      <c r="M44" s="11">
        <v>8317756</v>
      </c>
      <c r="N44" s="11">
        <v>8308626</v>
      </c>
      <c r="O44" s="11">
        <v>8173216</v>
      </c>
      <c r="P44" s="11">
        <v>8078670</v>
      </c>
      <c r="Q44" s="11">
        <v>8014106</v>
      </c>
      <c r="R44" s="11">
        <v>8019711</v>
      </c>
      <c r="S44" s="11">
        <v>7965349</v>
      </c>
      <c r="T44" s="11">
        <v>8362936</v>
      </c>
      <c r="U44" s="11">
        <v>8473223</v>
      </c>
      <c r="V44" s="11">
        <v>8677643</v>
      </c>
      <c r="W44" s="11">
        <v>8583486</v>
      </c>
      <c r="X44" s="11">
        <v>8472408</v>
      </c>
      <c r="Y44" s="35"/>
    </row>
    <row r="46" spans="3:25" ht="15.75" thickBot="1" x14ac:dyDescent="0.3"/>
    <row r="47" spans="3:25" x14ac:dyDescent="0.25">
      <c r="C47" s="44" t="s">
        <v>136</v>
      </c>
      <c r="D47" s="45">
        <v>1</v>
      </c>
      <c r="E47" s="46" t="s">
        <v>138</v>
      </c>
      <c r="F47" t="s">
        <v>140</v>
      </c>
    </row>
    <row r="48" spans="3:25" ht="15.75" thickBot="1" x14ac:dyDescent="0.3">
      <c r="C48" s="47" t="s">
        <v>137</v>
      </c>
      <c r="D48" s="48">
        <v>0.127</v>
      </c>
      <c r="E48" s="49" t="s">
        <v>138</v>
      </c>
      <c r="F48" t="s">
        <v>139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0CDA2-7D04-42FD-9B8D-B53BECED21D3}">
  <dimension ref="A1:AG24"/>
  <sheetViews>
    <sheetView workbookViewId="0">
      <selection activeCell="F25" sqref="F25"/>
    </sheetView>
  </sheetViews>
  <sheetFormatPr defaultRowHeight="15" x14ac:dyDescent="0.25"/>
  <cols>
    <col min="1" max="1" width="22.140625" customWidth="1"/>
    <col min="2" max="2" width="23" customWidth="1"/>
  </cols>
  <sheetData>
    <row r="1" spans="1:33" x14ac:dyDescent="0.25">
      <c r="A1" t="s">
        <v>159</v>
      </c>
    </row>
    <row r="2" spans="1:33" x14ac:dyDescent="0.25">
      <c r="A2" t="s">
        <v>14</v>
      </c>
    </row>
    <row r="3" spans="1:33" x14ac:dyDescent="0.25">
      <c r="A3" t="s">
        <v>158</v>
      </c>
    </row>
    <row r="4" spans="1:33" x14ac:dyDescent="0.25">
      <c r="A4" t="s">
        <v>157</v>
      </c>
    </row>
    <row r="5" spans="1:33" x14ac:dyDescent="0.25">
      <c r="A5" t="s">
        <v>17</v>
      </c>
    </row>
    <row r="7" spans="1:33" x14ac:dyDescent="0.25">
      <c r="C7" t="s">
        <v>18</v>
      </c>
    </row>
    <row r="8" spans="1:33" x14ac:dyDescent="0.25">
      <c r="C8" t="s">
        <v>156</v>
      </c>
    </row>
    <row r="9" spans="1:33" x14ac:dyDescent="0.25">
      <c r="A9" s="6" t="s">
        <v>155</v>
      </c>
      <c r="B9" s="7" t="s">
        <v>82</v>
      </c>
      <c r="C9" s="6">
        <v>1990</v>
      </c>
      <c r="D9" s="6">
        <v>1991</v>
      </c>
      <c r="E9" s="6">
        <v>1992</v>
      </c>
      <c r="F9" s="6">
        <v>1993</v>
      </c>
      <c r="G9" s="6">
        <v>1994</v>
      </c>
      <c r="H9" s="6">
        <v>1995</v>
      </c>
      <c r="I9" s="6">
        <v>1996</v>
      </c>
      <c r="J9" s="6">
        <v>1997</v>
      </c>
      <c r="K9" s="6">
        <v>1998</v>
      </c>
      <c r="L9" s="6">
        <v>1999</v>
      </c>
      <c r="M9" s="6">
        <v>2000</v>
      </c>
      <c r="N9" s="6">
        <v>2001</v>
      </c>
      <c r="O9" s="6">
        <v>2002</v>
      </c>
      <c r="P9" s="6">
        <v>2003</v>
      </c>
      <c r="Q9" s="6">
        <v>2004</v>
      </c>
      <c r="R9" s="6">
        <v>2005</v>
      </c>
      <c r="S9" s="6">
        <v>2006</v>
      </c>
      <c r="T9" s="6">
        <v>2007</v>
      </c>
      <c r="U9" s="6">
        <v>2008</v>
      </c>
      <c r="V9" s="6">
        <v>2009</v>
      </c>
      <c r="W9" s="6">
        <v>2010</v>
      </c>
      <c r="X9" s="6">
        <v>2011</v>
      </c>
      <c r="Y9" s="6">
        <v>2012</v>
      </c>
      <c r="Z9" s="6">
        <v>2013</v>
      </c>
      <c r="AA9" s="6">
        <v>2014</v>
      </c>
      <c r="AB9" s="6">
        <v>2015</v>
      </c>
      <c r="AC9" s="6">
        <v>2016</v>
      </c>
      <c r="AD9" s="6">
        <v>2017</v>
      </c>
      <c r="AE9" s="6">
        <v>2018</v>
      </c>
      <c r="AF9" s="6">
        <v>2019</v>
      </c>
      <c r="AG9" s="6">
        <v>2020</v>
      </c>
    </row>
    <row r="10" spans="1:33" x14ac:dyDescent="0.25">
      <c r="A10" s="11" t="s">
        <v>154</v>
      </c>
      <c r="B10" s="3" t="s">
        <v>151</v>
      </c>
      <c r="C10" s="51">
        <f>SUM(C11:C12)</f>
        <v>62411</v>
      </c>
      <c r="D10" s="51">
        <f t="shared" ref="D10:M10" si="0">SUM(D11:D12)</f>
        <v>61953</v>
      </c>
      <c r="E10" s="51">
        <f t="shared" si="0"/>
        <v>62061</v>
      </c>
      <c r="F10" s="51">
        <f t="shared" si="0"/>
        <v>65563</v>
      </c>
      <c r="G10" s="51">
        <f t="shared" si="0"/>
        <v>72352</v>
      </c>
      <c r="H10" s="51">
        <f t="shared" si="0"/>
        <v>75931</v>
      </c>
      <c r="I10" s="51">
        <f t="shared" si="0"/>
        <v>75396</v>
      </c>
      <c r="J10" s="51">
        <f t="shared" si="0"/>
        <v>79272</v>
      </c>
      <c r="K10" s="51">
        <f t="shared" si="0"/>
        <v>86437</v>
      </c>
      <c r="L10" s="51">
        <f t="shared" si="0"/>
        <v>91235</v>
      </c>
      <c r="M10" s="51">
        <f t="shared" si="0"/>
        <v>94146</v>
      </c>
      <c r="N10" s="50">
        <v>100031</v>
      </c>
      <c r="O10" s="50">
        <v>96404</v>
      </c>
      <c r="P10" s="50">
        <v>95906</v>
      </c>
      <c r="Q10" s="50">
        <v>101572</v>
      </c>
      <c r="R10" s="50">
        <v>100747</v>
      </c>
      <c r="S10" s="50">
        <v>101392</v>
      </c>
      <c r="T10" s="50">
        <v>103886</v>
      </c>
      <c r="U10" s="50">
        <v>106822</v>
      </c>
      <c r="V10" s="50">
        <v>104459</v>
      </c>
      <c r="W10" s="50">
        <v>108438</v>
      </c>
      <c r="X10" s="50">
        <v>111329</v>
      </c>
      <c r="Y10" s="50">
        <v>114280</v>
      </c>
      <c r="Z10" s="50">
        <v>114717</v>
      </c>
      <c r="AA10" s="50">
        <v>114492</v>
      </c>
      <c r="AB10" s="50">
        <v>123125</v>
      </c>
      <c r="AC10" s="50">
        <v>129390</v>
      </c>
      <c r="AD10" s="50">
        <v>133174</v>
      </c>
      <c r="AE10" s="50">
        <v>138912</v>
      </c>
      <c r="AF10" s="50">
        <v>142570</v>
      </c>
      <c r="AG10" s="50">
        <v>141638</v>
      </c>
    </row>
    <row r="11" spans="1:33" x14ac:dyDescent="0.25">
      <c r="A11" s="11" t="s">
        <v>153</v>
      </c>
      <c r="B11" s="3" t="s">
        <v>151</v>
      </c>
      <c r="C11" s="50">
        <v>50764</v>
      </c>
      <c r="D11" s="50">
        <v>50232</v>
      </c>
      <c r="E11" s="50">
        <v>51030</v>
      </c>
      <c r="F11" s="50">
        <v>54766</v>
      </c>
      <c r="G11" s="50">
        <v>60770</v>
      </c>
      <c r="H11" s="50">
        <v>63495</v>
      </c>
      <c r="I11" s="50">
        <v>63710</v>
      </c>
      <c r="J11" s="50">
        <v>67518</v>
      </c>
      <c r="K11" s="50">
        <v>74840</v>
      </c>
      <c r="L11" s="50">
        <v>79770</v>
      </c>
      <c r="M11" s="50">
        <v>82682</v>
      </c>
      <c r="N11" s="50">
        <v>86904</v>
      </c>
      <c r="O11" s="50">
        <v>84644</v>
      </c>
      <c r="P11" s="50">
        <v>82713</v>
      </c>
      <c r="Q11" s="50">
        <v>89416</v>
      </c>
      <c r="R11" s="50">
        <v>87712</v>
      </c>
      <c r="S11" s="50">
        <v>88150</v>
      </c>
      <c r="T11" s="50">
        <v>89888</v>
      </c>
      <c r="U11" s="50">
        <v>90622</v>
      </c>
      <c r="V11" s="50">
        <v>91128</v>
      </c>
      <c r="W11" s="50">
        <v>95121</v>
      </c>
      <c r="X11" s="50">
        <v>96692</v>
      </c>
      <c r="Y11" s="50">
        <v>98448</v>
      </c>
      <c r="Z11" s="50">
        <v>98456</v>
      </c>
      <c r="AA11" s="50">
        <v>99023</v>
      </c>
      <c r="AB11" s="50">
        <v>107138</v>
      </c>
      <c r="AC11" s="50">
        <v>112747</v>
      </c>
      <c r="AD11" s="50">
        <v>117372</v>
      </c>
      <c r="AE11" s="50">
        <v>122305</v>
      </c>
      <c r="AF11" s="50">
        <v>126054</v>
      </c>
      <c r="AG11" s="50">
        <v>126884</v>
      </c>
    </row>
    <row r="12" spans="1:33" x14ac:dyDescent="0.25">
      <c r="A12" s="4" t="s">
        <v>152</v>
      </c>
      <c r="B12" s="5" t="s">
        <v>151</v>
      </c>
      <c r="C12" s="19">
        <v>11647</v>
      </c>
      <c r="D12" s="19">
        <v>11721</v>
      </c>
      <c r="E12" s="19">
        <v>11031</v>
      </c>
      <c r="F12" s="19">
        <v>10797</v>
      </c>
      <c r="G12" s="19">
        <v>11582</v>
      </c>
      <c r="H12" s="19">
        <v>12436</v>
      </c>
      <c r="I12" s="19">
        <v>11686</v>
      </c>
      <c r="J12" s="19">
        <v>11754</v>
      </c>
      <c r="K12" s="19">
        <v>11597</v>
      </c>
      <c r="L12" s="19">
        <v>11465</v>
      </c>
      <c r="M12" s="19">
        <v>11464</v>
      </c>
      <c r="N12" s="19">
        <v>13127</v>
      </c>
      <c r="O12" s="19">
        <v>11760</v>
      </c>
      <c r="P12" s="19">
        <v>13193</v>
      </c>
      <c r="Q12" s="19">
        <v>12156</v>
      </c>
      <c r="R12" s="19">
        <v>13035</v>
      </c>
      <c r="S12" s="19">
        <v>13242</v>
      </c>
      <c r="T12" s="19">
        <v>13997</v>
      </c>
      <c r="U12" s="19">
        <v>16200</v>
      </c>
      <c r="V12" s="19">
        <v>13330</v>
      </c>
      <c r="W12" s="19">
        <v>13317</v>
      </c>
      <c r="X12" s="19">
        <v>14636</v>
      </c>
      <c r="Y12" s="19">
        <v>15832</v>
      </c>
      <c r="Z12" s="19">
        <v>16260</v>
      </c>
      <c r="AA12" s="19">
        <v>15469</v>
      </c>
      <c r="AB12" s="19">
        <v>15987</v>
      </c>
      <c r="AC12" s="19">
        <v>16644</v>
      </c>
      <c r="AD12" s="19">
        <v>15802</v>
      </c>
      <c r="AE12" s="19">
        <v>16607</v>
      </c>
      <c r="AF12" s="19">
        <v>16516</v>
      </c>
      <c r="AG12" s="19">
        <v>14754</v>
      </c>
    </row>
    <row r="13" spans="1:33" x14ac:dyDescent="0.25">
      <c r="N13" s="16"/>
    </row>
    <row r="14" spans="1:33" x14ac:dyDescent="0.25">
      <c r="A14" t="s">
        <v>32</v>
      </c>
    </row>
    <row r="15" spans="1:33" x14ac:dyDescent="0.25">
      <c r="A15" t="s">
        <v>22</v>
      </c>
      <c r="B15" t="s">
        <v>33</v>
      </c>
    </row>
    <row r="17" spans="1:2" x14ac:dyDescent="0.25">
      <c r="A17" t="s">
        <v>51</v>
      </c>
    </row>
    <row r="18" spans="1:2" x14ac:dyDescent="0.25">
      <c r="A18">
        <v>1</v>
      </c>
      <c r="B18" t="s">
        <v>150</v>
      </c>
    </row>
    <row r="19" spans="1:2" x14ac:dyDescent="0.25">
      <c r="A19">
        <v>2</v>
      </c>
      <c r="B19" t="s">
        <v>149</v>
      </c>
    </row>
    <row r="20" spans="1:2" x14ac:dyDescent="0.25">
      <c r="A20">
        <v>3</v>
      </c>
      <c r="B20" t="s">
        <v>148</v>
      </c>
    </row>
    <row r="22" spans="1:2" x14ac:dyDescent="0.25">
      <c r="A22" t="s">
        <v>147</v>
      </c>
    </row>
    <row r="23" spans="1:2" x14ac:dyDescent="0.25">
      <c r="A23" s="126" t="s">
        <v>146</v>
      </c>
    </row>
    <row r="24" spans="1:2" x14ac:dyDescent="0.25">
      <c r="A24" t="s">
        <v>145</v>
      </c>
    </row>
  </sheetData>
  <hyperlinks>
    <hyperlink ref="A23" r:id="rId1" xr:uid="{F832AE4F-03F8-4662-8644-A67AA8B1E19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7A1F7-D187-4728-B742-D6F4563C844E}">
  <dimension ref="B2:BK7"/>
  <sheetViews>
    <sheetView workbookViewId="0">
      <selection activeCell="C10" sqref="C10"/>
    </sheetView>
  </sheetViews>
  <sheetFormatPr defaultRowHeight="15" x14ac:dyDescent="0.25"/>
  <cols>
    <col min="2" max="2" width="28.7109375" customWidth="1"/>
    <col min="13" max="13" width="11.7109375" bestFit="1" customWidth="1"/>
  </cols>
  <sheetData>
    <row r="2" spans="2:63" x14ac:dyDescent="0.25">
      <c r="B2" s="21" t="s">
        <v>162</v>
      </c>
    </row>
    <row r="4" spans="2:63" x14ac:dyDescent="0.25">
      <c r="B4" s="7"/>
      <c r="C4" s="6">
        <v>1990</v>
      </c>
      <c r="D4" s="6">
        <v>1991</v>
      </c>
      <c r="E4" s="6">
        <v>1992</v>
      </c>
      <c r="F4" s="6">
        <v>1993</v>
      </c>
      <c r="G4" s="6">
        <v>1994</v>
      </c>
      <c r="H4" s="6">
        <v>1995</v>
      </c>
      <c r="I4" s="6">
        <v>1996</v>
      </c>
      <c r="J4" s="6">
        <v>1997</v>
      </c>
      <c r="K4" s="6">
        <v>1998</v>
      </c>
      <c r="L4" s="6">
        <v>1999</v>
      </c>
      <c r="M4" s="6">
        <v>2000</v>
      </c>
      <c r="N4" s="6">
        <v>2001</v>
      </c>
      <c r="O4" s="6">
        <v>2002</v>
      </c>
      <c r="P4" s="6">
        <v>2003</v>
      </c>
      <c r="Q4" s="6">
        <v>2004</v>
      </c>
      <c r="R4" s="6">
        <v>2005</v>
      </c>
      <c r="S4" s="6">
        <v>2006</v>
      </c>
      <c r="T4" s="6">
        <v>2007</v>
      </c>
      <c r="U4" s="6">
        <v>2008</v>
      </c>
      <c r="V4" s="6">
        <v>2009</v>
      </c>
      <c r="W4" s="6">
        <v>2010</v>
      </c>
      <c r="X4" s="6">
        <v>2011</v>
      </c>
      <c r="Y4" s="6">
        <v>2012</v>
      </c>
      <c r="Z4" s="6">
        <v>2013</v>
      </c>
      <c r="AA4" s="6">
        <v>2014</v>
      </c>
      <c r="AB4" s="6">
        <v>2015</v>
      </c>
      <c r="AC4" s="6">
        <v>2016</v>
      </c>
      <c r="AD4" s="7">
        <v>2017</v>
      </c>
      <c r="AE4" s="6">
        <v>2018</v>
      </c>
      <c r="AF4" s="6">
        <v>2019</v>
      </c>
      <c r="AG4" s="6">
        <v>2020</v>
      </c>
      <c r="AH4" s="6">
        <v>2021</v>
      </c>
      <c r="AI4" s="6">
        <v>2022</v>
      </c>
      <c r="AJ4" s="6">
        <v>2023</v>
      </c>
      <c r="AK4" s="6">
        <v>2024</v>
      </c>
      <c r="AL4" s="6">
        <v>2025</v>
      </c>
      <c r="AM4" s="6">
        <v>2026</v>
      </c>
      <c r="AN4" s="6">
        <v>2027</v>
      </c>
      <c r="AO4" s="6">
        <v>2028</v>
      </c>
      <c r="AP4" s="6">
        <v>2029</v>
      </c>
      <c r="AQ4" s="6">
        <v>2030</v>
      </c>
      <c r="AR4" s="6">
        <v>2031</v>
      </c>
      <c r="AS4" s="6">
        <v>2032</v>
      </c>
      <c r="AT4" s="6">
        <v>2033</v>
      </c>
      <c r="AU4" s="6">
        <v>2034</v>
      </c>
      <c r="AV4" s="6">
        <v>2035</v>
      </c>
      <c r="AW4" s="6">
        <v>2036</v>
      </c>
      <c r="AX4" s="6">
        <v>2037</v>
      </c>
      <c r="AY4" s="6">
        <v>2038</v>
      </c>
      <c r="AZ4" s="6">
        <v>2039</v>
      </c>
      <c r="BA4" s="6">
        <v>2040</v>
      </c>
      <c r="BB4" s="6">
        <v>2041</v>
      </c>
      <c r="BC4" s="6">
        <v>2042</v>
      </c>
      <c r="BD4" s="6">
        <v>2043</v>
      </c>
      <c r="BE4" s="6">
        <v>2044</v>
      </c>
      <c r="BF4" s="6">
        <v>2045</v>
      </c>
      <c r="BG4" s="6">
        <v>2046</v>
      </c>
      <c r="BH4" s="6">
        <v>2047</v>
      </c>
      <c r="BI4" s="6">
        <v>2048</v>
      </c>
      <c r="BJ4" s="6">
        <v>2049</v>
      </c>
      <c r="BK4" s="6">
        <v>2050</v>
      </c>
    </row>
    <row r="5" spans="2:63" x14ac:dyDescent="0.25">
      <c r="B5" s="59" t="s">
        <v>161</v>
      </c>
      <c r="C5" s="60" t="s">
        <v>135</v>
      </c>
      <c r="D5" s="60" t="s">
        <v>135</v>
      </c>
      <c r="E5" s="60" t="s">
        <v>135</v>
      </c>
      <c r="F5" s="60" t="s">
        <v>135</v>
      </c>
      <c r="G5" s="60" t="s">
        <v>135</v>
      </c>
      <c r="H5" s="60" t="s">
        <v>135</v>
      </c>
      <c r="I5" s="60" t="s">
        <v>135</v>
      </c>
      <c r="J5" s="60" t="s">
        <v>135</v>
      </c>
      <c r="K5" s="60" t="s">
        <v>135</v>
      </c>
      <c r="L5" s="60" t="s">
        <v>135</v>
      </c>
      <c r="M5" s="60" t="s">
        <v>135</v>
      </c>
      <c r="N5" s="6">
        <v>629690</v>
      </c>
      <c r="O5" s="6">
        <v>639079</v>
      </c>
      <c r="P5" s="6">
        <v>623380</v>
      </c>
      <c r="Q5" s="6">
        <v>635065</v>
      </c>
      <c r="R5" s="6">
        <v>637044</v>
      </c>
      <c r="S5" s="6">
        <v>624029</v>
      </c>
      <c r="T5" s="6">
        <v>626151</v>
      </c>
      <c r="U5" s="6">
        <v>667956</v>
      </c>
      <c r="V5" s="6">
        <v>649667</v>
      </c>
      <c r="W5" s="6">
        <v>649997</v>
      </c>
      <c r="X5" s="6">
        <v>660059</v>
      </c>
      <c r="Y5" s="6">
        <v>679935</v>
      </c>
      <c r="Z5" s="6">
        <v>653530</v>
      </c>
      <c r="AA5" s="6">
        <v>668400</v>
      </c>
      <c r="AB5" s="6">
        <v>701242</v>
      </c>
      <c r="AC5" s="6">
        <v>732337</v>
      </c>
      <c r="AD5" s="10">
        <v>768059</v>
      </c>
      <c r="AE5" s="62">
        <v>815757</v>
      </c>
      <c r="AF5" s="61">
        <v>817012</v>
      </c>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row>
    <row r="6" spans="2:63" x14ac:dyDescent="0.25">
      <c r="AD6" s="9"/>
      <c r="AE6" s="9"/>
    </row>
    <row r="7" spans="2:63" x14ac:dyDescent="0.25">
      <c r="AD7" s="11"/>
      <c r="AE7" s="1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C4DFF-4B8A-46C0-BFD7-EA2566488528}">
  <dimension ref="A2:BJ27"/>
  <sheetViews>
    <sheetView tabSelected="1" zoomScale="83" workbookViewId="0">
      <pane xSplit="1" topLeftCell="V1" activePane="topRight" state="frozen"/>
      <selection pane="topRight" activeCell="AB10" sqref="AB10"/>
    </sheetView>
  </sheetViews>
  <sheetFormatPr defaultRowHeight="15" x14ac:dyDescent="0.25"/>
  <cols>
    <col min="1" max="1" width="38.42578125" customWidth="1"/>
    <col min="2" max="6" width="12.140625" bestFit="1" customWidth="1"/>
    <col min="7" max="29" width="12.42578125" bestFit="1" customWidth="1"/>
    <col min="30" max="31" width="18.28515625" bestFit="1" customWidth="1"/>
    <col min="32" max="32" width="18.85546875" bestFit="1" customWidth="1"/>
    <col min="33" max="35" width="15.28515625" bestFit="1" customWidth="1"/>
    <col min="36" max="62" width="14.28515625" bestFit="1" customWidth="1"/>
  </cols>
  <sheetData>
    <row r="2" spans="1:62" x14ac:dyDescent="0.25">
      <c r="A2" t="s">
        <v>171</v>
      </c>
    </row>
    <row r="3" spans="1:62" x14ac:dyDescent="0.25">
      <c r="A3" s="7"/>
      <c r="B3" s="69">
        <v>1990</v>
      </c>
      <c r="C3" s="69">
        <v>1991</v>
      </c>
      <c r="D3" s="69">
        <v>1992</v>
      </c>
      <c r="E3" s="69">
        <v>1993</v>
      </c>
      <c r="F3" s="69">
        <v>1994</v>
      </c>
      <c r="G3" s="69">
        <v>1995</v>
      </c>
      <c r="H3" s="69">
        <v>1996</v>
      </c>
      <c r="I3" s="69">
        <v>1997</v>
      </c>
      <c r="J3" s="69">
        <v>1998</v>
      </c>
      <c r="K3" s="69">
        <v>1999</v>
      </c>
      <c r="L3" s="69">
        <v>2000</v>
      </c>
      <c r="M3" s="69">
        <v>2001</v>
      </c>
      <c r="N3" s="69">
        <v>2002</v>
      </c>
      <c r="O3" s="69">
        <v>2003</v>
      </c>
      <c r="P3" s="69">
        <v>2004</v>
      </c>
      <c r="Q3" s="69">
        <v>2005</v>
      </c>
      <c r="R3" s="69">
        <v>2006</v>
      </c>
      <c r="S3" s="69">
        <v>2007</v>
      </c>
      <c r="T3" s="69">
        <v>2008</v>
      </c>
      <c r="U3" s="69">
        <v>2009</v>
      </c>
      <c r="V3" s="69">
        <v>2010</v>
      </c>
      <c r="W3" s="69">
        <v>2011</v>
      </c>
      <c r="X3" s="69">
        <v>2012</v>
      </c>
      <c r="Y3" s="69">
        <v>2013</v>
      </c>
      <c r="Z3" s="69">
        <v>2014</v>
      </c>
      <c r="AA3" s="69">
        <v>2015</v>
      </c>
      <c r="AB3" s="134">
        <v>2016</v>
      </c>
      <c r="AC3" s="70">
        <v>2017</v>
      </c>
      <c r="AD3" s="69">
        <v>2018</v>
      </c>
      <c r="AE3" s="69">
        <v>2019</v>
      </c>
      <c r="AF3" s="69">
        <v>2020</v>
      </c>
      <c r="AG3" s="69">
        <v>2021</v>
      </c>
      <c r="AH3" s="69">
        <v>2022</v>
      </c>
      <c r="AI3" s="69">
        <v>2023</v>
      </c>
      <c r="AJ3" s="69">
        <v>2024</v>
      </c>
      <c r="AK3" s="69">
        <v>2025</v>
      </c>
      <c r="AL3" s="69">
        <v>2026</v>
      </c>
      <c r="AM3" s="69">
        <v>2027</v>
      </c>
      <c r="AN3" s="69">
        <v>2028</v>
      </c>
      <c r="AO3" s="69">
        <v>2029</v>
      </c>
      <c r="AP3" s="69">
        <v>2030</v>
      </c>
      <c r="AQ3" s="69">
        <v>2031</v>
      </c>
      <c r="AR3" s="69">
        <v>2032</v>
      </c>
      <c r="AS3" s="69">
        <v>2033</v>
      </c>
      <c r="AT3" s="69">
        <v>2034</v>
      </c>
      <c r="AU3" s="69">
        <v>2035</v>
      </c>
      <c r="AV3" s="69">
        <v>2036</v>
      </c>
      <c r="AW3" s="69">
        <v>2037</v>
      </c>
      <c r="AX3" s="69">
        <v>2038</v>
      </c>
      <c r="AY3" s="69">
        <v>2039</v>
      </c>
      <c r="AZ3" s="69">
        <v>2040</v>
      </c>
      <c r="BA3" s="69">
        <v>2041</v>
      </c>
      <c r="BB3" s="69">
        <v>2042</v>
      </c>
      <c r="BC3" s="69">
        <v>2043</v>
      </c>
      <c r="BD3" s="69">
        <v>2044</v>
      </c>
      <c r="BE3" s="69">
        <v>2045</v>
      </c>
      <c r="BF3" s="69">
        <v>2046</v>
      </c>
      <c r="BG3" s="69">
        <v>2047</v>
      </c>
      <c r="BH3" s="69">
        <v>2048</v>
      </c>
      <c r="BI3" s="69">
        <v>2049</v>
      </c>
      <c r="BJ3" s="70">
        <v>2050</v>
      </c>
    </row>
    <row r="4" spans="1:62" x14ac:dyDescent="0.25">
      <c r="A4" s="71" t="s">
        <v>165</v>
      </c>
      <c r="B4" s="68">
        <v>2547788</v>
      </c>
      <c r="C4" s="67">
        <v>2592306</v>
      </c>
      <c r="D4" s="67">
        <v>2632672</v>
      </c>
      <c r="E4" s="67">
        <v>2667292</v>
      </c>
      <c r="F4" s="67">
        <v>2700606</v>
      </c>
      <c r="G4" s="67">
        <v>2734519</v>
      </c>
      <c r="H4" s="67">
        <v>2775133</v>
      </c>
      <c r="I4" s="67">
        <v>2829848</v>
      </c>
      <c r="J4" s="67">
        <v>2899066</v>
      </c>
      <c r="K4" s="67">
        <v>2952692</v>
      </c>
      <c r="L4" s="67">
        <v>3004198</v>
      </c>
      <c r="M4" s="67">
        <v>3058084</v>
      </c>
      <c r="N4" s="67">
        <v>3128262</v>
      </c>
      <c r="O4" s="67">
        <v>3182852</v>
      </c>
      <c r="P4" s="67">
        <v>3238387</v>
      </c>
      <c r="Q4" s="67">
        <v>3321800</v>
      </c>
      <c r="R4" s="67">
        <v>3421400</v>
      </c>
      <c r="S4" s="67">
        <v>3514100</v>
      </c>
      <c r="T4" s="67">
        <v>3595900</v>
      </c>
      <c r="U4" s="67">
        <v>3679000</v>
      </c>
      <c r="V4" s="67">
        <v>3732100</v>
      </c>
      <c r="W4" s="67">
        <v>3789000</v>
      </c>
      <c r="X4" s="67">
        <v>3874500</v>
      </c>
      <c r="Y4" s="67">
        <v>3981000</v>
      </c>
      <c r="Z4" s="67">
        <v>4083600</v>
      </c>
      <c r="AA4" s="67">
        <v>4144500</v>
      </c>
      <c r="AB4" s="135">
        <v>4196100</v>
      </c>
      <c r="AC4" s="76">
        <v>4243500</v>
      </c>
      <c r="AD4" s="97">
        <v>4300700</v>
      </c>
      <c r="AE4" s="98">
        <v>4371300</v>
      </c>
      <c r="AF4" s="98">
        <v>4431100</v>
      </c>
      <c r="AG4" s="98">
        <v>4469200</v>
      </c>
      <c r="AH4" s="98">
        <v>4509900</v>
      </c>
      <c r="AI4" s="98">
        <v>4562700</v>
      </c>
      <c r="AJ4" s="98">
        <v>4633000</v>
      </c>
      <c r="AK4" s="98">
        <v>4708100</v>
      </c>
      <c r="AL4" s="98">
        <v>4785200</v>
      </c>
      <c r="AM4" s="98">
        <v>4860800</v>
      </c>
      <c r="AN4" s="98">
        <v>4935700</v>
      </c>
      <c r="AO4" s="98">
        <v>5007900</v>
      </c>
      <c r="AP4" s="98">
        <v>5072700</v>
      </c>
      <c r="AQ4" s="98">
        <v>5133100</v>
      </c>
      <c r="AR4" s="98">
        <v>5191300</v>
      </c>
      <c r="AS4" s="98">
        <v>5247200</v>
      </c>
      <c r="AT4" s="98">
        <v>5301900</v>
      </c>
      <c r="AU4" s="98">
        <v>5356500</v>
      </c>
      <c r="AV4" s="98">
        <v>5409200</v>
      </c>
      <c r="AW4" s="98">
        <v>5465600</v>
      </c>
      <c r="AX4" s="98">
        <v>5523800</v>
      </c>
      <c r="AY4" s="98">
        <v>5582200</v>
      </c>
      <c r="AZ4" s="98">
        <v>5639100</v>
      </c>
      <c r="BA4" s="98">
        <v>5694900</v>
      </c>
      <c r="BB4" s="98">
        <v>5750200</v>
      </c>
      <c r="BC4" s="98">
        <v>5807000</v>
      </c>
      <c r="BD4" s="98">
        <v>5861300</v>
      </c>
      <c r="BE4" s="98">
        <v>5913400</v>
      </c>
      <c r="BF4" s="98">
        <v>5964800</v>
      </c>
      <c r="BG4" s="98">
        <v>6016200</v>
      </c>
      <c r="BH4" s="98">
        <v>6069000</v>
      </c>
      <c r="BI4" s="98">
        <v>6123200</v>
      </c>
      <c r="BJ4" s="99">
        <v>6177100</v>
      </c>
    </row>
    <row r="5" spans="1:62" x14ac:dyDescent="0.25">
      <c r="A5" s="72" t="s">
        <v>166</v>
      </c>
      <c r="B5" s="53">
        <f>SUM(B6:B8)</f>
        <v>15905.119106925631</v>
      </c>
      <c r="C5" s="53">
        <f t="shared" ref="C5:AC5" si="0">SUM(C6:C8)</f>
        <v>16279.499847943503</v>
      </c>
      <c r="D5" s="53">
        <f t="shared" si="0"/>
        <v>13752.394782973084</v>
      </c>
      <c r="E5" s="53">
        <f t="shared" si="0"/>
        <v>17778.204677107973</v>
      </c>
      <c r="F5" s="53">
        <f t="shared" si="0"/>
        <v>14963.330336682267</v>
      </c>
      <c r="G5" s="53">
        <f t="shared" si="0"/>
        <v>17075.572611493546</v>
      </c>
      <c r="H5" s="53">
        <f t="shared" si="0"/>
        <v>17821.132397145655</v>
      </c>
      <c r="I5" s="53">
        <f t="shared" si="0"/>
        <v>16419.610637517773</v>
      </c>
      <c r="J5" s="53">
        <f t="shared" si="0"/>
        <v>15880.308327366592</v>
      </c>
      <c r="K5" s="53">
        <f t="shared" si="0"/>
        <v>18278.526515068741</v>
      </c>
      <c r="L5" s="53">
        <f t="shared" si="0"/>
        <v>15398.166305511033</v>
      </c>
      <c r="M5" s="53">
        <f t="shared" si="0"/>
        <v>13007.428863136505</v>
      </c>
      <c r="N5" s="53">
        <f t="shared" si="0"/>
        <v>7790.2022091546633</v>
      </c>
      <c r="O5" s="53">
        <f t="shared" si="0"/>
        <v>15108.164516524748</v>
      </c>
      <c r="P5" s="53">
        <f t="shared" si="0"/>
        <v>17182.303704000002</v>
      </c>
      <c r="Q5" s="53">
        <f t="shared" si="0"/>
        <v>18326.372905000004</v>
      </c>
      <c r="R5" s="53">
        <f t="shared" si="0"/>
        <v>16223.219105999999</v>
      </c>
      <c r="S5" s="53">
        <f t="shared" si="0"/>
        <v>15384.301340333335</v>
      </c>
      <c r="T5" s="53">
        <f t="shared" si="0"/>
        <v>19273.616650666663</v>
      </c>
      <c r="U5" s="53">
        <f t="shared" si="0"/>
        <v>15453.963857000001</v>
      </c>
      <c r="V5" s="53">
        <f t="shared" si="0"/>
        <v>18408.415000000005</v>
      </c>
      <c r="W5" s="53">
        <f t="shared" si="0"/>
        <v>19885.796999999999</v>
      </c>
      <c r="X5" s="53">
        <f t="shared" si="0"/>
        <v>18708.885000000002</v>
      </c>
      <c r="Y5" s="53">
        <f t="shared" si="0"/>
        <v>24003.013999999999</v>
      </c>
      <c r="Z5" s="53">
        <f t="shared" si="0"/>
        <v>20263.134000000002</v>
      </c>
      <c r="AA5" s="53">
        <f t="shared" si="0"/>
        <v>19288.135999999999</v>
      </c>
      <c r="AB5" s="136">
        <f t="shared" si="0"/>
        <v>22082.492999999999</v>
      </c>
      <c r="AC5" s="53">
        <f t="shared" si="0"/>
        <v>21921.089</v>
      </c>
      <c r="AD5" s="94">
        <f>AD18*AD$4*0.001</f>
        <v>19862.908927194745</v>
      </c>
      <c r="AE5" s="93">
        <f t="shared" ref="AE5:BJ13" si="1">AE18*AE$4*0.001</f>
        <v>19995.472983419961</v>
      </c>
      <c r="AF5" s="93">
        <f t="shared" si="1"/>
        <v>20072.862596252893</v>
      </c>
      <c r="AG5" s="93">
        <f t="shared" si="1"/>
        <v>20047.617574752861</v>
      </c>
      <c r="AH5" s="93">
        <f t="shared" si="1"/>
        <v>20030.547211675894</v>
      </c>
      <c r="AI5" s="93">
        <f t="shared" si="1"/>
        <v>20063.07957304857</v>
      </c>
      <c r="AJ5" s="93">
        <f t="shared" si="1"/>
        <v>20167.113577689848</v>
      </c>
      <c r="AK5" s="93">
        <f t="shared" si="1"/>
        <v>20285.605220511959</v>
      </c>
      <c r="AL5" s="93">
        <f t="shared" si="1"/>
        <v>20405.976755084346</v>
      </c>
      <c r="AM5" s="93">
        <f t="shared" si="1"/>
        <v>20513.19213606988</v>
      </c>
      <c r="AN5" s="93">
        <f t="shared" si="1"/>
        <v>20610.791252582821</v>
      </c>
      <c r="AO5" s="93">
        <f t="shared" si="1"/>
        <v>20690.603879496433</v>
      </c>
      <c r="AP5" s="93">
        <f t="shared" si="1"/>
        <v>20733.778147312933</v>
      </c>
      <c r="AQ5" s="93">
        <f t="shared" si="1"/>
        <v>20753.425959174936</v>
      </c>
      <c r="AR5" s="93">
        <f t="shared" si="1"/>
        <v>20758.928981232559</v>
      </c>
      <c r="AS5" s="93">
        <f t="shared" si="1"/>
        <v>20750.183922838965</v>
      </c>
      <c r="AT5" s="93">
        <f t="shared" si="1"/>
        <v>20731.79750986717</v>
      </c>
      <c r="AU5" s="93">
        <f t="shared" si="1"/>
        <v>20708.181693616967</v>
      </c>
      <c r="AV5" s="93">
        <f t="shared" si="1"/>
        <v>20672.470650576826</v>
      </c>
      <c r="AW5" s="93">
        <f t="shared" si="1"/>
        <v>20646.070463073418</v>
      </c>
      <c r="AX5" s="93">
        <f t="shared" si="1"/>
        <v>20621.396706365053</v>
      </c>
      <c r="AY5" s="93">
        <f t="shared" si="1"/>
        <v>20592.308061530817</v>
      </c>
      <c r="AZ5" s="93">
        <f t="shared" si="1"/>
        <v>20552.582052477082</v>
      </c>
      <c r="BA5" s="93">
        <f t="shared" si="1"/>
        <v>20503.858036263064</v>
      </c>
      <c r="BB5" s="93">
        <f t="shared" si="1"/>
        <v>20448.415767336199</v>
      </c>
      <c r="BC5" s="93">
        <f t="shared" si="1"/>
        <v>20393.345357280705</v>
      </c>
      <c r="BD5" s="93">
        <f t="shared" si="1"/>
        <v>20324.577250299295</v>
      </c>
      <c r="BE5" s="93">
        <f t="shared" si="1"/>
        <v>20243.470445010636</v>
      </c>
      <c r="BF5" s="93">
        <f t="shared" si="1"/>
        <v>20155.385685377598</v>
      </c>
      <c r="BG5" s="93">
        <f t="shared" si="1"/>
        <v>20062.750283442845</v>
      </c>
      <c r="BH5" s="93">
        <f t="shared" si="1"/>
        <v>19970.170968379996</v>
      </c>
      <c r="BI5" s="93">
        <f t="shared" si="1"/>
        <v>19877.46181900561</v>
      </c>
      <c r="BJ5" s="102">
        <f t="shared" si="1"/>
        <v>19778.993536335674</v>
      </c>
    </row>
    <row r="6" spans="1:62" x14ac:dyDescent="0.25">
      <c r="A6" s="71" t="s">
        <v>167</v>
      </c>
      <c r="B6" s="75">
        <f>'Production Summary'!C16</f>
        <v>15856.6</v>
      </c>
      <c r="C6" s="75">
        <f>'Production Summary'!D16</f>
        <v>16231.1</v>
      </c>
      <c r="D6" s="75">
        <f>'Production Summary'!E16</f>
        <v>13704.1</v>
      </c>
      <c r="E6" s="75">
        <f>'Production Summary'!F16</f>
        <v>17730</v>
      </c>
      <c r="F6" s="75">
        <f>'Production Summary'!G16</f>
        <v>14915.2</v>
      </c>
      <c r="G6" s="75">
        <f>'Production Summary'!H16</f>
        <v>17027.5</v>
      </c>
      <c r="H6" s="75">
        <f>'Production Summary'!I16</f>
        <v>17773.100000000002</v>
      </c>
      <c r="I6" s="75">
        <f>'Production Summary'!J16</f>
        <v>16371.6</v>
      </c>
      <c r="J6" s="75">
        <f>'Production Summary'!K16</f>
        <v>15832.300000000001</v>
      </c>
      <c r="K6" s="75">
        <f>'Production Summary'!L16</f>
        <v>18230.5</v>
      </c>
      <c r="L6" s="75">
        <f>'Production Summary'!M16</f>
        <v>15350.1</v>
      </c>
      <c r="M6" s="75">
        <f>'Production Summary'!N16</f>
        <v>12959.300000000001</v>
      </c>
      <c r="N6" s="75">
        <f>'Production Summary'!O16</f>
        <v>7742.3</v>
      </c>
      <c r="O6" s="75">
        <f>'Production Summary'!P16</f>
        <v>15061.6</v>
      </c>
      <c r="P6" s="75">
        <f>'Production Summary'!Q16</f>
        <v>17131</v>
      </c>
      <c r="Q6" s="75">
        <f>'Production Summary'!R16</f>
        <v>18275.100000000002</v>
      </c>
      <c r="R6" s="75">
        <f>'Production Summary'!S16</f>
        <v>16167.9</v>
      </c>
      <c r="S6" s="75">
        <f>'Production Summary'!T16</f>
        <v>15336.333333333334</v>
      </c>
      <c r="T6" s="75">
        <f>'Production Summary'!U16</f>
        <v>19232.966666666664</v>
      </c>
      <c r="U6" s="75">
        <f>'Production Summary'!V16</f>
        <v>15409.300000000001</v>
      </c>
      <c r="V6" s="75">
        <f>'Production Summary'!W16</f>
        <v>18368.100000000002</v>
      </c>
      <c r="W6" s="75">
        <f>'Production Summary'!X16</f>
        <v>19841.3</v>
      </c>
      <c r="X6" s="75">
        <f>'Production Summary'!Y16</f>
        <v>18665.900000000001</v>
      </c>
      <c r="Y6" s="75">
        <f>'Production Summary'!Z16</f>
        <v>23968.3</v>
      </c>
      <c r="Z6" s="75">
        <f>'Production Summary'!AA16</f>
        <v>20208.400000000001</v>
      </c>
      <c r="AA6" s="75">
        <f>'Production Summary'!AB16</f>
        <v>19236.5</v>
      </c>
      <c r="AB6" s="137">
        <f>'Production Summary'!AC16</f>
        <v>22029.3</v>
      </c>
      <c r="AC6" s="56">
        <f>'Production Summary'!AD16</f>
        <v>21862</v>
      </c>
      <c r="AD6" s="94">
        <f t="shared" ref="AD6:AS14" si="2">AD19*AD$4*0.001</f>
        <v>19817.08845580279</v>
      </c>
      <c r="AE6" s="93">
        <f t="shared" si="2"/>
        <v>19950.185450194644</v>
      </c>
      <c r="AF6" s="93">
        <f t="shared" si="2"/>
        <v>20028.258227790098</v>
      </c>
      <c r="AG6" s="93">
        <f t="shared" si="2"/>
        <v>20003.943589480365</v>
      </c>
      <c r="AH6" s="93">
        <f t="shared" si="2"/>
        <v>19987.801368343582</v>
      </c>
      <c r="AI6" s="93">
        <f t="shared" si="2"/>
        <v>20021.174673324917</v>
      </c>
      <c r="AJ6" s="93">
        <f t="shared" si="2"/>
        <v>20125.92508782</v>
      </c>
      <c r="AK6" s="93">
        <f t="shared" si="2"/>
        <v>20245.133213662546</v>
      </c>
      <c r="AL6" s="93">
        <f t="shared" si="2"/>
        <v>20366.248784221676</v>
      </c>
      <c r="AM6" s="93">
        <f t="shared" si="2"/>
        <v>20474.265547045743</v>
      </c>
      <c r="AN6" s="93">
        <f t="shared" si="2"/>
        <v>20572.715896866805</v>
      </c>
      <c r="AO6" s="93">
        <f t="shared" si="2"/>
        <v>20653.443831747725</v>
      </c>
      <c r="AP6" s="93">
        <f t="shared" si="2"/>
        <v>20697.628594444646</v>
      </c>
      <c r="AQ6" s="93">
        <f t="shared" si="2"/>
        <v>20718.355064585405</v>
      </c>
      <c r="AR6" s="93">
        <f t="shared" si="2"/>
        <v>20724.986643349806</v>
      </c>
      <c r="AS6" s="93">
        <f t="shared" si="2"/>
        <v>20717.418724181083</v>
      </c>
      <c r="AT6" s="93">
        <f t="shared" si="1"/>
        <v>20700.249459050243</v>
      </c>
      <c r="AU6" s="93">
        <f t="shared" si="1"/>
        <v>20677.883518916755</v>
      </c>
      <c r="AV6" s="93">
        <f t="shared" si="1"/>
        <v>20643.464644296102</v>
      </c>
      <c r="AW6" s="93">
        <f t="shared" si="1"/>
        <v>20618.368858973776</v>
      </c>
      <c r="AX6" s="93">
        <f t="shared" si="1"/>
        <v>20595.024072802928</v>
      </c>
      <c r="AY6" s="93">
        <f t="shared" si="1"/>
        <v>20567.297723012249</v>
      </c>
      <c r="AZ6" s="93">
        <f t="shared" si="1"/>
        <v>20528.974626752202</v>
      </c>
      <c r="BA6" s="93">
        <f t="shared" si="1"/>
        <v>20481.691261164931</v>
      </c>
      <c r="BB6" s="93">
        <f t="shared" si="1"/>
        <v>20427.724251487245</v>
      </c>
      <c r="BC6" s="93">
        <f t="shared" si="1"/>
        <v>20374.156659500328</v>
      </c>
      <c r="BD6" s="93">
        <f t="shared" si="1"/>
        <v>20306.932294034861</v>
      </c>
      <c r="BE6" s="93">
        <f t="shared" si="1"/>
        <v>20227.407133847515</v>
      </c>
      <c r="BF6" s="93">
        <f t="shared" si="1"/>
        <v>20140.936348907413</v>
      </c>
      <c r="BG6" s="93">
        <f t="shared" si="1"/>
        <v>20049.945143965415</v>
      </c>
      <c r="BH6" s="93">
        <f t="shared" si="1"/>
        <v>19959.037679962534</v>
      </c>
      <c r="BI6" s="93">
        <f t="shared" si="1"/>
        <v>19868.029270478535</v>
      </c>
      <c r="BJ6" s="102">
        <f t="shared" si="1"/>
        <v>19771.293970290601</v>
      </c>
    </row>
    <row r="7" spans="1:62" x14ac:dyDescent="0.25">
      <c r="A7" s="71" t="s">
        <v>117</v>
      </c>
      <c r="B7" s="75">
        <f>'Production Summary'!C17</f>
        <v>30.134482000000002</v>
      </c>
      <c r="C7" s="75">
        <f>'Production Summary'!D17</f>
        <v>29.885033799999999</v>
      </c>
      <c r="D7" s="75">
        <f>'Production Summary'!E17</f>
        <v>29.635585599999978</v>
      </c>
      <c r="E7" s="75">
        <f>'Production Summary'!F17</f>
        <v>29.386137399999992</v>
      </c>
      <c r="F7" s="75">
        <f>'Production Summary'!G17</f>
        <v>29.136689200000017</v>
      </c>
      <c r="G7" s="75">
        <f>'Production Summary'!H17</f>
        <v>28.887241000000007</v>
      </c>
      <c r="H7" s="75">
        <f>'Production Summary'!I17</f>
        <v>28.637792799999996</v>
      </c>
      <c r="I7" s="75">
        <f>'Production Summary'!J17</f>
        <v>28.388344599999989</v>
      </c>
      <c r="J7" s="75">
        <f>'Production Summary'!K17</f>
        <v>28.1388964</v>
      </c>
      <c r="K7" s="75">
        <f>'Production Summary'!L17</f>
        <v>27.889448200000022</v>
      </c>
      <c r="L7" s="75">
        <f>'Production Summary'!M17</f>
        <v>27.64</v>
      </c>
      <c r="M7" s="75">
        <f>'Production Summary'!N17</f>
        <v>27.390551800000001</v>
      </c>
      <c r="N7" s="75">
        <f>'Production Summary'!O17</f>
        <v>29.975275599999993</v>
      </c>
      <c r="O7" s="75">
        <f>'Production Summary'!P17</f>
        <v>26.318483999999998</v>
      </c>
      <c r="P7" s="75">
        <f>'Production Summary'!Q17</f>
        <v>27.325011999999983</v>
      </c>
      <c r="Q7" s="75">
        <f>'Production Summary'!R17</f>
        <v>25.213540000000002</v>
      </c>
      <c r="R7" s="75">
        <f>'Production Summary'!S17</f>
        <v>27.750067999999992</v>
      </c>
      <c r="S7" s="75">
        <f>'Production Summary'!T17</f>
        <v>27.038295999999999</v>
      </c>
      <c r="T7" s="75">
        <f>'Production Summary'!U17</f>
        <v>25.091600000000003</v>
      </c>
      <c r="U7" s="75">
        <f>'Production Summary'!V17</f>
        <v>24.393799999999999</v>
      </c>
      <c r="V7" s="75">
        <f>'Production Summary'!W17</f>
        <v>21.466999999999999</v>
      </c>
      <c r="W7" s="75">
        <f>'Production Summary'!X17</f>
        <v>22.059000000000001</v>
      </c>
      <c r="X7" s="75">
        <f>'Production Summary'!Y17</f>
        <v>21.446000000000002</v>
      </c>
      <c r="Y7" s="75">
        <f>'Production Summary'!Z17</f>
        <v>20.536999999999999</v>
      </c>
      <c r="Z7" s="75">
        <f>'Production Summary'!AA17</f>
        <v>24.991</v>
      </c>
      <c r="AA7" s="75">
        <f>'Production Summary'!AB17</f>
        <v>23.855</v>
      </c>
      <c r="AB7" s="137">
        <f>'Production Summary'!AC17</f>
        <v>25.468</v>
      </c>
      <c r="AC7" s="56">
        <f>'Production Summary'!AD17</f>
        <v>25.568000000000001</v>
      </c>
      <c r="AD7" s="94">
        <f t="shared" si="2"/>
        <v>26.918958703401028</v>
      </c>
      <c r="AE7" s="93">
        <f t="shared" si="1"/>
        <v>27.962636123359122</v>
      </c>
      <c r="AF7" s="93">
        <f t="shared" si="1"/>
        <v>28.955178945157964</v>
      </c>
      <c r="AG7" s="93">
        <f t="shared" si="1"/>
        <v>29.819399814792991</v>
      </c>
      <c r="AH7" s="93">
        <f t="shared" si="1"/>
        <v>30.711816455413981</v>
      </c>
      <c r="AI7" s="93">
        <f t="shared" si="1"/>
        <v>31.699504212573217</v>
      </c>
      <c r="AJ7" s="93">
        <f t="shared" si="1"/>
        <v>32.825720414340701</v>
      </c>
      <c r="AK7" s="93">
        <f t="shared" si="1"/>
        <v>34.005962142070494</v>
      </c>
      <c r="AL7" s="93">
        <f t="shared" si="1"/>
        <v>35.221602299760534</v>
      </c>
      <c r="AM7" s="93">
        <f t="shared" si="1"/>
        <v>36.447223200682885</v>
      </c>
      <c r="AN7" s="93">
        <f t="shared" si="1"/>
        <v>37.688314037631706</v>
      </c>
      <c r="AO7" s="93">
        <f t="shared" si="1"/>
        <v>38.929038661733557</v>
      </c>
      <c r="AP7" s="93">
        <f t="shared" si="1"/>
        <v>40.131099383227351</v>
      </c>
      <c r="AQ7" s="93">
        <f t="shared" si="1"/>
        <v>41.315586596156308</v>
      </c>
      <c r="AR7" s="93">
        <f t="shared" si="1"/>
        <v>42.498693463827735</v>
      </c>
      <c r="AS7" s="93">
        <f t="shared" si="1"/>
        <v>43.678678974518306</v>
      </c>
      <c r="AT7" s="93">
        <f t="shared" si="1"/>
        <v>44.86390127451341</v>
      </c>
      <c r="AU7" s="93">
        <f t="shared" si="1"/>
        <v>46.063324238716383</v>
      </c>
      <c r="AV7" s="93">
        <f t="shared" si="1"/>
        <v>47.261179634937442</v>
      </c>
      <c r="AW7" s="93">
        <f>AW20*AW$4*0.001</f>
        <v>48.506381931097643</v>
      </c>
      <c r="AX7" s="93">
        <f t="shared" si="1"/>
        <v>49.783335435058298</v>
      </c>
      <c r="AY7" s="93">
        <f t="shared" si="1"/>
        <v>51.078143250609912</v>
      </c>
      <c r="AZ7" s="93">
        <f t="shared" si="1"/>
        <v>52.375098637023541</v>
      </c>
      <c r="BA7" s="93">
        <f t="shared" si="1"/>
        <v>53.677352304201932</v>
      </c>
      <c r="BB7" s="93">
        <f t="shared" si="1"/>
        <v>54.990187862661557</v>
      </c>
      <c r="BC7" s="93">
        <f t="shared" si="1"/>
        <v>56.332800501800122</v>
      </c>
      <c r="BD7" s="93">
        <f t="shared" si="1"/>
        <v>57.666455678833444</v>
      </c>
      <c r="BE7" s="93">
        <f t="shared" si="1"/>
        <v>58.993113754322266</v>
      </c>
      <c r="BF7" s="93">
        <f t="shared" si="1"/>
        <v>60.32703689636061</v>
      </c>
      <c r="BG7" s="93">
        <f t="shared" si="1"/>
        <v>61.675112061591427</v>
      </c>
      <c r="BH7" s="93">
        <f t="shared" si="1"/>
        <v>63.051884090636058</v>
      </c>
      <c r="BI7" s="93">
        <f t="shared" si="1"/>
        <v>64.457931178994258</v>
      </c>
      <c r="BJ7" s="102">
        <f t="shared" si="1"/>
        <v>65.875701866959659</v>
      </c>
    </row>
    <row r="8" spans="1:62" x14ac:dyDescent="0.25">
      <c r="A8" s="71" t="s">
        <v>116</v>
      </c>
      <c r="B8" s="75">
        <f>'Production Summary'!C18</f>
        <v>18.384624925631414</v>
      </c>
      <c r="C8" s="75">
        <f>'Production Summary'!D18</f>
        <v>18.514814143504097</v>
      </c>
      <c r="D8" s="75">
        <f>'Production Summary'!E18</f>
        <v>18.659197373085206</v>
      </c>
      <c r="E8" s="75">
        <f>'Production Summary'!F18</f>
        <v>18.818539707971841</v>
      </c>
      <c r="F8" s="75">
        <f>'Production Summary'!G18</f>
        <v>18.993647482266542</v>
      </c>
      <c r="G8" s="75">
        <f>'Production Summary'!H18</f>
        <v>19.185370493545513</v>
      </c>
      <c r="H8" s="75">
        <f>'Production Summary'!I18</f>
        <v>19.39460434565186</v>
      </c>
      <c r="I8" s="75">
        <f>'Production Summary'!J18</f>
        <v>19.622292917770398</v>
      </c>
      <c r="J8" s="75">
        <f>'Production Summary'!K18</f>
        <v>19.869430966592045</v>
      </c>
      <c r="K8" s="75">
        <f>'Production Summary'!L18</f>
        <v>20.137066868742281</v>
      </c>
      <c r="L8" s="75">
        <f>'Production Summary'!M18</f>
        <v>20.426305511032734</v>
      </c>
      <c r="M8" s="75">
        <f>'Production Summary'!N18</f>
        <v>20.738311336504658</v>
      </c>
      <c r="N8" s="75">
        <f>'Production Summary'!O18</f>
        <v>17.926933554662959</v>
      </c>
      <c r="O8" s="75">
        <f>'Production Summary'!P18</f>
        <v>20.246032524749083</v>
      </c>
      <c r="P8" s="75">
        <f>'Production Summary'!Q18</f>
        <v>23.978691999999999</v>
      </c>
      <c r="Q8" s="75">
        <f>'Production Summary'!R18</f>
        <v>26.059365</v>
      </c>
      <c r="R8" s="75">
        <f>'Production Summary'!S18</f>
        <v>27.569038000000003</v>
      </c>
      <c r="S8" s="75">
        <f>'Production Summary'!T18</f>
        <v>20.929711000000001</v>
      </c>
      <c r="T8" s="75">
        <f>'Production Summary'!U18</f>
        <v>15.558384000000002</v>
      </c>
      <c r="U8" s="75">
        <f>'Production Summary'!V18</f>
        <v>20.270057000000005</v>
      </c>
      <c r="V8" s="75">
        <f>'Production Summary'!W18</f>
        <v>18.847999999999999</v>
      </c>
      <c r="W8" s="75">
        <f>'Production Summary'!X18</f>
        <v>22.437999999999999</v>
      </c>
      <c r="X8" s="75">
        <f>'Production Summary'!Y18</f>
        <v>21.539000000000001</v>
      </c>
      <c r="Y8" s="75">
        <f>'Production Summary'!Z18</f>
        <v>14.177</v>
      </c>
      <c r="Z8" s="75">
        <f>'Production Summary'!AA18</f>
        <v>29.743000000000002</v>
      </c>
      <c r="AA8" s="75">
        <f>'Production Summary'!AB18</f>
        <v>27.780999999999999</v>
      </c>
      <c r="AB8" s="137">
        <f>'Production Summary'!AC18</f>
        <v>27.725000000000001</v>
      </c>
      <c r="AC8" s="56">
        <f>'Production Summary'!AD18</f>
        <v>33.521000000000001</v>
      </c>
      <c r="AD8" s="95">
        <f t="shared" si="2"/>
        <v>25.462628294008585</v>
      </c>
      <c r="AE8" s="96">
        <f t="shared" si="1"/>
        <v>25.689748154766679</v>
      </c>
      <c r="AF8" s="96">
        <f t="shared" si="1"/>
        <v>25.847703439997591</v>
      </c>
      <c r="AG8" s="96">
        <f t="shared" si="1"/>
        <v>25.874802446419682</v>
      </c>
      <c r="AH8" s="96">
        <f t="shared" si="1"/>
        <v>25.913513563613773</v>
      </c>
      <c r="AI8" s="96">
        <f t="shared" si="1"/>
        <v>26.017667603392713</v>
      </c>
      <c r="AJ8" s="96">
        <f t="shared" si="1"/>
        <v>26.216235897882257</v>
      </c>
      <c r="AK8" s="96">
        <f t="shared" si="1"/>
        <v>26.435616517831921</v>
      </c>
      <c r="AL8" s="96">
        <f t="shared" si="1"/>
        <v>26.659581166020676</v>
      </c>
      <c r="AM8" s="96">
        <f t="shared" si="1"/>
        <v>26.868521278800433</v>
      </c>
      <c r="AN8" s="96">
        <f t="shared" si="1"/>
        <v>27.067020490704788</v>
      </c>
      <c r="AO8" s="96">
        <f t="shared" si="1"/>
        <v>27.244289973524811</v>
      </c>
      <c r="AP8" s="96">
        <f t="shared" si="1"/>
        <v>27.375319406386247</v>
      </c>
      <c r="AQ8" s="96">
        <f t="shared" si="1"/>
        <v>27.477136949825194</v>
      </c>
      <c r="AR8" s="96">
        <f t="shared" si="1"/>
        <v>27.561999370239214</v>
      </c>
      <c r="AS8" s="96">
        <f t="shared" si="1"/>
        <v>27.629668296561075</v>
      </c>
      <c r="AT8" s="96">
        <f t="shared" si="1"/>
        <v>27.686189148443273</v>
      </c>
      <c r="AU8" s="96">
        <f t="shared" si="1"/>
        <v>27.737415219430556</v>
      </c>
      <c r="AV8" s="96">
        <f t="shared" si="1"/>
        <v>27.774117316053754</v>
      </c>
      <c r="AW8" s="96">
        <f t="shared" si="1"/>
        <v>27.825053605186959</v>
      </c>
      <c r="AX8" s="96">
        <f t="shared" si="1"/>
        <v>27.880149578454247</v>
      </c>
      <c r="AY8" s="96">
        <f t="shared" si="1"/>
        <v>27.9311636653064</v>
      </c>
      <c r="AZ8" s="96">
        <f t="shared" si="1"/>
        <v>27.969637756638996</v>
      </c>
      <c r="BA8" s="96">
        <f t="shared" si="1"/>
        <v>27.997734857896852</v>
      </c>
      <c r="BB8" s="96">
        <f t="shared" si="1"/>
        <v>28.018522633898243</v>
      </c>
      <c r="BC8" s="96">
        <f t="shared" si="1"/>
        <v>28.041724486256189</v>
      </c>
      <c r="BD8" s="96">
        <f t="shared" si="1"/>
        <v>28.048002774305463</v>
      </c>
      <c r="BE8" s="96">
        <f t="shared" si="1"/>
        <v>28.039107472326123</v>
      </c>
      <c r="BF8" s="96">
        <f t="shared" si="1"/>
        <v>28.022373704926697</v>
      </c>
      <c r="BG8" s="96">
        <f t="shared" si="1"/>
        <v>28.001151173017046</v>
      </c>
      <c r="BH8" s="96">
        <f t="shared" si="1"/>
        <v>27.981894754279658</v>
      </c>
      <c r="BI8" s="96">
        <f t="shared" si="1"/>
        <v>27.964421055612046</v>
      </c>
      <c r="BJ8" s="103">
        <f t="shared" si="1"/>
        <v>27.940857079237269</v>
      </c>
    </row>
    <row r="9" spans="1:62" x14ac:dyDescent="0.25">
      <c r="A9" s="72" t="s">
        <v>168</v>
      </c>
      <c r="B9" s="53">
        <f>SUM(B10:B13)</f>
        <v>3648.4310000000009</v>
      </c>
      <c r="C9" s="53">
        <f t="shared" ref="C9:AC9" si="3">SUM(C10:C13)</f>
        <v>3626.1009999999965</v>
      </c>
      <c r="D9" s="53">
        <f t="shared" si="3"/>
        <v>3604.3369999999991</v>
      </c>
      <c r="E9" s="53">
        <f t="shared" si="3"/>
        <v>3585.9670000000019</v>
      </c>
      <c r="F9" s="53">
        <f t="shared" si="3"/>
        <v>3570.8839999999973</v>
      </c>
      <c r="G9" s="53">
        <f t="shared" si="3"/>
        <v>3552.5910000000003</v>
      </c>
      <c r="H9" s="53">
        <f t="shared" si="3"/>
        <v>3530.1839999999956</v>
      </c>
      <c r="I9" s="53">
        <f t="shared" si="3"/>
        <v>3512.1879999999987</v>
      </c>
      <c r="J9" s="53">
        <f t="shared" si="3"/>
        <v>3497.4810000000016</v>
      </c>
      <c r="K9" s="53">
        <f t="shared" si="3"/>
        <v>3298.1695450000007</v>
      </c>
      <c r="L9" s="53">
        <f t="shared" si="3"/>
        <v>3314.6659440000003</v>
      </c>
      <c r="M9" s="53">
        <f t="shared" si="3"/>
        <v>3353.4200489999998</v>
      </c>
      <c r="N9" s="53">
        <f t="shared" si="3"/>
        <v>3431.9670190000002</v>
      </c>
      <c r="O9" s="53">
        <f t="shared" si="3"/>
        <v>3148.7042160000001</v>
      </c>
      <c r="P9" s="53">
        <f t="shared" si="3"/>
        <v>3767.1203650000002</v>
      </c>
      <c r="Q9" s="53">
        <f t="shared" si="3"/>
        <v>3597.2992899999999</v>
      </c>
      <c r="R9" s="53">
        <f t="shared" si="3"/>
        <v>3288.9486010000001</v>
      </c>
      <c r="S9" s="53">
        <f t="shared" si="3"/>
        <v>3303.0021540000007</v>
      </c>
      <c r="T9" s="53">
        <f t="shared" si="3"/>
        <v>3421.3834820000002</v>
      </c>
      <c r="U9" s="53">
        <f t="shared" si="3"/>
        <v>3480.2862249999998</v>
      </c>
      <c r="V9" s="53">
        <f t="shared" si="3"/>
        <v>3567.5791119999999</v>
      </c>
      <c r="W9" s="53">
        <f t="shared" si="3"/>
        <v>3136.468837709187</v>
      </c>
      <c r="X9" s="53">
        <f t="shared" si="3"/>
        <v>2935.0243795253036</v>
      </c>
      <c r="Y9" s="53">
        <f t="shared" si="3"/>
        <v>2920.8568104029928</v>
      </c>
      <c r="Z9" s="53">
        <f t="shared" si="3"/>
        <v>3034.1540516879331</v>
      </c>
      <c r="AA9" s="53">
        <f t="shared" si="3"/>
        <v>2997.0125551532819</v>
      </c>
      <c r="AB9" s="136">
        <f t="shared" si="3"/>
        <v>3118.7722213074744</v>
      </c>
      <c r="AC9" s="53">
        <f t="shared" si="3"/>
        <v>3289.3700958991476</v>
      </c>
      <c r="AD9" s="94">
        <f t="shared" si="2"/>
        <v>3249.8523058227747</v>
      </c>
      <c r="AE9" s="93">
        <f t="shared" si="1"/>
        <v>3315.3095928787234</v>
      </c>
      <c r="AF9" s="93">
        <f t="shared" si="1"/>
        <v>3372.9370651619884</v>
      </c>
      <c r="AG9" s="93">
        <f t="shared" si="1"/>
        <v>3414.3177472973193</v>
      </c>
      <c r="AH9" s="93">
        <f t="shared" si="1"/>
        <v>3457.9030072928135</v>
      </c>
      <c r="AI9" s="93">
        <f t="shared" si="1"/>
        <v>3511.0247565711534</v>
      </c>
      <c r="AJ9" s="93">
        <f t="shared" si="1"/>
        <v>3577.9538307819289</v>
      </c>
      <c r="AK9" s="93">
        <f t="shared" si="1"/>
        <v>3648.9925679459311</v>
      </c>
      <c r="AL9" s="93">
        <f t="shared" si="1"/>
        <v>3722.0029706471446</v>
      </c>
      <c r="AM9" s="93">
        <f t="shared" si="1"/>
        <v>3794.269609134381</v>
      </c>
      <c r="AN9" s="93">
        <f t="shared" si="1"/>
        <v>3866.4067032254779</v>
      </c>
      <c r="AO9" s="93">
        <f t="shared" si="1"/>
        <v>3936.836185875115</v>
      </c>
      <c r="AP9" s="93">
        <f t="shared" si="1"/>
        <v>4001.8278145011691</v>
      </c>
      <c r="AQ9" s="93">
        <f t="shared" si="1"/>
        <v>4063.6950926919053</v>
      </c>
      <c r="AR9" s="93">
        <f t="shared" si="1"/>
        <v>4124.1492146576893</v>
      </c>
      <c r="AS9" s="93">
        <f t="shared" si="1"/>
        <v>4183.0921787943089</v>
      </c>
      <c r="AT9" s="93">
        <f t="shared" si="1"/>
        <v>4241.3848449594798</v>
      </c>
      <c r="AU9" s="93">
        <f t="shared" si="1"/>
        <v>4299.9002604378165</v>
      </c>
      <c r="AV9" s="93">
        <f t="shared" si="1"/>
        <v>4357.1876686225514</v>
      </c>
      <c r="AW9" s="93">
        <f t="shared" si="1"/>
        <v>4417.7576723137945</v>
      </c>
      <c r="AX9" s="93">
        <f t="shared" si="1"/>
        <v>4480.1000144901163</v>
      </c>
      <c r="AY9" s="93">
        <f t="shared" si="1"/>
        <v>4542.9275342770643</v>
      </c>
      <c r="AZ9" s="93">
        <f t="shared" si="1"/>
        <v>4604.8536842610956</v>
      </c>
      <c r="BA9" s="93">
        <f t="shared" si="1"/>
        <v>4666.1937454668969</v>
      </c>
      <c r="BB9" s="93">
        <f t="shared" si="1"/>
        <v>4727.4318574040135</v>
      </c>
      <c r="BC9" s="93">
        <f t="shared" si="1"/>
        <v>4790.2136719397431</v>
      </c>
      <c r="BD9" s="93">
        <f t="shared" si="1"/>
        <v>4851.2409606651154</v>
      </c>
      <c r="BE9" s="93">
        <f t="shared" si="1"/>
        <v>4910.7420824796118</v>
      </c>
      <c r="BF9" s="93">
        <f t="shared" si="1"/>
        <v>4969.9485756607037</v>
      </c>
      <c r="BG9" s="93">
        <f t="shared" si="1"/>
        <v>5029.4398114523974</v>
      </c>
      <c r="BH9" s="93">
        <f t="shared" si="1"/>
        <v>5090.3900436132999</v>
      </c>
      <c r="BI9" s="93">
        <f t="shared" si="1"/>
        <v>5152.8109055963796</v>
      </c>
      <c r="BJ9" s="102">
        <f t="shared" si="1"/>
        <v>5215.2787337334066</v>
      </c>
    </row>
    <row r="10" spans="1:62" x14ac:dyDescent="0.25">
      <c r="A10" s="73" t="s">
        <v>6</v>
      </c>
      <c r="B10" s="75">
        <f>'Production Summary'!C19</f>
        <v>2711.1100000000006</v>
      </c>
      <c r="C10" s="75">
        <f>'Production Summary'!D19</f>
        <v>2681.9989999999962</v>
      </c>
      <c r="D10" s="75">
        <f>'Production Summary'!E19</f>
        <v>2652.887999999999</v>
      </c>
      <c r="E10" s="75">
        <f>'Production Summary'!F19</f>
        <v>2623.7770000000019</v>
      </c>
      <c r="F10" s="75">
        <f>'Production Summary'!G19</f>
        <v>2594.6659999999974</v>
      </c>
      <c r="G10" s="75">
        <f>'Production Summary'!H19</f>
        <v>2565.5550000000003</v>
      </c>
      <c r="H10" s="75">
        <f>'Production Summary'!I19</f>
        <v>2536.4439999999959</v>
      </c>
      <c r="I10" s="75">
        <f>'Production Summary'!J19</f>
        <v>2507.3329999999987</v>
      </c>
      <c r="J10" s="75">
        <f>'Production Summary'!K19</f>
        <v>2478.2220000000016</v>
      </c>
      <c r="K10" s="75">
        <f>'Production Summary'!L19</f>
        <v>2322.3070000000002</v>
      </c>
      <c r="L10" s="75">
        <f>'Production Summary'!M19</f>
        <v>2334.9030000000002</v>
      </c>
      <c r="M10" s="75">
        <f>'Production Summary'!N19</f>
        <v>2342.002</v>
      </c>
      <c r="N10" s="75">
        <f>'Production Summary'!O19</f>
        <v>2367.91</v>
      </c>
      <c r="O10" s="75">
        <f>'Production Summary'!P19</f>
        <v>2071.4549999999999</v>
      </c>
      <c r="P10" s="75">
        <f>'Production Summary'!Q19</f>
        <v>2648.3409999999999</v>
      </c>
      <c r="Q10" s="75">
        <f>'Production Summary'!R19</f>
        <v>2462.98</v>
      </c>
      <c r="R10" s="75">
        <f>'Production Summary'!S19</f>
        <v>2151.8110000000001</v>
      </c>
      <c r="S10" s="75">
        <f>'Production Summary'!T19</f>
        <v>2200.2580000000003</v>
      </c>
      <c r="T10" s="75">
        <f>'Production Summary'!U19</f>
        <v>2303.5320000000002</v>
      </c>
      <c r="U10" s="75">
        <f>'Production Summary'!V19</f>
        <v>2396.0650000000001</v>
      </c>
      <c r="V10" s="75">
        <f>'Production Summary'!W19</f>
        <v>2471.0630000000001</v>
      </c>
      <c r="W10" s="75">
        <f>'Production Summary'!X19</f>
        <v>2046.6873927091865</v>
      </c>
      <c r="X10" s="75">
        <f>'Production Summary'!Y19</f>
        <v>1835.2412835253035</v>
      </c>
      <c r="Y10" s="75">
        <f>'Production Summary'!Z19</f>
        <v>1853.1396194029924</v>
      </c>
      <c r="Z10" s="75">
        <f>'Production Summary'!AA19</f>
        <v>1932.5596156879328</v>
      </c>
      <c r="AA10" s="75">
        <f>'Production Summary'!AB19</f>
        <v>1833.1419161532817</v>
      </c>
      <c r="AB10" s="137">
        <f>'Production Summary'!AC19</f>
        <v>1924.3706263074746</v>
      </c>
      <c r="AC10" s="56">
        <f>'Production Summary'!AD19</f>
        <v>2058.2576438991473</v>
      </c>
      <c r="AD10" s="94">
        <f t="shared" si="2"/>
        <v>2008.0740630549947</v>
      </c>
      <c r="AE10" s="93">
        <f t="shared" si="1"/>
        <v>2041.6914098218078</v>
      </c>
      <c r="AF10" s="93">
        <f t="shared" si="1"/>
        <v>2070.283907232214</v>
      </c>
      <c r="AG10" s="93">
        <f t="shared" si="1"/>
        <v>2088.7524255865337</v>
      </c>
      <c r="AH10" s="93">
        <f t="shared" si="1"/>
        <v>2108.4478660313825</v>
      </c>
      <c r="AI10" s="93">
        <f t="shared" si="1"/>
        <v>2133.814209303745</v>
      </c>
      <c r="AJ10" s="93">
        <f t="shared" si="1"/>
        <v>2167.3830740631288</v>
      </c>
      <c r="AK10" s="93">
        <f t="shared" si="1"/>
        <v>2203.2191651897742</v>
      </c>
      <c r="AL10" s="93">
        <f t="shared" si="1"/>
        <v>2240.0139174445412</v>
      </c>
      <c r="AM10" s="93">
        <f t="shared" si="1"/>
        <v>2276.1293090511867</v>
      </c>
      <c r="AN10" s="93">
        <f t="shared" si="1"/>
        <v>2311.9393971695786</v>
      </c>
      <c r="AO10" s="93">
        <f t="shared" si="1"/>
        <v>2346.5067460781574</v>
      </c>
      <c r="AP10" s="93">
        <f t="shared" si="1"/>
        <v>2377.6272070401101</v>
      </c>
      <c r="AQ10" s="93">
        <f t="shared" si="1"/>
        <v>2406.7040433378661</v>
      </c>
      <c r="AR10" s="93">
        <f t="shared" si="1"/>
        <v>2434.7671033828556</v>
      </c>
      <c r="AS10" s="93">
        <f t="shared" si="1"/>
        <v>2461.7684854862691</v>
      </c>
      <c r="AT10" s="93">
        <f t="shared" si="1"/>
        <v>2488.2233976558787</v>
      </c>
      <c r="AU10" s="93">
        <f t="shared" si="1"/>
        <v>2514.6477051252787</v>
      </c>
      <c r="AV10" s="93">
        <f t="shared" si="1"/>
        <v>2540.1960711868228</v>
      </c>
      <c r="AW10" s="93">
        <f t="shared" si="1"/>
        <v>2567.4982779158081</v>
      </c>
      <c r="AX10" s="93">
        <f t="shared" si="1"/>
        <v>2595.663163151889</v>
      </c>
      <c r="AY10" s="93">
        <f t="shared" si="1"/>
        <v>2623.9394459418409</v>
      </c>
      <c r="AZ10" s="93">
        <f t="shared" si="1"/>
        <v>2651.5278689588758</v>
      </c>
      <c r="BA10" s="93">
        <f t="shared" si="1"/>
        <v>2678.6159014229656</v>
      </c>
      <c r="BB10" s="93">
        <f t="shared" si="1"/>
        <v>2705.4853521105592</v>
      </c>
      <c r="BC10" s="93">
        <f t="shared" si="1"/>
        <v>2733.0773013591197</v>
      </c>
      <c r="BD10" s="93">
        <f t="shared" si="1"/>
        <v>2759.5092150699602</v>
      </c>
      <c r="BE10" s="93">
        <f t="shared" si="1"/>
        <v>2784.9212582522582</v>
      </c>
      <c r="BF10" s="93">
        <f t="shared" si="1"/>
        <v>2810.019095523844</v>
      </c>
      <c r="BG10" s="93">
        <f t="shared" si="1"/>
        <v>2835.1322879804743</v>
      </c>
      <c r="BH10" s="93">
        <f t="shared" si="1"/>
        <v>2860.9207942828816</v>
      </c>
      <c r="BI10" s="93">
        <f t="shared" si="1"/>
        <v>2887.3852417829853</v>
      </c>
      <c r="BJ10" s="102">
        <f t="shared" si="1"/>
        <v>2913.7243716026392</v>
      </c>
    </row>
    <row r="11" spans="1:62" x14ac:dyDescent="0.25">
      <c r="A11" s="73" t="s">
        <v>7</v>
      </c>
      <c r="B11" s="75">
        <f>'Production Summary'!C20</f>
        <v>320.51</v>
      </c>
      <c r="C11" s="75">
        <f>'Production Summary'!D20</f>
        <v>321.18900000000008</v>
      </c>
      <c r="D11" s="75">
        <f>'Production Summary'!E20</f>
        <v>321.86799999999994</v>
      </c>
      <c r="E11" s="75">
        <f>'Production Summary'!F20</f>
        <v>322.54700000000003</v>
      </c>
      <c r="F11" s="75">
        <f>'Production Summary'!G20</f>
        <v>323.22600000000011</v>
      </c>
      <c r="G11" s="75">
        <f>'Production Summary'!H20</f>
        <v>323.90499999999997</v>
      </c>
      <c r="H11" s="75">
        <f>'Production Summary'!I20</f>
        <v>324.58400000000006</v>
      </c>
      <c r="I11" s="75">
        <f>'Production Summary'!J20</f>
        <v>325.26300000000015</v>
      </c>
      <c r="J11" s="75">
        <f>'Production Summary'!K20</f>
        <v>325.94200000000001</v>
      </c>
      <c r="K11" s="75">
        <f>'Production Summary'!L20</f>
        <v>271.187545</v>
      </c>
      <c r="L11" s="75">
        <f>'Production Summary'!M20</f>
        <v>265.61694400000005</v>
      </c>
      <c r="M11" s="75">
        <f>'Production Summary'!N20</f>
        <v>281.69704899999999</v>
      </c>
      <c r="N11" s="75">
        <f>'Production Summary'!O20</f>
        <v>328.57401900000002</v>
      </c>
      <c r="O11" s="75">
        <f>'Production Summary'!P20</f>
        <v>357.96321600000005</v>
      </c>
      <c r="P11" s="75">
        <f>'Production Summary'!Q20</f>
        <v>382.14236499999998</v>
      </c>
      <c r="Q11" s="75">
        <f>'Production Summary'!R20</f>
        <v>396.52829000000003</v>
      </c>
      <c r="R11" s="75">
        <f>'Production Summary'!S20</f>
        <v>411.71660100000003</v>
      </c>
      <c r="S11" s="75">
        <f>'Production Summary'!T20</f>
        <v>372.70715400000006</v>
      </c>
      <c r="T11" s="75">
        <f>'Production Summary'!U20</f>
        <v>343.07348200000001</v>
      </c>
      <c r="U11" s="75">
        <f>'Production Summary'!V20</f>
        <v>330.09522500000003</v>
      </c>
      <c r="V11" s="75">
        <f>'Production Summary'!W20</f>
        <v>338.08111200000002</v>
      </c>
      <c r="W11" s="75">
        <f>'Production Summary'!X20</f>
        <v>318.39344499999999</v>
      </c>
      <c r="X11" s="75">
        <f>'Production Summary'!Y20</f>
        <v>305.56809600000003</v>
      </c>
      <c r="Y11" s="75">
        <f>'Production Summary'!Z20</f>
        <v>299.470191</v>
      </c>
      <c r="Z11" s="75">
        <f>'Production Summary'!AA20</f>
        <v>318.70243599999998</v>
      </c>
      <c r="AA11" s="75">
        <f>'Production Summary'!AB20</f>
        <v>339.50363900000002</v>
      </c>
      <c r="AB11" s="137">
        <f>'Production Summary'!AC20</f>
        <v>332.67459500000001</v>
      </c>
      <c r="AC11" s="56">
        <f>'Production Summary'!AD20</f>
        <v>329.87945200000001</v>
      </c>
      <c r="AD11" s="94">
        <f t="shared" si="2"/>
        <v>328.76605923175788</v>
      </c>
      <c r="AE11" s="93">
        <f t="shared" si="1"/>
        <v>326.41779559521024</v>
      </c>
      <c r="AF11" s="93">
        <f t="shared" si="1"/>
        <v>323.03201571659167</v>
      </c>
      <c r="AG11" s="93">
        <f t="shared" si="1"/>
        <v>317.89081860334204</v>
      </c>
      <c r="AH11" s="93">
        <f t="shared" si="1"/>
        <v>312.79493615808519</v>
      </c>
      <c r="AI11" s="93">
        <f t="shared" si="1"/>
        <v>308.3726107620285</v>
      </c>
      <c r="AJ11" s="93">
        <f t="shared" si="1"/>
        <v>304.91491848440364</v>
      </c>
      <c r="AK11" s="93">
        <f t="shared" si="1"/>
        <v>301.51550578657395</v>
      </c>
      <c r="AL11" s="93">
        <f t="shared" si="1"/>
        <v>297.9745020466047</v>
      </c>
      <c r="AM11" s="93">
        <f t="shared" si="1"/>
        <v>294.06953258088407</v>
      </c>
      <c r="AN11" s="93">
        <f t="shared" si="1"/>
        <v>289.85555175560648</v>
      </c>
      <c r="AO11" s="93">
        <f t="shared" si="1"/>
        <v>285.22237147236217</v>
      </c>
      <c r="AP11" s="93">
        <f t="shared" si="1"/>
        <v>279.92498525891915</v>
      </c>
      <c r="AQ11" s="93">
        <f t="shared" si="1"/>
        <v>274.16296045903056</v>
      </c>
      <c r="AR11" s="93">
        <f t="shared" si="1"/>
        <v>268.07329111776875</v>
      </c>
      <c r="AS11" s="93">
        <f t="shared" si="1"/>
        <v>261.66268469984544</v>
      </c>
      <c r="AT11" s="93">
        <f t="shared" si="1"/>
        <v>254.99627172274842</v>
      </c>
      <c r="AU11" s="93">
        <f t="shared" si="1"/>
        <v>248.13138658702596</v>
      </c>
      <c r="AV11" s="93">
        <f t="shared" si="1"/>
        <v>240.98836801492018</v>
      </c>
      <c r="AW11" s="93">
        <f t="shared" si="1"/>
        <v>233.81688199903212</v>
      </c>
      <c r="AX11" s="93">
        <f t="shared" si="1"/>
        <v>226.51934608413163</v>
      </c>
      <c r="AY11" s="93">
        <f t="shared" si="1"/>
        <v>219.02341464676115</v>
      </c>
      <c r="AZ11" s="93">
        <f t="shared" si="1"/>
        <v>211.26433545054098</v>
      </c>
      <c r="BA11" s="93">
        <f t="shared" si="1"/>
        <v>203.26435873653017</v>
      </c>
      <c r="BB11" s="93">
        <f t="shared" si="1"/>
        <v>195.04968389502264</v>
      </c>
      <c r="BC11" s="93">
        <f t="shared" si="1"/>
        <v>186.68726601226692</v>
      </c>
      <c r="BD11" s="93">
        <f t="shared" si="1"/>
        <v>178.04762452767358</v>
      </c>
      <c r="BE11" s="93">
        <f t="shared" si="1"/>
        <v>169.1526297679647</v>
      </c>
      <c r="BF11" s="93">
        <f t="shared" si="1"/>
        <v>160.05422559645967</v>
      </c>
      <c r="BG11" s="93">
        <f t="shared" si="1"/>
        <v>150.77367578351672</v>
      </c>
      <c r="BH11" s="93">
        <f t="shared" si="1"/>
        <v>141.34358553917414</v>
      </c>
      <c r="BI11" s="93">
        <f t="shared" si="1"/>
        <v>131.756513115438</v>
      </c>
      <c r="BJ11" s="102">
        <f t="shared" si="1"/>
        <v>121.97144899573486</v>
      </c>
    </row>
    <row r="12" spans="1:62" x14ac:dyDescent="0.25">
      <c r="A12" s="73" t="s">
        <v>169</v>
      </c>
      <c r="B12" s="75">
        <f>'Production Summary'!C21</f>
        <v>62.411000000000001</v>
      </c>
      <c r="C12" s="75">
        <f>'Production Summary'!D21</f>
        <v>61.953000000000003</v>
      </c>
      <c r="D12" s="75">
        <f>'Production Summary'!E21</f>
        <v>62.061</v>
      </c>
      <c r="E12" s="75">
        <f>'Production Summary'!F21</f>
        <v>65.563000000000002</v>
      </c>
      <c r="F12" s="75">
        <f>'Production Summary'!G21</f>
        <v>72.352000000000004</v>
      </c>
      <c r="G12" s="75">
        <f>'Production Summary'!H21</f>
        <v>75.930999999999997</v>
      </c>
      <c r="H12" s="75">
        <f>'Production Summary'!I21</f>
        <v>75.396000000000001</v>
      </c>
      <c r="I12" s="75">
        <f>'Production Summary'!J21</f>
        <v>79.272000000000006</v>
      </c>
      <c r="J12" s="75">
        <f>'Production Summary'!K21</f>
        <v>86.436999999999998</v>
      </c>
      <c r="K12" s="75">
        <f>'Production Summary'!L21</f>
        <v>91.234999999999999</v>
      </c>
      <c r="L12" s="75">
        <f>'Production Summary'!M21</f>
        <v>94.146000000000001</v>
      </c>
      <c r="M12" s="75">
        <f>'Production Summary'!N21</f>
        <v>100.03100000000001</v>
      </c>
      <c r="N12" s="75">
        <f>'Production Summary'!O21</f>
        <v>96.403999999999996</v>
      </c>
      <c r="O12" s="75">
        <f>'Production Summary'!P21</f>
        <v>95.906000000000006</v>
      </c>
      <c r="P12" s="75">
        <f>'Production Summary'!Q21</f>
        <v>101.572</v>
      </c>
      <c r="Q12" s="75">
        <f>'Production Summary'!R21</f>
        <v>100.747</v>
      </c>
      <c r="R12" s="75">
        <f>'Production Summary'!S21</f>
        <v>101.392</v>
      </c>
      <c r="S12" s="75">
        <f>'Production Summary'!T21</f>
        <v>103.886</v>
      </c>
      <c r="T12" s="75">
        <f>'Production Summary'!U21</f>
        <v>106.822</v>
      </c>
      <c r="U12" s="75">
        <f>'Production Summary'!V21</f>
        <v>104.459</v>
      </c>
      <c r="V12" s="75">
        <f>'Production Summary'!W21</f>
        <v>108.438</v>
      </c>
      <c r="W12" s="75">
        <f>'Production Summary'!X21</f>
        <v>111.32900000000001</v>
      </c>
      <c r="X12" s="75">
        <f>'Production Summary'!Y21</f>
        <v>114.28</v>
      </c>
      <c r="Y12" s="75">
        <f>'Production Summary'!Z21</f>
        <v>114.717</v>
      </c>
      <c r="Z12" s="75">
        <f>'Production Summary'!AA21</f>
        <v>114.492</v>
      </c>
      <c r="AA12" s="75">
        <f>'Production Summary'!AB21</f>
        <v>123.125</v>
      </c>
      <c r="AB12" s="137">
        <f>'Production Summary'!AC21</f>
        <v>129.39000000000001</v>
      </c>
      <c r="AC12" s="56">
        <f>'Production Summary'!AD21</f>
        <v>133.17400000000001</v>
      </c>
      <c r="AD12" s="94">
        <f t="shared" si="2"/>
        <v>134.86791518896322</v>
      </c>
      <c r="AE12" s="93">
        <f t="shared" si="1"/>
        <v>137.83946516971383</v>
      </c>
      <c r="AF12" s="93">
        <f t="shared" si="1"/>
        <v>140.49305952338102</v>
      </c>
      <c r="AG12" s="93">
        <f t="shared" si="1"/>
        <v>142.47559726756964</v>
      </c>
      <c r="AH12" s="93">
        <f t="shared" si="1"/>
        <v>144.55467797894414</v>
      </c>
      <c r="AI12" s="93">
        <f t="shared" si="1"/>
        <v>147.03780091557633</v>
      </c>
      <c r="AJ12" s="93">
        <f t="shared" si="1"/>
        <v>150.10621356205974</v>
      </c>
      <c r="AK12" s="93">
        <f t="shared" si="1"/>
        <v>153.35534163718887</v>
      </c>
      <c r="AL12" s="93">
        <f t="shared" si="1"/>
        <v>156.69599202837813</v>
      </c>
      <c r="AM12" s="93">
        <f t="shared" si="1"/>
        <v>160.0139871199838</v>
      </c>
      <c r="AN12" s="93">
        <f t="shared" si="1"/>
        <v>163.33502110004122</v>
      </c>
      <c r="AO12" s="93">
        <f t="shared" si="1"/>
        <v>166.59219826927315</v>
      </c>
      <c r="AP12" s="93">
        <f t="shared" si="1"/>
        <v>169.62695069186401</v>
      </c>
      <c r="AQ12" s="93">
        <f t="shared" si="1"/>
        <v>172.53626846821064</v>
      </c>
      <c r="AR12" s="93">
        <f t="shared" si="1"/>
        <v>175.39219272145516</v>
      </c>
      <c r="AS12" s="93">
        <f t="shared" si="1"/>
        <v>178.19018372981009</v>
      </c>
      <c r="AT12" s="93">
        <f t="shared" si="1"/>
        <v>180.96659133402906</v>
      </c>
      <c r="AU12" s="93">
        <f t="shared" si="1"/>
        <v>183.75852791613252</v>
      </c>
      <c r="AV12" s="93">
        <f t="shared" si="1"/>
        <v>186.50387926055751</v>
      </c>
      <c r="AW12" s="93">
        <f t="shared" si="1"/>
        <v>189.39571051183773</v>
      </c>
      <c r="AX12" s="93">
        <f t="shared" si="1"/>
        <v>192.36977666980226</v>
      </c>
      <c r="AY12" s="93">
        <f t="shared" si="1"/>
        <v>195.3710152959182</v>
      </c>
      <c r="AZ12" s="93">
        <f t="shared" si="1"/>
        <v>198.3397375774469</v>
      </c>
      <c r="BA12" s="93">
        <f t="shared" si="1"/>
        <v>201.28930185766458</v>
      </c>
      <c r="BB12" s="93">
        <f t="shared" si="1"/>
        <v>204.24044753605804</v>
      </c>
      <c r="BC12" s="93">
        <f t="shared" si="1"/>
        <v>207.26429894983315</v>
      </c>
      <c r="BD12" s="93">
        <f t="shared" si="1"/>
        <v>210.21817416249604</v>
      </c>
      <c r="BE12" s="93">
        <f t="shared" si="1"/>
        <v>213.11158501486719</v>
      </c>
      <c r="BF12" s="93">
        <f t="shared" si="1"/>
        <v>215.99770578763767</v>
      </c>
      <c r="BG12" s="93">
        <f t="shared" si="1"/>
        <v>218.9016422972505</v>
      </c>
      <c r="BH12" s="93">
        <f t="shared" si="1"/>
        <v>221.87457668365519</v>
      </c>
      <c r="BI12" s="93">
        <f t="shared" si="1"/>
        <v>224.91723682715093</v>
      </c>
      <c r="BJ12" s="102">
        <f t="shared" si="1"/>
        <v>227.96761163023666</v>
      </c>
    </row>
    <row r="13" spans="1:62" x14ac:dyDescent="0.25">
      <c r="A13" s="73" t="s">
        <v>9</v>
      </c>
      <c r="B13" s="75">
        <f>'Production Summary'!C22</f>
        <v>554.4</v>
      </c>
      <c r="C13" s="75">
        <f>'Production Summary'!D22</f>
        <v>560.96</v>
      </c>
      <c r="D13" s="75">
        <f>'Production Summary'!E22</f>
        <v>567.52</v>
      </c>
      <c r="E13" s="75">
        <f>'Production Summary'!F22</f>
        <v>574.08000000000004</v>
      </c>
      <c r="F13" s="75">
        <f>'Production Summary'!G22</f>
        <v>580.64</v>
      </c>
      <c r="G13" s="75">
        <f>'Production Summary'!H22</f>
        <v>587.20000000000005</v>
      </c>
      <c r="H13" s="75">
        <f>'Production Summary'!I22</f>
        <v>593.76</v>
      </c>
      <c r="I13" s="75">
        <f>'Production Summary'!J22</f>
        <v>600.32000000000005</v>
      </c>
      <c r="J13" s="75">
        <f>'Production Summary'!K22</f>
        <v>606.88</v>
      </c>
      <c r="K13" s="75">
        <f>'Production Summary'!L22</f>
        <v>613.44000000000005</v>
      </c>
      <c r="L13" s="75">
        <f>'Production Summary'!M22</f>
        <v>620</v>
      </c>
      <c r="M13" s="75">
        <f>'Production Summary'!N22</f>
        <v>629.69000000000005</v>
      </c>
      <c r="N13" s="75">
        <f>'Production Summary'!O22</f>
        <v>639.07900000000006</v>
      </c>
      <c r="O13" s="75">
        <f>'Production Summary'!P22</f>
        <v>623.38</v>
      </c>
      <c r="P13" s="75">
        <f>'Production Summary'!Q22</f>
        <v>635.06500000000005</v>
      </c>
      <c r="Q13" s="75">
        <f>'Production Summary'!R22</f>
        <v>637.04399999999998</v>
      </c>
      <c r="R13" s="75">
        <f>'Production Summary'!S22</f>
        <v>624.029</v>
      </c>
      <c r="S13" s="75">
        <f>'Production Summary'!T22</f>
        <v>626.15100000000007</v>
      </c>
      <c r="T13" s="75">
        <f>'Production Summary'!U22</f>
        <v>667.95600000000002</v>
      </c>
      <c r="U13" s="75">
        <f>'Production Summary'!V22</f>
        <v>649.66700000000003</v>
      </c>
      <c r="V13" s="75">
        <f>'Production Summary'!W22</f>
        <v>649.99699999999996</v>
      </c>
      <c r="W13" s="75">
        <f>'Production Summary'!X22</f>
        <v>660.05899999999997</v>
      </c>
      <c r="X13" s="75">
        <f>'Production Summary'!Y22</f>
        <v>679.93500000000006</v>
      </c>
      <c r="Y13" s="75">
        <f>'Production Summary'!Z22</f>
        <v>653.53</v>
      </c>
      <c r="Z13" s="75">
        <f>'Production Summary'!AA22</f>
        <v>668.4</v>
      </c>
      <c r="AA13" s="75">
        <f>'Production Summary'!AB22</f>
        <v>701.24199999999996</v>
      </c>
      <c r="AB13" s="137">
        <f>'Production Summary'!AC22</f>
        <v>732.33699999999999</v>
      </c>
      <c r="AC13" s="56">
        <f>'Production Summary'!AD22</f>
        <v>768.05899999999997</v>
      </c>
      <c r="AD13" s="94">
        <f t="shared" si="2"/>
        <v>701.74279671351348</v>
      </c>
      <c r="AE13" s="93">
        <f t="shared" si="1"/>
        <v>703.91022603221973</v>
      </c>
      <c r="AF13" s="93">
        <f t="shared" si="1"/>
        <v>704.05954296936125</v>
      </c>
      <c r="AG13" s="93">
        <f t="shared" si="1"/>
        <v>700.55148116946634</v>
      </c>
      <c r="AH13" s="93">
        <f t="shared" si="1"/>
        <v>697.28238046184515</v>
      </c>
      <c r="AI13" s="93">
        <f t="shared" si="1"/>
        <v>695.68403694826679</v>
      </c>
      <c r="AJ13" s="93">
        <f t="shared" si="1"/>
        <v>696.49058293421274</v>
      </c>
      <c r="AK13" s="93">
        <f t="shared" si="1"/>
        <v>697.70764384450183</v>
      </c>
      <c r="AL13" s="93">
        <f t="shared" si="1"/>
        <v>698.89546114008635</v>
      </c>
      <c r="AM13" s="93">
        <f t="shared" si="1"/>
        <v>699.53749867224656</v>
      </c>
      <c r="AN13" s="93">
        <f t="shared" si="1"/>
        <v>699.75680379117887</v>
      </c>
      <c r="AO13" s="93">
        <f t="shared" si="1"/>
        <v>699.27859922363359</v>
      </c>
      <c r="AP13" s="93">
        <f t="shared" si="1"/>
        <v>697.47398543081829</v>
      </c>
      <c r="AQ13" s="93">
        <f t="shared" si="1"/>
        <v>694.79652736682453</v>
      </c>
      <c r="AR13" s="93">
        <f t="shared" si="1"/>
        <v>691.56754284795079</v>
      </c>
      <c r="AS13" s="93">
        <f t="shared" ref="AE13:BJ14" si="4">AS26*AS$4*0.001</f>
        <v>687.78804476297046</v>
      </c>
      <c r="AT13" s="93">
        <f t="shared" si="4"/>
        <v>683.61462699760841</v>
      </c>
      <c r="AU13" s="93">
        <f t="shared" si="4"/>
        <v>679.19446970142076</v>
      </c>
      <c r="AV13" s="93">
        <f t="shared" si="4"/>
        <v>674.30382906371608</v>
      </c>
      <c r="AW13" s="93">
        <f t="shared" si="4"/>
        <v>669.64100774167525</v>
      </c>
      <c r="AX13" s="93">
        <f t="shared" si="4"/>
        <v>664.95353596508039</v>
      </c>
      <c r="AY13" s="93">
        <f t="shared" si="4"/>
        <v>660.04067612589483</v>
      </c>
      <c r="AZ13" s="93">
        <f t="shared" si="4"/>
        <v>654.70377324758863</v>
      </c>
      <c r="BA13" s="93">
        <f t="shared" si="4"/>
        <v>648.99803952308241</v>
      </c>
      <c r="BB13" s="93">
        <f t="shared" si="4"/>
        <v>642.99762832550698</v>
      </c>
      <c r="BC13" s="93">
        <f t="shared" si="4"/>
        <v>636.92511348218864</v>
      </c>
      <c r="BD13" s="93">
        <f t="shared" si="4"/>
        <v>630.34069605219656</v>
      </c>
      <c r="BE13" s="93">
        <f t="shared" si="4"/>
        <v>623.29204317525773</v>
      </c>
      <c r="BF13" s="93">
        <f t="shared" si="4"/>
        <v>615.94817122023323</v>
      </c>
      <c r="BG13" s="93">
        <f t="shared" si="4"/>
        <v>608.38436015695436</v>
      </c>
      <c r="BH13" s="93">
        <f t="shared" si="4"/>
        <v>600.7391888063795</v>
      </c>
      <c r="BI13" s="93">
        <f t="shared" si="4"/>
        <v>593.00367132944984</v>
      </c>
      <c r="BJ13" s="102">
        <f t="shared" si="4"/>
        <v>585.0078218551904</v>
      </c>
    </row>
    <row r="14" spans="1:62" x14ac:dyDescent="0.25">
      <c r="A14" s="74" t="s">
        <v>170</v>
      </c>
      <c r="B14" s="77">
        <f>'Production Summary'!C23</f>
        <v>15905.119106925633</v>
      </c>
      <c r="C14" s="77">
        <f>'Production Summary'!D23</f>
        <v>16279.499847943505</v>
      </c>
      <c r="D14" s="77">
        <f>'Production Summary'!E23</f>
        <v>13752.394782973084</v>
      </c>
      <c r="E14" s="77">
        <f>'Production Summary'!F23</f>
        <v>17778.204677107977</v>
      </c>
      <c r="F14" s="77">
        <f>'Production Summary'!G23</f>
        <v>14963.330336682267</v>
      </c>
      <c r="G14" s="77">
        <f>'Production Summary'!H23</f>
        <v>17075.572611493546</v>
      </c>
      <c r="H14" s="77">
        <f>'Production Summary'!I23</f>
        <v>17821.132397145655</v>
      </c>
      <c r="I14" s="77">
        <f>'Production Summary'!J23</f>
        <v>16419.61063751777</v>
      </c>
      <c r="J14" s="77">
        <f>'Production Summary'!K23</f>
        <v>15880.308327366592</v>
      </c>
      <c r="K14" s="77">
        <f>'Production Summary'!L23</f>
        <v>18278.526515068741</v>
      </c>
      <c r="L14" s="77">
        <f>'Production Summary'!M23</f>
        <v>15398.166305511033</v>
      </c>
      <c r="M14" s="77">
        <f>'Production Summary'!N23</f>
        <v>13007.428863136503</v>
      </c>
      <c r="N14" s="77">
        <f>'Production Summary'!O23</f>
        <v>7790.2022091546642</v>
      </c>
      <c r="O14" s="77">
        <f>'Production Summary'!P23</f>
        <v>15108.16451652475</v>
      </c>
      <c r="P14" s="77">
        <f>'Production Summary'!Q23</f>
        <v>17182.303704000002</v>
      </c>
      <c r="Q14" s="77">
        <f>'Production Summary'!R23</f>
        <v>18326.372904999997</v>
      </c>
      <c r="R14" s="77">
        <f>'Production Summary'!S23</f>
        <v>16223.219106</v>
      </c>
      <c r="S14" s="77">
        <f>'Production Summary'!T23</f>
        <v>15384.301340333333</v>
      </c>
      <c r="T14" s="77">
        <f>'Production Summary'!U23</f>
        <v>19273.616650666667</v>
      </c>
      <c r="U14" s="77">
        <f>'Production Summary'!V23</f>
        <v>15453.963857000001</v>
      </c>
      <c r="V14" s="77">
        <f>'Production Summary'!W23</f>
        <v>18408.415000000001</v>
      </c>
      <c r="W14" s="77">
        <f>'Production Summary'!X23</f>
        <v>19885.796999999999</v>
      </c>
      <c r="X14" s="77">
        <f>'Production Summary'!Y23</f>
        <v>18708.885000000002</v>
      </c>
      <c r="Y14" s="77">
        <f>'Production Summary'!Z23</f>
        <v>24003.013999999999</v>
      </c>
      <c r="Z14" s="77">
        <f>'Production Summary'!AA23</f>
        <v>20263.134000000002</v>
      </c>
      <c r="AA14" s="77">
        <f>'Production Summary'!AB23</f>
        <v>19288.135999999999</v>
      </c>
      <c r="AB14" s="138">
        <f>'Production Summary'!AC23</f>
        <v>22082.493000000002</v>
      </c>
      <c r="AC14" s="77">
        <f>'Production Summary'!AD23</f>
        <v>21921.089</v>
      </c>
      <c r="AD14" s="100">
        <f t="shared" si="2"/>
        <v>19862.908927194745</v>
      </c>
      <c r="AE14" s="101">
        <f t="shared" si="4"/>
        <v>19995.472983419961</v>
      </c>
      <c r="AF14" s="101">
        <f t="shared" si="4"/>
        <v>20072.862596252893</v>
      </c>
      <c r="AG14" s="101">
        <f t="shared" si="4"/>
        <v>20047.617574752861</v>
      </c>
      <c r="AH14" s="101">
        <f t="shared" si="4"/>
        <v>20030.547211675894</v>
      </c>
      <c r="AI14" s="101">
        <f t="shared" si="4"/>
        <v>20063.07957304857</v>
      </c>
      <c r="AJ14" s="101">
        <f t="shared" si="4"/>
        <v>20167.113577689848</v>
      </c>
      <c r="AK14" s="101">
        <f t="shared" si="4"/>
        <v>20285.605220511959</v>
      </c>
      <c r="AL14" s="101">
        <f t="shared" si="4"/>
        <v>20405.976755084346</v>
      </c>
      <c r="AM14" s="101">
        <f t="shared" si="4"/>
        <v>20513.19213606988</v>
      </c>
      <c r="AN14" s="101">
        <f t="shared" si="4"/>
        <v>20610.791252582821</v>
      </c>
      <c r="AO14" s="101">
        <f t="shared" si="4"/>
        <v>20690.603879496433</v>
      </c>
      <c r="AP14" s="101">
        <f t="shared" si="4"/>
        <v>20733.778147312933</v>
      </c>
      <c r="AQ14" s="101">
        <f t="shared" si="4"/>
        <v>20753.425959174936</v>
      </c>
      <c r="AR14" s="101">
        <f t="shared" si="4"/>
        <v>20758.928981232559</v>
      </c>
      <c r="AS14" s="101">
        <f t="shared" si="4"/>
        <v>20750.183922838965</v>
      </c>
      <c r="AT14" s="101">
        <f t="shared" si="4"/>
        <v>20731.79750986717</v>
      </c>
      <c r="AU14" s="101">
        <f t="shared" si="4"/>
        <v>20708.181693616967</v>
      </c>
      <c r="AV14" s="101">
        <f t="shared" si="4"/>
        <v>20672.470650576826</v>
      </c>
      <c r="AW14" s="101">
        <f t="shared" si="4"/>
        <v>20646.070463073418</v>
      </c>
      <c r="AX14" s="101">
        <f t="shared" si="4"/>
        <v>20621.396706365053</v>
      </c>
      <c r="AY14" s="101">
        <f t="shared" si="4"/>
        <v>20592.308061530817</v>
      </c>
      <c r="AZ14" s="101">
        <f t="shared" si="4"/>
        <v>20552.582052477082</v>
      </c>
      <c r="BA14" s="101">
        <f t="shared" si="4"/>
        <v>20503.858036263064</v>
      </c>
      <c r="BB14" s="101">
        <f t="shared" si="4"/>
        <v>20448.415767336199</v>
      </c>
      <c r="BC14" s="101">
        <f t="shared" si="4"/>
        <v>20393.345357280705</v>
      </c>
      <c r="BD14" s="101">
        <f t="shared" si="4"/>
        <v>20324.577250299295</v>
      </c>
      <c r="BE14" s="101">
        <f t="shared" si="4"/>
        <v>20243.470445010636</v>
      </c>
      <c r="BF14" s="101">
        <f t="shared" si="4"/>
        <v>20155.385685377598</v>
      </c>
      <c r="BG14" s="101">
        <f t="shared" si="4"/>
        <v>20062.750283442845</v>
      </c>
      <c r="BH14" s="101">
        <f t="shared" si="4"/>
        <v>19970.170968379996</v>
      </c>
      <c r="BI14" s="101">
        <f t="shared" si="4"/>
        <v>19877.46181900561</v>
      </c>
      <c r="BJ14" s="104">
        <f t="shared" si="4"/>
        <v>19778.993536335674</v>
      </c>
    </row>
    <row r="16" spans="1:62" x14ac:dyDescent="0.25">
      <c r="A16" s="78" t="s">
        <v>172</v>
      </c>
    </row>
    <row r="17" spans="1:62" x14ac:dyDescent="0.25">
      <c r="A17" s="7"/>
      <c r="B17" s="83">
        <v>1990</v>
      </c>
      <c r="C17" s="83">
        <v>1991</v>
      </c>
      <c r="D17" s="83">
        <v>1992</v>
      </c>
      <c r="E17" s="83">
        <v>1993</v>
      </c>
      <c r="F17" s="83">
        <v>1994</v>
      </c>
      <c r="G17" s="83">
        <v>1995</v>
      </c>
      <c r="H17" s="83">
        <v>1996</v>
      </c>
      <c r="I17" s="83">
        <v>1997</v>
      </c>
      <c r="J17" s="83">
        <v>1998</v>
      </c>
      <c r="K17" s="83">
        <v>1999</v>
      </c>
      <c r="L17" s="83">
        <v>2000</v>
      </c>
      <c r="M17" s="83">
        <v>2001</v>
      </c>
      <c r="N17" s="83">
        <v>2002</v>
      </c>
      <c r="O17" s="83">
        <v>2003</v>
      </c>
      <c r="P17" s="83">
        <v>2004</v>
      </c>
      <c r="Q17" s="83">
        <v>2005</v>
      </c>
      <c r="R17" s="83">
        <v>2006</v>
      </c>
      <c r="S17" s="83">
        <v>2007</v>
      </c>
      <c r="T17" s="83">
        <v>2008</v>
      </c>
      <c r="U17" s="83">
        <v>2009</v>
      </c>
      <c r="V17" s="83">
        <v>2010</v>
      </c>
      <c r="W17" s="83">
        <v>2011</v>
      </c>
      <c r="X17" s="83">
        <v>2012</v>
      </c>
      <c r="Y17" s="83">
        <v>2013</v>
      </c>
      <c r="Z17" s="83">
        <v>2014</v>
      </c>
      <c r="AA17" s="83">
        <v>2015</v>
      </c>
      <c r="AB17" s="83">
        <v>2016</v>
      </c>
      <c r="AC17" s="84">
        <v>2017</v>
      </c>
      <c r="AD17" s="83">
        <v>2018</v>
      </c>
      <c r="AE17" s="83">
        <v>2019</v>
      </c>
      <c r="AF17" s="83">
        <v>2020</v>
      </c>
      <c r="AG17" s="83">
        <v>2021</v>
      </c>
      <c r="AH17" s="83">
        <v>2022</v>
      </c>
      <c r="AI17" s="83">
        <v>2023</v>
      </c>
      <c r="AJ17" s="83">
        <v>2024</v>
      </c>
      <c r="AK17" s="83">
        <v>2025</v>
      </c>
      <c r="AL17" s="83">
        <v>2026</v>
      </c>
      <c r="AM17" s="83">
        <v>2027</v>
      </c>
      <c r="AN17" s="83">
        <v>2028</v>
      </c>
      <c r="AO17" s="83">
        <v>2029</v>
      </c>
      <c r="AP17" s="83">
        <v>2030</v>
      </c>
      <c r="AQ17" s="83">
        <v>2031</v>
      </c>
      <c r="AR17" s="83">
        <v>2032</v>
      </c>
      <c r="AS17" s="83">
        <v>2033</v>
      </c>
      <c r="AT17" s="83">
        <v>2034</v>
      </c>
      <c r="AU17" s="83">
        <v>2035</v>
      </c>
      <c r="AV17" s="83">
        <v>2036</v>
      </c>
      <c r="AW17" s="83">
        <v>2037</v>
      </c>
      <c r="AX17" s="83">
        <v>2038</v>
      </c>
      <c r="AY17" s="83">
        <v>2039</v>
      </c>
      <c r="AZ17" s="83">
        <v>2040</v>
      </c>
      <c r="BA17" s="83">
        <v>2041</v>
      </c>
      <c r="BB17" s="83">
        <v>2042</v>
      </c>
      <c r="BC17" s="83">
        <v>2043</v>
      </c>
      <c r="BD17" s="83">
        <v>2044</v>
      </c>
      <c r="BE17" s="83">
        <v>2045</v>
      </c>
      <c r="BF17" s="83">
        <v>2046</v>
      </c>
      <c r="BG17" s="83">
        <v>2047</v>
      </c>
      <c r="BH17" s="83">
        <v>2048</v>
      </c>
      <c r="BI17" s="83">
        <v>2049</v>
      </c>
      <c r="BJ17" s="84">
        <v>2050</v>
      </c>
    </row>
    <row r="18" spans="1:62" x14ac:dyDescent="0.25">
      <c r="A18" s="79" t="s">
        <v>173</v>
      </c>
      <c r="B18" s="52">
        <f>1000*B5/B$4</f>
        <v>6.2427168614208215</v>
      </c>
      <c r="C18" s="53">
        <f t="shared" ref="C18:AC27" si="5">1000*C5/C$4</f>
        <v>6.2799298570244035</v>
      </c>
      <c r="D18" s="53">
        <f t="shared" si="5"/>
        <v>5.2237402847650918</v>
      </c>
      <c r="E18" s="53">
        <f t="shared" si="5"/>
        <v>6.6652637495662175</v>
      </c>
      <c r="F18" s="53">
        <f t="shared" si="5"/>
        <v>5.5407306125670566</v>
      </c>
      <c r="G18" s="53">
        <f t="shared" si="5"/>
        <v>6.2444519900916928</v>
      </c>
      <c r="H18" s="53">
        <f t="shared" si="5"/>
        <v>6.4217219128400895</v>
      </c>
      <c r="I18" s="53">
        <f t="shared" si="5"/>
        <v>5.8022942000834581</v>
      </c>
      <c r="J18" s="53">
        <f t="shared" si="5"/>
        <v>5.477732596417809</v>
      </c>
      <c r="K18" s="53">
        <f t="shared" si="5"/>
        <v>6.1904616245340653</v>
      </c>
      <c r="L18" s="53">
        <f t="shared" si="5"/>
        <v>5.1255497492212676</v>
      </c>
      <c r="M18" s="53">
        <f t="shared" si="5"/>
        <v>4.2534570218269039</v>
      </c>
      <c r="N18" s="53">
        <f t="shared" si="5"/>
        <v>2.4902652684316928</v>
      </c>
      <c r="O18" s="53">
        <f t="shared" si="5"/>
        <v>4.7467379936373888</v>
      </c>
      <c r="P18" s="53">
        <f t="shared" si="5"/>
        <v>5.3058216031623147</v>
      </c>
      <c r="Q18" s="53">
        <f t="shared" si="5"/>
        <v>5.5170006939008989</v>
      </c>
      <c r="R18" s="53">
        <f t="shared" si="5"/>
        <v>4.7416902747413339</v>
      </c>
      <c r="S18" s="53">
        <f t="shared" si="5"/>
        <v>4.3778780741394199</v>
      </c>
      <c r="T18" s="53">
        <f t="shared" si="5"/>
        <v>5.3598867183922412</v>
      </c>
      <c r="U18" s="53">
        <f t="shared" si="5"/>
        <v>4.2005881644468603</v>
      </c>
      <c r="V18" s="53">
        <f t="shared" si="5"/>
        <v>4.9324549181426018</v>
      </c>
      <c r="W18" s="53">
        <f t="shared" si="5"/>
        <v>5.2482969121140144</v>
      </c>
      <c r="X18" s="53">
        <f t="shared" si="5"/>
        <v>4.8287224157955873</v>
      </c>
      <c r="Y18" s="53">
        <f t="shared" si="5"/>
        <v>6.0293931173072091</v>
      </c>
      <c r="Z18" s="53">
        <f t="shared" si="5"/>
        <v>4.9620761093153103</v>
      </c>
      <c r="AA18" s="53">
        <f t="shared" si="5"/>
        <v>4.6539114489081914</v>
      </c>
      <c r="AB18" s="53">
        <f t="shared" si="5"/>
        <v>5.2626231500679204</v>
      </c>
      <c r="AC18" s="53">
        <f t="shared" si="5"/>
        <v>5.1658039354306586</v>
      </c>
      <c r="AD18" s="85">
        <f>_xlfn.FORECAST.LINEAR(AD$17,$B18:$AC18,$B$17:$AC$17)</f>
        <v>4.6185292922535268</v>
      </c>
      <c r="AE18" s="88">
        <f t="shared" ref="AE18:BJ26" si="6">_xlfn.FORECAST.LINEAR(AE$17,$B18:$AC18,$B$17:$AC$17)</f>
        <v>4.574262343792455</v>
      </c>
      <c r="AF18" s="88">
        <f t="shared" si="6"/>
        <v>4.5299953953313832</v>
      </c>
      <c r="AG18" s="88">
        <f t="shared" si="6"/>
        <v>4.4857284468703256</v>
      </c>
      <c r="AH18" s="88">
        <f t="shared" si="6"/>
        <v>4.4414614984092537</v>
      </c>
      <c r="AI18" s="88">
        <f t="shared" si="6"/>
        <v>4.3971945499481819</v>
      </c>
      <c r="AJ18" s="88">
        <f t="shared" si="6"/>
        <v>4.3529276014871243</v>
      </c>
      <c r="AK18" s="88">
        <f t="shared" si="6"/>
        <v>4.3086606530260525</v>
      </c>
      <c r="AL18" s="88">
        <f t="shared" si="6"/>
        <v>4.2643937045649807</v>
      </c>
      <c r="AM18" s="88">
        <f t="shared" si="6"/>
        <v>4.2201267561039089</v>
      </c>
      <c r="AN18" s="88">
        <f t="shared" si="6"/>
        <v>4.1758598076428513</v>
      </c>
      <c r="AO18" s="88">
        <f t="shared" si="6"/>
        <v>4.1315928591817794</v>
      </c>
      <c r="AP18" s="88">
        <f t="shared" si="6"/>
        <v>4.0873259107207076</v>
      </c>
      <c r="AQ18" s="88">
        <f t="shared" si="6"/>
        <v>4.0430589622596358</v>
      </c>
      <c r="AR18" s="88">
        <f t="shared" si="6"/>
        <v>3.9987920137985782</v>
      </c>
      <c r="AS18" s="88">
        <f t="shared" si="6"/>
        <v>3.9545250653375064</v>
      </c>
      <c r="AT18" s="88">
        <f t="shared" si="6"/>
        <v>3.9102581168764345</v>
      </c>
      <c r="AU18" s="88">
        <f t="shared" si="6"/>
        <v>3.8659911684153769</v>
      </c>
      <c r="AV18" s="88">
        <f t="shared" si="6"/>
        <v>3.8217242199543051</v>
      </c>
      <c r="AW18" s="88">
        <f t="shared" si="6"/>
        <v>3.7774572714932333</v>
      </c>
      <c r="AX18" s="88">
        <f t="shared" si="6"/>
        <v>3.7331903230321615</v>
      </c>
      <c r="AY18" s="88">
        <f t="shared" si="6"/>
        <v>3.6889233745711039</v>
      </c>
      <c r="AZ18" s="88">
        <f t="shared" si="6"/>
        <v>3.644656426110032</v>
      </c>
      <c r="BA18" s="88">
        <f t="shared" si="6"/>
        <v>3.6003894776489602</v>
      </c>
      <c r="BB18" s="88">
        <f t="shared" si="6"/>
        <v>3.5561225291878884</v>
      </c>
      <c r="BC18" s="88">
        <f t="shared" si="6"/>
        <v>3.5118555807268308</v>
      </c>
      <c r="BD18" s="88">
        <f t="shared" si="6"/>
        <v>3.467588632265759</v>
      </c>
      <c r="BE18" s="88">
        <f t="shared" si="6"/>
        <v>3.4233216838046872</v>
      </c>
      <c r="BF18" s="88">
        <f t="shared" si="6"/>
        <v>3.3790547353436153</v>
      </c>
      <c r="BG18" s="88">
        <f t="shared" si="6"/>
        <v>3.3347877868825577</v>
      </c>
      <c r="BH18" s="88">
        <f t="shared" si="6"/>
        <v>3.2905208384214859</v>
      </c>
      <c r="BI18" s="88">
        <f t="shared" si="6"/>
        <v>3.2462538899604141</v>
      </c>
      <c r="BJ18" s="89">
        <f t="shared" si="6"/>
        <v>3.2019869414993565</v>
      </c>
    </row>
    <row r="19" spans="1:62" x14ac:dyDescent="0.25">
      <c r="A19" s="80" t="s">
        <v>167</v>
      </c>
      <c r="B19" s="55">
        <f t="shared" ref="B19:Q27" si="7">1000*B6/B$4</f>
        <v>6.2236732412586919</v>
      </c>
      <c r="C19" s="56">
        <f t="shared" si="7"/>
        <v>6.2612592803473044</v>
      </c>
      <c r="D19" s="56">
        <f t="shared" si="7"/>
        <v>5.2053958867644736</v>
      </c>
      <c r="E19" s="56">
        <f t="shared" si="7"/>
        <v>6.6471912336557075</v>
      </c>
      <c r="F19" s="56">
        <f t="shared" si="7"/>
        <v>5.5229085620042317</v>
      </c>
      <c r="G19" s="56">
        <f t="shared" si="7"/>
        <v>6.2268720751254607</v>
      </c>
      <c r="H19" s="56">
        <f t="shared" si="7"/>
        <v>6.4044137704391115</v>
      </c>
      <c r="I19" s="56">
        <f t="shared" si="7"/>
        <v>5.7853283992638476</v>
      </c>
      <c r="J19" s="56">
        <f t="shared" si="7"/>
        <v>5.4611726673349281</v>
      </c>
      <c r="K19" s="56">
        <f t="shared" si="7"/>
        <v>6.1741962927389649</v>
      </c>
      <c r="L19" s="56">
        <f t="shared" si="7"/>
        <v>5.1095500363158486</v>
      </c>
      <c r="M19" s="56">
        <f t="shared" si="7"/>
        <v>4.237718780779077</v>
      </c>
      <c r="N19" s="56">
        <f t="shared" si="7"/>
        <v>2.4749525455348689</v>
      </c>
      <c r="O19" s="56">
        <f t="shared" si="7"/>
        <v>4.7321081847349484</v>
      </c>
      <c r="P19" s="56">
        <f t="shared" si="7"/>
        <v>5.2899792396646852</v>
      </c>
      <c r="Q19" s="56">
        <f t="shared" si="7"/>
        <v>5.5015654163405392</v>
      </c>
      <c r="R19" s="56">
        <f t="shared" si="5"/>
        <v>4.7255217162565035</v>
      </c>
      <c r="S19" s="56">
        <f t="shared" si="5"/>
        <v>4.3642279199036267</v>
      </c>
      <c r="T19" s="56">
        <f t="shared" si="5"/>
        <v>5.3485821815586263</v>
      </c>
      <c r="U19" s="56">
        <f t="shared" si="5"/>
        <v>4.1884479478119063</v>
      </c>
      <c r="V19" s="56">
        <f t="shared" si="5"/>
        <v>4.9216526888347056</v>
      </c>
      <c r="W19" s="56">
        <f t="shared" si="5"/>
        <v>5.2365531802586434</v>
      </c>
      <c r="X19" s="56">
        <f t="shared" si="5"/>
        <v>4.8176280810427148</v>
      </c>
      <c r="Y19" s="56">
        <f t="shared" si="5"/>
        <v>6.0206731976890229</v>
      </c>
      <c r="Z19" s="56">
        <f t="shared" si="5"/>
        <v>4.9486727397394459</v>
      </c>
      <c r="AA19" s="56">
        <f t="shared" si="5"/>
        <v>4.6414525274460132</v>
      </c>
      <c r="AB19" s="56">
        <f t="shared" si="5"/>
        <v>5.2499463787802956</v>
      </c>
      <c r="AC19" s="56">
        <f t="shared" si="5"/>
        <v>5.1518793448804052</v>
      </c>
      <c r="AD19" s="86">
        <f t="shared" ref="AD19:AS19" si="8">_xlfn.FORECAST.LINEAR(AD$17,$B19:$AC19,$B$17:$AC$17)</f>
        <v>4.6078751030768927</v>
      </c>
      <c r="AE19" s="58">
        <f t="shared" si="8"/>
        <v>4.5639021458592737</v>
      </c>
      <c r="AF19" s="58">
        <f t="shared" si="8"/>
        <v>4.5199291886416688</v>
      </c>
      <c r="AG19" s="58">
        <f t="shared" si="8"/>
        <v>4.4759562314240497</v>
      </c>
      <c r="AH19" s="58">
        <f t="shared" si="8"/>
        <v>4.4319832742064307</v>
      </c>
      <c r="AI19" s="58">
        <f t="shared" si="8"/>
        <v>4.3880103169888258</v>
      </c>
      <c r="AJ19" s="58">
        <f t="shared" si="8"/>
        <v>4.3440373597712068</v>
      </c>
      <c r="AK19" s="58">
        <f t="shared" si="8"/>
        <v>4.3000644025535877</v>
      </c>
      <c r="AL19" s="58">
        <f t="shared" si="8"/>
        <v>4.2560914453359686</v>
      </c>
      <c r="AM19" s="58">
        <f t="shared" si="8"/>
        <v>4.2121184881183638</v>
      </c>
      <c r="AN19" s="58">
        <f t="shared" si="8"/>
        <v>4.1681455309007447</v>
      </c>
      <c r="AO19" s="58">
        <f t="shared" si="8"/>
        <v>4.1241725736831256</v>
      </c>
      <c r="AP19" s="58">
        <f t="shared" si="8"/>
        <v>4.0801996164655208</v>
      </c>
      <c r="AQ19" s="58">
        <f t="shared" si="8"/>
        <v>4.0362266592479017</v>
      </c>
      <c r="AR19" s="58">
        <f t="shared" si="8"/>
        <v>3.9922537020302826</v>
      </c>
      <c r="AS19" s="58">
        <f t="shared" si="8"/>
        <v>3.9482807448126778</v>
      </c>
      <c r="AT19" s="58">
        <f t="shared" si="6"/>
        <v>3.9043077875950587</v>
      </c>
      <c r="AU19" s="58">
        <f t="shared" si="6"/>
        <v>3.8603348303774396</v>
      </c>
      <c r="AV19" s="58">
        <f t="shared" si="6"/>
        <v>3.8163618731598206</v>
      </c>
      <c r="AW19" s="58">
        <f t="shared" si="6"/>
        <v>3.7723889159422157</v>
      </c>
      <c r="AX19" s="58">
        <f t="shared" si="6"/>
        <v>3.7284159587245966</v>
      </c>
      <c r="AY19" s="58">
        <f t="shared" si="6"/>
        <v>3.6844430015069776</v>
      </c>
      <c r="AZ19" s="58">
        <f t="shared" si="6"/>
        <v>3.6404700442893727</v>
      </c>
      <c r="BA19" s="58">
        <f t="shared" si="6"/>
        <v>3.5964970870717536</v>
      </c>
      <c r="BB19" s="58">
        <f t="shared" si="6"/>
        <v>3.5525241298541346</v>
      </c>
      <c r="BC19" s="58">
        <f t="shared" si="6"/>
        <v>3.5085511726365297</v>
      </c>
      <c r="BD19" s="58">
        <f t="shared" si="6"/>
        <v>3.4645782154189106</v>
      </c>
      <c r="BE19" s="58">
        <f t="shared" si="6"/>
        <v>3.4206052582012916</v>
      </c>
      <c r="BF19" s="58">
        <f t="shared" si="6"/>
        <v>3.3766323009836725</v>
      </c>
      <c r="BG19" s="58">
        <f t="shared" si="6"/>
        <v>3.3326593437660676</v>
      </c>
      <c r="BH19" s="58">
        <f t="shared" si="6"/>
        <v>3.2886863865484486</v>
      </c>
      <c r="BI19" s="58">
        <f t="shared" si="6"/>
        <v>3.2447134293308295</v>
      </c>
      <c r="BJ19" s="90">
        <f t="shared" si="6"/>
        <v>3.2007404721132247</v>
      </c>
    </row>
    <row r="20" spans="1:62" x14ac:dyDescent="0.25">
      <c r="A20" s="80" t="s">
        <v>117</v>
      </c>
      <c r="B20" s="55">
        <f t="shared" si="7"/>
        <v>1.1827703874890691E-2</v>
      </c>
      <c r="C20" s="56">
        <f t="shared" si="5"/>
        <v>1.1528358843439007E-2</v>
      </c>
      <c r="D20" s="56">
        <f t="shared" si="5"/>
        <v>1.1256846884078221E-2</v>
      </c>
      <c r="E20" s="56">
        <f t="shared" si="5"/>
        <v>1.1017217987381957E-2</v>
      </c>
      <c r="F20" s="56">
        <f t="shared" si="5"/>
        <v>1.0788944851637009E-2</v>
      </c>
      <c r="G20" s="56">
        <f t="shared" si="5"/>
        <v>1.0563920382341467E-2</v>
      </c>
      <c r="H20" s="56">
        <f t="shared" si="5"/>
        <v>1.0319430744400357E-2</v>
      </c>
      <c r="I20" s="56">
        <f t="shared" si="5"/>
        <v>1.0031755981239978E-2</v>
      </c>
      <c r="J20" s="56">
        <f t="shared" si="5"/>
        <v>9.7061937879303201E-3</v>
      </c>
      <c r="K20" s="56">
        <f t="shared" si="5"/>
        <v>9.4454308813787628E-3</v>
      </c>
      <c r="L20" s="56">
        <f t="shared" si="5"/>
        <v>9.2004588246180838E-3</v>
      </c>
      <c r="M20" s="56">
        <f t="shared" si="5"/>
        <v>8.9567689442147432E-3</v>
      </c>
      <c r="N20" s="56">
        <f t="shared" si="5"/>
        <v>9.5820860273212391E-3</v>
      </c>
      <c r="O20" s="56">
        <f t="shared" si="5"/>
        <v>8.26883687962871E-3</v>
      </c>
      <c r="P20" s="56">
        <f t="shared" si="5"/>
        <v>8.4378463722834807E-3</v>
      </c>
      <c r="Q20" s="56">
        <f t="shared" si="5"/>
        <v>7.5903245228490582E-3</v>
      </c>
      <c r="R20" s="56">
        <f t="shared" si="5"/>
        <v>8.1107347869293252E-3</v>
      </c>
      <c r="S20" s="56">
        <f t="shared" si="5"/>
        <v>7.6942306707265011E-3</v>
      </c>
      <c r="T20" s="56">
        <f t="shared" si="5"/>
        <v>6.9778358686281607E-3</v>
      </c>
      <c r="U20" s="56">
        <f t="shared" si="5"/>
        <v>6.6305517803751015E-3</v>
      </c>
      <c r="V20" s="56">
        <f t="shared" si="5"/>
        <v>5.7519894965301034E-3</v>
      </c>
      <c r="W20" s="56">
        <f t="shared" si="5"/>
        <v>5.8218527315914486E-3</v>
      </c>
      <c r="X20" s="56">
        <f t="shared" si="5"/>
        <v>5.5351658278487547E-3</v>
      </c>
      <c r="Y20" s="56">
        <f t="shared" si="5"/>
        <v>5.1587540818889728E-3</v>
      </c>
      <c r="Z20" s="56">
        <f t="shared" si="5"/>
        <v>6.119845234596924E-3</v>
      </c>
      <c r="AA20" s="56">
        <f t="shared" si="5"/>
        <v>5.7558209675473522E-3</v>
      </c>
      <c r="AB20" s="56">
        <f t="shared" si="5"/>
        <v>6.0694454374299947E-3</v>
      </c>
      <c r="AC20" s="56">
        <f t="shared" si="5"/>
        <v>6.0252150347590433E-3</v>
      </c>
      <c r="AD20" s="86">
        <f>_xlfn.FORECAST.LINEAR(AD$17,$X20:$AC20,$X$17:$AC$17)</f>
        <v>6.2592040140909688E-3</v>
      </c>
      <c r="AE20" s="58">
        <f t="shared" ref="AE20:BJ20" si="9">_xlfn.FORECAST.LINEAR(AE$17,$X20:$AC20,$X$17:$AC$17)</f>
        <v>6.3968696093517075E-3</v>
      </c>
      <c r="AF20" s="58">
        <f t="shared" si="9"/>
        <v>6.5345352046123906E-3</v>
      </c>
      <c r="AG20" s="58">
        <f t="shared" si="9"/>
        <v>6.6722007998731292E-3</v>
      </c>
      <c r="AH20" s="58">
        <f t="shared" si="9"/>
        <v>6.8098663951338123E-3</v>
      </c>
      <c r="AI20" s="58">
        <f t="shared" si="9"/>
        <v>6.9475319903945509E-3</v>
      </c>
      <c r="AJ20" s="58">
        <f t="shared" si="9"/>
        <v>7.0851975856552341E-3</v>
      </c>
      <c r="AK20" s="58">
        <f t="shared" si="9"/>
        <v>7.2228631809159727E-3</v>
      </c>
      <c r="AL20" s="58">
        <f t="shared" si="9"/>
        <v>7.3605287761766558E-3</v>
      </c>
      <c r="AM20" s="58">
        <f t="shared" si="9"/>
        <v>7.4981943714373944E-3</v>
      </c>
      <c r="AN20" s="58">
        <f t="shared" si="9"/>
        <v>7.6358599666980775E-3</v>
      </c>
      <c r="AO20" s="58">
        <f t="shared" si="9"/>
        <v>7.7735255619588162E-3</v>
      </c>
      <c r="AP20" s="58">
        <f t="shared" si="9"/>
        <v>7.9111911572194993E-3</v>
      </c>
      <c r="AQ20" s="58">
        <f t="shared" si="9"/>
        <v>8.0488567524802379E-3</v>
      </c>
      <c r="AR20" s="58">
        <f t="shared" si="9"/>
        <v>8.1865223477409765E-3</v>
      </c>
      <c r="AS20" s="58">
        <f t="shared" si="9"/>
        <v>8.3241879430016597E-3</v>
      </c>
      <c r="AT20" s="58">
        <f t="shared" si="9"/>
        <v>8.4618535382623983E-3</v>
      </c>
      <c r="AU20" s="58">
        <f t="shared" si="9"/>
        <v>8.5995191335230814E-3</v>
      </c>
      <c r="AV20" s="58">
        <f t="shared" si="9"/>
        <v>8.73718472878382E-3</v>
      </c>
      <c r="AW20" s="58">
        <f t="shared" si="9"/>
        <v>8.8748503240445031E-3</v>
      </c>
      <c r="AX20" s="58">
        <f t="shared" si="9"/>
        <v>9.0125159193052418E-3</v>
      </c>
      <c r="AY20" s="58">
        <f t="shared" si="9"/>
        <v>9.1501815145659249E-3</v>
      </c>
      <c r="AZ20" s="58">
        <f t="shared" si="9"/>
        <v>9.2878471098266635E-3</v>
      </c>
      <c r="BA20" s="58">
        <f t="shared" si="9"/>
        <v>9.4255127050873466E-3</v>
      </c>
      <c r="BB20" s="58">
        <f t="shared" si="9"/>
        <v>9.5631783003480852E-3</v>
      </c>
      <c r="BC20" s="58">
        <f t="shared" si="9"/>
        <v>9.7008438956087684E-3</v>
      </c>
      <c r="BD20" s="58">
        <f t="shared" si="9"/>
        <v>9.838509490869507E-3</v>
      </c>
      <c r="BE20" s="58">
        <f t="shared" si="9"/>
        <v>9.9761750861301901E-3</v>
      </c>
      <c r="BF20" s="58">
        <f t="shared" si="9"/>
        <v>1.0113840681390929E-2</v>
      </c>
      <c r="BG20" s="58">
        <f t="shared" si="9"/>
        <v>1.0251506276651612E-2</v>
      </c>
      <c r="BH20" s="58">
        <f t="shared" si="9"/>
        <v>1.038917187191235E-2</v>
      </c>
      <c r="BI20" s="58">
        <f t="shared" si="9"/>
        <v>1.0526837467173089E-2</v>
      </c>
      <c r="BJ20" s="90">
        <f t="shared" si="9"/>
        <v>1.0664503062433772E-2</v>
      </c>
    </row>
    <row r="21" spans="1:62" x14ac:dyDescent="0.25">
      <c r="A21" s="80" t="s">
        <v>116</v>
      </c>
      <c r="B21" s="55">
        <f t="shared" si="7"/>
        <v>7.2159162872387399E-3</v>
      </c>
      <c r="C21" s="56">
        <f t="shared" si="5"/>
        <v>7.1422178336601064E-3</v>
      </c>
      <c r="D21" s="56">
        <f t="shared" si="5"/>
        <v>7.0875511165406123E-3</v>
      </c>
      <c r="E21" s="56">
        <f t="shared" si="5"/>
        <v>7.0552979231264679E-3</v>
      </c>
      <c r="F21" s="56">
        <f t="shared" si="5"/>
        <v>7.0331057111872458E-3</v>
      </c>
      <c r="G21" s="56">
        <f t="shared" si="5"/>
        <v>7.015994583890444E-3</v>
      </c>
      <c r="H21" s="56">
        <f t="shared" si="5"/>
        <v>6.9887116565771302E-3</v>
      </c>
      <c r="I21" s="56">
        <f t="shared" si="5"/>
        <v>6.9340448383695521E-3</v>
      </c>
      <c r="J21" s="56">
        <f t="shared" si="5"/>
        <v>6.8537352949508716E-3</v>
      </c>
      <c r="K21" s="56">
        <f t="shared" si="5"/>
        <v>6.8199009137228945E-3</v>
      </c>
      <c r="L21" s="56">
        <f t="shared" si="5"/>
        <v>6.7992540808005106E-3</v>
      </c>
      <c r="M21" s="56">
        <f t="shared" si="5"/>
        <v>6.7814721036128043E-3</v>
      </c>
      <c r="N21" s="56">
        <f t="shared" si="5"/>
        <v>5.730636869502286E-3</v>
      </c>
      <c r="O21" s="56">
        <f t="shared" si="5"/>
        <v>6.3609720228113287E-3</v>
      </c>
      <c r="P21" s="56">
        <f t="shared" si="5"/>
        <v>7.4045171253466612E-3</v>
      </c>
      <c r="Q21" s="56">
        <f t="shared" si="5"/>
        <v>7.8449530375097835E-3</v>
      </c>
      <c r="R21" s="56">
        <f t="shared" si="5"/>
        <v>8.0578236979014454E-3</v>
      </c>
      <c r="S21" s="56">
        <f t="shared" si="5"/>
        <v>5.955923565066446E-3</v>
      </c>
      <c r="T21" s="56">
        <f t="shared" si="5"/>
        <v>4.3267009649879031E-3</v>
      </c>
      <c r="U21" s="56">
        <f t="shared" si="5"/>
        <v>5.50966485458005E-3</v>
      </c>
      <c r="V21" s="56">
        <f t="shared" si="5"/>
        <v>5.0502398113662552E-3</v>
      </c>
      <c r="W21" s="56">
        <f t="shared" si="5"/>
        <v>5.9218791237793614E-3</v>
      </c>
      <c r="X21" s="56">
        <f t="shared" si="5"/>
        <v>5.5591689250225835E-3</v>
      </c>
      <c r="Y21" s="56">
        <f t="shared" si="5"/>
        <v>3.5611655362974125E-3</v>
      </c>
      <c r="Z21" s="56">
        <f t="shared" si="5"/>
        <v>7.2835243412675103E-3</v>
      </c>
      <c r="AA21" s="56">
        <f t="shared" si="5"/>
        <v>6.7031004946314391E-3</v>
      </c>
      <c r="AB21" s="56">
        <f t="shared" si="5"/>
        <v>6.6073258501942282E-3</v>
      </c>
      <c r="AC21" s="56">
        <f t="shared" si="5"/>
        <v>7.8993755154942846E-3</v>
      </c>
      <c r="AD21" s="86">
        <f>_xlfn.FORECAST.LINEAR(AD$17,$B21:$AC21,$B$17:$AC$17)</f>
        <v>5.9205776487568501E-3</v>
      </c>
      <c r="AE21" s="58">
        <f t="shared" si="6"/>
        <v>5.876912624337538E-3</v>
      </c>
      <c r="AF21" s="58">
        <f t="shared" si="6"/>
        <v>5.8332475999182121E-3</v>
      </c>
      <c r="AG21" s="58">
        <f t="shared" si="6"/>
        <v>5.7895825754989E-3</v>
      </c>
      <c r="AH21" s="58">
        <f t="shared" si="6"/>
        <v>5.745917551079574E-3</v>
      </c>
      <c r="AI21" s="58">
        <f t="shared" si="6"/>
        <v>5.7022525266602481E-3</v>
      </c>
      <c r="AJ21" s="58">
        <f t="shared" si="6"/>
        <v>5.658587502240936E-3</v>
      </c>
      <c r="AK21" s="58">
        <f t="shared" si="6"/>
        <v>5.61492247782161E-3</v>
      </c>
      <c r="AL21" s="58">
        <f t="shared" si="6"/>
        <v>5.5712574534022979E-3</v>
      </c>
      <c r="AM21" s="58">
        <f t="shared" si="6"/>
        <v>5.527592428982972E-3</v>
      </c>
      <c r="AN21" s="58">
        <f t="shared" si="6"/>
        <v>5.483927404563646E-3</v>
      </c>
      <c r="AO21" s="58">
        <f t="shared" si="6"/>
        <v>5.4402623801443339E-3</v>
      </c>
      <c r="AP21" s="58">
        <f t="shared" si="6"/>
        <v>5.396597355725008E-3</v>
      </c>
      <c r="AQ21" s="58">
        <f t="shared" si="6"/>
        <v>5.352932331305682E-3</v>
      </c>
      <c r="AR21" s="58">
        <f t="shared" si="6"/>
        <v>5.3092673068863699E-3</v>
      </c>
      <c r="AS21" s="58">
        <f t="shared" si="6"/>
        <v>5.265602282467044E-3</v>
      </c>
      <c r="AT21" s="58">
        <f t="shared" si="6"/>
        <v>5.2219372580477319E-3</v>
      </c>
      <c r="AU21" s="58">
        <f t="shared" si="6"/>
        <v>5.1782722336284059E-3</v>
      </c>
      <c r="AV21" s="58">
        <f t="shared" si="6"/>
        <v>5.13460720920908E-3</v>
      </c>
      <c r="AW21" s="58">
        <f t="shared" si="6"/>
        <v>5.0909421847897679E-3</v>
      </c>
      <c r="AX21" s="58">
        <f t="shared" si="6"/>
        <v>5.0472771603704419E-3</v>
      </c>
      <c r="AY21" s="58">
        <f t="shared" si="6"/>
        <v>5.0036121359511299E-3</v>
      </c>
      <c r="AZ21" s="58">
        <f t="shared" si="6"/>
        <v>4.9599471115318039E-3</v>
      </c>
      <c r="BA21" s="58">
        <f t="shared" si="6"/>
        <v>4.9162820871124779E-3</v>
      </c>
      <c r="BB21" s="58">
        <f t="shared" si="6"/>
        <v>4.8726170626931659E-3</v>
      </c>
      <c r="BC21" s="58">
        <f t="shared" si="6"/>
        <v>4.8289520382738399E-3</v>
      </c>
      <c r="BD21" s="58">
        <f t="shared" si="6"/>
        <v>4.7852870138545139E-3</v>
      </c>
      <c r="BE21" s="58">
        <f t="shared" si="6"/>
        <v>4.7416219894352019E-3</v>
      </c>
      <c r="BF21" s="58">
        <f t="shared" si="6"/>
        <v>4.6979569650158759E-3</v>
      </c>
      <c r="BG21" s="58">
        <f t="shared" si="6"/>
        <v>4.6542919405965638E-3</v>
      </c>
      <c r="BH21" s="58">
        <f t="shared" si="6"/>
        <v>4.6106269161772379E-3</v>
      </c>
      <c r="BI21" s="58">
        <f t="shared" si="6"/>
        <v>4.5669618917579119E-3</v>
      </c>
      <c r="BJ21" s="90">
        <f t="shared" si="6"/>
        <v>4.5232968673385998E-3</v>
      </c>
    </row>
    <row r="22" spans="1:62" x14ac:dyDescent="0.25">
      <c r="A22" s="79" t="s">
        <v>174</v>
      </c>
      <c r="B22" s="52">
        <f t="shared" si="7"/>
        <v>1.431999444223774</v>
      </c>
      <c r="C22" s="53">
        <f t="shared" si="5"/>
        <v>1.3987935837821601</v>
      </c>
      <c r="D22" s="53">
        <f t="shared" si="5"/>
        <v>1.3690793991807559</v>
      </c>
      <c r="E22" s="53">
        <f t="shared" si="5"/>
        <v>1.3444223579570598</v>
      </c>
      <c r="F22" s="53">
        <f t="shared" si="5"/>
        <v>1.3222528573216519</v>
      </c>
      <c r="G22" s="53">
        <f t="shared" si="5"/>
        <v>1.2991648622664536</v>
      </c>
      <c r="H22" s="53">
        <f t="shared" si="5"/>
        <v>1.2720774103439352</v>
      </c>
      <c r="I22" s="53">
        <f t="shared" si="5"/>
        <v>1.2411224913846959</v>
      </c>
      <c r="J22" s="53">
        <f t="shared" si="5"/>
        <v>1.2064164803422901</v>
      </c>
      <c r="K22" s="53">
        <f t="shared" si="5"/>
        <v>1.1170042608575499</v>
      </c>
      <c r="L22" s="53">
        <f t="shared" si="5"/>
        <v>1.1033447009817596</v>
      </c>
      <c r="M22" s="53">
        <f t="shared" si="5"/>
        <v>1.0965755188542889</v>
      </c>
      <c r="N22" s="53">
        <f t="shared" si="5"/>
        <v>1.0970842656401543</v>
      </c>
      <c r="O22" s="53">
        <f t="shared" si="5"/>
        <v>0.98927132521399053</v>
      </c>
      <c r="P22" s="53">
        <f t="shared" si="5"/>
        <v>1.1632705927364457</v>
      </c>
      <c r="Q22" s="53">
        <f t="shared" si="5"/>
        <v>1.0829367481485941</v>
      </c>
      <c r="R22" s="53">
        <f t="shared" si="5"/>
        <v>0.96128736803647641</v>
      </c>
      <c r="S22" s="53">
        <f t="shared" si="5"/>
        <v>0.93992833271676979</v>
      </c>
      <c r="T22" s="53">
        <f t="shared" si="5"/>
        <v>0.95146791679412668</v>
      </c>
      <c r="U22" s="53">
        <f t="shared" si="5"/>
        <v>0.94598701413427555</v>
      </c>
      <c r="V22" s="53">
        <f t="shared" si="5"/>
        <v>0.95591734197904654</v>
      </c>
      <c r="W22" s="53">
        <f t="shared" si="5"/>
        <v>0.82778274946138486</v>
      </c>
      <c r="X22" s="53">
        <f t="shared" si="5"/>
        <v>0.75752339128282453</v>
      </c>
      <c r="Y22" s="53">
        <f t="shared" si="5"/>
        <v>0.73369927415297476</v>
      </c>
      <c r="Z22" s="53">
        <f t="shared" si="5"/>
        <v>0.74300961203054483</v>
      </c>
      <c r="AA22" s="53">
        <f t="shared" si="5"/>
        <v>0.72313006518356426</v>
      </c>
      <c r="AB22" s="53">
        <f t="shared" si="5"/>
        <v>0.74325497993552925</v>
      </c>
      <c r="AC22" s="53">
        <f t="shared" si="5"/>
        <v>0.7751549654528449</v>
      </c>
      <c r="AD22" s="85">
        <f>_xlfn.FORECAST.LINEAR(AD$17,$X22:$AC22,$X$17:$AC$17)</f>
        <v>0.75565659214145953</v>
      </c>
      <c r="AE22" s="88">
        <f t="shared" ref="AE22:BJ23" si="10">_xlfn.FORECAST.LINEAR(AE$17,$X22:$AC22,$X$17:$AC$17)</f>
        <v>0.75842646189433882</v>
      </c>
      <c r="AF22" s="88">
        <f t="shared" si="10"/>
        <v>0.76119633164721812</v>
      </c>
      <c r="AG22" s="88">
        <f t="shared" si="10"/>
        <v>0.7639662014000983</v>
      </c>
      <c r="AH22" s="88">
        <f t="shared" si="10"/>
        <v>0.76673607115297759</v>
      </c>
      <c r="AI22" s="88">
        <f t="shared" si="10"/>
        <v>0.76950594090585689</v>
      </c>
      <c r="AJ22" s="88">
        <f t="shared" si="10"/>
        <v>0.77227581065873707</v>
      </c>
      <c r="AK22" s="88">
        <f t="shared" si="10"/>
        <v>0.77504568041161637</v>
      </c>
      <c r="AL22" s="88">
        <f t="shared" si="10"/>
        <v>0.77781555016449566</v>
      </c>
      <c r="AM22" s="88">
        <f t="shared" si="10"/>
        <v>0.78058541991737584</v>
      </c>
      <c r="AN22" s="88">
        <f t="shared" si="10"/>
        <v>0.78335528967025514</v>
      </c>
      <c r="AO22" s="88">
        <f t="shared" si="10"/>
        <v>0.78612515942313443</v>
      </c>
      <c r="AP22" s="88">
        <f t="shared" si="10"/>
        <v>0.78889502917601462</v>
      </c>
      <c r="AQ22" s="88">
        <f t="shared" si="10"/>
        <v>0.79166489892889391</v>
      </c>
      <c r="AR22" s="88">
        <f t="shared" si="10"/>
        <v>0.79443476868177321</v>
      </c>
      <c r="AS22" s="88">
        <f t="shared" si="10"/>
        <v>0.7972046384346525</v>
      </c>
      <c r="AT22" s="88">
        <f t="shared" si="10"/>
        <v>0.79997450818753268</v>
      </c>
      <c r="AU22" s="88">
        <f t="shared" si="10"/>
        <v>0.80274437794041198</v>
      </c>
      <c r="AV22" s="88">
        <f t="shared" si="10"/>
        <v>0.80551424769329127</v>
      </c>
      <c r="AW22" s="88">
        <f t="shared" si="10"/>
        <v>0.80828411744617146</v>
      </c>
      <c r="AX22" s="88">
        <f t="shared" si="10"/>
        <v>0.81105398719905075</v>
      </c>
      <c r="AY22" s="88">
        <f t="shared" si="10"/>
        <v>0.81382385695193005</v>
      </c>
      <c r="AZ22" s="88">
        <f t="shared" si="10"/>
        <v>0.81659372670481023</v>
      </c>
      <c r="BA22" s="88">
        <f t="shared" si="10"/>
        <v>0.81936359645768952</v>
      </c>
      <c r="BB22" s="88">
        <f t="shared" si="10"/>
        <v>0.82213346621056882</v>
      </c>
      <c r="BC22" s="88">
        <f t="shared" si="10"/>
        <v>0.82490333596344811</v>
      </c>
      <c r="BD22" s="88">
        <f t="shared" si="10"/>
        <v>0.8276732057163283</v>
      </c>
      <c r="BE22" s="88">
        <f t="shared" si="10"/>
        <v>0.83044307546920759</v>
      </c>
      <c r="BF22" s="88">
        <f t="shared" si="10"/>
        <v>0.83321294522208689</v>
      </c>
      <c r="BG22" s="88">
        <f t="shared" si="10"/>
        <v>0.83598281497496707</v>
      </c>
      <c r="BH22" s="88">
        <f t="shared" si="10"/>
        <v>0.83875268472784636</v>
      </c>
      <c r="BI22" s="88">
        <f t="shared" si="10"/>
        <v>0.84152255448072566</v>
      </c>
      <c r="BJ22" s="89">
        <f t="shared" si="10"/>
        <v>0.84429242423360584</v>
      </c>
    </row>
    <row r="23" spans="1:62" x14ac:dyDescent="0.25">
      <c r="A23" s="78" t="s">
        <v>6</v>
      </c>
      <c r="B23" s="55">
        <f t="shared" si="7"/>
        <v>1.0641034497375765</v>
      </c>
      <c r="C23" s="56">
        <f t="shared" si="5"/>
        <v>1.0345996961778419</v>
      </c>
      <c r="D23" s="56">
        <f t="shared" si="5"/>
        <v>1.0076788904960432</v>
      </c>
      <c r="E23" s="56">
        <f t="shared" si="5"/>
        <v>0.98368570070318584</v>
      </c>
      <c r="F23" s="56">
        <f t="shared" si="5"/>
        <v>0.96077176752180704</v>
      </c>
      <c r="G23" s="56">
        <f t="shared" si="5"/>
        <v>0.93821070542936458</v>
      </c>
      <c r="H23" s="56">
        <f t="shared" si="5"/>
        <v>0.91399006822375573</v>
      </c>
      <c r="I23" s="56">
        <f t="shared" si="5"/>
        <v>0.88603098116930612</v>
      </c>
      <c r="J23" s="56">
        <f t="shared" si="5"/>
        <v>0.85483462604852789</v>
      </c>
      <c r="K23" s="56">
        <f t="shared" si="5"/>
        <v>0.78650499273205621</v>
      </c>
      <c r="L23" s="56">
        <f t="shared" si="5"/>
        <v>0.77721341935518251</v>
      </c>
      <c r="M23" s="56">
        <f t="shared" si="5"/>
        <v>0.76583965646463603</v>
      </c>
      <c r="N23" s="56">
        <f t="shared" si="5"/>
        <v>0.75694107462865967</v>
      </c>
      <c r="O23" s="56">
        <f t="shared" si="5"/>
        <v>0.65081725446235017</v>
      </c>
      <c r="P23" s="56">
        <f t="shared" si="5"/>
        <v>0.81779632885136955</v>
      </c>
      <c r="Q23" s="56">
        <f t="shared" si="5"/>
        <v>0.74145944969594801</v>
      </c>
      <c r="R23" s="56">
        <f t="shared" si="5"/>
        <v>0.62892704740749406</v>
      </c>
      <c r="S23" s="56">
        <f t="shared" si="5"/>
        <v>0.62612276258501476</v>
      </c>
      <c r="T23" s="56">
        <f t="shared" si="5"/>
        <v>0.64059957173447535</v>
      </c>
      <c r="U23" s="56">
        <f t="shared" si="5"/>
        <v>0.65128159826039689</v>
      </c>
      <c r="V23" s="56">
        <f t="shared" si="5"/>
        <v>0.66211060796870391</v>
      </c>
      <c r="W23" s="56">
        <f t="shared" si="5"/>
        <v>0.54016558266275705</v>
      </c>
      <c r="X23" s="56">
        <f t="shared" si="5"/>
        <v>0.4736717727514011</v>
      </c>
      <c r="Y23" s="56">
        <f t="shared" si="5"/>
        <v>0.46549601090253512</v>
      </c>
      <c r="Z23" s="56">
        <f t="shared" si="5"/>
        <v>0.47324899982562757</v>
      </c>
      <c r="AA23" s="56">
        <f t="shared" si="5"/>
        <v>0.44230713382875658</v>
      </c>
      <c r="AB23" s="56">
        <f t="shared" si="5"/>
        <v>0.45860933397856929</v>
      </c>
      <c r="AC23" s="56">
        <f t="shared" si="5"/>
        <v>0.48503773863535937</v>
      </c>
      <c r="AD23" s="86">
        <f>_xlfn.FORECAST.LINEAR(AD$17,$X23:$AC23,$X$17:$AC$17)</f>
        <v>0.46691795825214377</v>
      </c>
      <c r="AE23" s="58">
        <f t="shared" si="10"/>
        <v>0.46706732775645871</v>
      </c>
      <c r="AF23" s="58">
        <f t="shared" si="10"/>
        <v>0.46721669726077364</v>
      </c>
      <c r="AG23" s="58">
        <f t="shared" si="10"/>
        <v>0.46736606676508857</v>
      </c>
      <c r="AH23" s="58">
        <f t="shared" si="10"/>
        <v>0.46751543626940351</v>
      </c>
      <c r="AI23" s="58">
        <f t="shared" si="10"/>
        <v>0.46766480577371844</v>
      </c>
      <c r="AJ23" s="58">
        <f t="shared" si="10"/>
        <v>0.46781417527803337</v>
      </c>
      <c r="AK23" s="58">
        <f t="shared" si="10"/>
        <v>0.46796354478234831</v>
      </c>
      <c r="AL23" s="58">
        <f t="shared" si="10"/>
        <v>0.46811291428666324</v>
      </c>
      <c r="AM23" s="58">
        <f t="shared" si="10"/>
        <v>0.46826228379097823</v>
      </c>
      <c r="AN23" s="58">
        <f t="shared" si="10"/>
        <v>0.46841165329529316</v>
      </c>
      <c r="AO23" s="58">
        <f t="shared" si="10"/>
        <v>0.4685610227996081</v>
      </c>
      <c r="AP23" s="58">
        <f t="shared" si="10"/>
        <v>0.46871039230392303</v>
      </c>
      <c r="AQ23" s="58">
        <f t="shared" si="10"/>
        <v>0.46885976180823796</v>
      </c>
      <c r="AR23" s="58">
        <f t="shared" si="10"/>
        <v>0.4690091313125529</v>
      </c>
      <c r="AS23" s="58">
        <f t="shared" si="10"/>
        <v>0.46915850081686783</v>
      </c>
      <c r="AT23" s="58">
        <f t="shared" si="10"/>
        <v>0.46930787032118276</v>
      </c>
      <c r="AU23" s="58">
        <f t="shared" si="10"/>
        <v>0.46945723982549775</v>
      </c>
      <c r="AV23" s="58">
        <f t="shared" si="10"/>
        <v>0.46960660932981269</v>
      </c>
      <c r="AW23" s="58">
        <f t="shared" si="10"/>
        <v>0.46975597883412762</v>
      </c>
      <c r="AX23" s="58">
        <f t="shared" si="10"/>
        <v>0.46990534833844255</v>
      </c>
      <c r="AY23" s="58">
        <f t="shared" si="10"/>
        <v>0.47005471784275749</v>
      </c>
      <c r="AZ23" s="58">
        <f t="shared" si="10"/>
        <v>0.47020408734707242</v>
      </c>
      <c r="BA23" s="58">
        <f t="shared" si="10"/>
        <v>0.47035345685138735</v>
      </c>
      <c r="BB23" s="58">
        <f t="shared" si="10"/>
        <v>0.47050282635570229</v>
      </c>
      <c r="BC23" s="58">
        <f t="shared" si="10"/>
        <v>0.47065219586001722</v>
      </c>
      <c r="BD23" s="58">
        <f t="shared" si="10"/>
        <v>0.47080156536433221</v>
      </c>
      <c r="BE23" s="58">
        <f t="shared" si="10"/>
        <v>0.47095093486864714</v>
      </c>
      <c r="BF23" s="58">
        <f t="shared" si="10"/>
        <v>0.47110030437296208</v>
      </c>
      <c r="BG23" s="58">
        <f t="shared" si="10"/>
        <v>0.47124967387727701</v>
      </c>
      <c r="BH23" s="58">
        <f t="shared" si="10"/>
        <v>0.47139904338159194</v>
      </c>
      <c r="BI23" s="58">
        <f t="shared" si="10"/>
        <v>0.47154841288590688</v>
      </c>
      <c r="BJ23" s="90">
        <f t="shared" si="10"/>
        <v>0.47169778239022181</v>
      </c>
    </row>
    <row r="24" spans="1:62" x14ac:dyDescent="0.25">
      <c r="A24" s="78" t="s">
        <v>7</v>
      </c>
      <c r="B24" s="55">
        <f t="shared" si="7"/>
        <v>0.12579932082261161</v>
      </c>
      <c r="C24" s="56">
        <f t="shared" si="5"/>
        <v>0.12390088207179248</v>
      </c>
      <c r="D24" s="56">
        <f t="shared" si="5"/>
        <v>0.12225905847747078</v>
      </c>
      <c r="E24" s="56">
        <f t="shared" si="5"/>
        <v>0.12092676767298069</v>
      </c>
      <c r="F24" s="56">
        <f t="shared" si="5"/>
        <v>0.11968647036998367</v>
      </c>
      <c r="G24" s="56">
        <f t="shared" si="5"/>
        <v>0.11845044777527602</v>
      </c>
      <c r="H24" s="56">
        <f t="shared" si="5"/>
        <v>0.11696160148000116</v>
      </c>
      <c r="I24" s="56">
        <f t="shared" si="5"/>
        <v>0.11494009572245582</v>
      </c>
      <c r="J24" s="56">
        <f t="shared" si="5"/>
        <v>0.1124300033183101</v>
      </c>
      <c r="K24" s="56">
        <f t="shared" si="5"/>
        <v>9.1844169659415872E-2</v>
      </c>
      <c r="L24" s="56">
        <f t="shared" si="5"/>
        <v>8.8415258914359182E-2</v>
      </c>
      <c r="M24" s="56">
        <f t="shared" si="5"/>
        <v>9.2115536721685862E-2</v>
      </c>
      <c r="N24" s="56">
        <f t="shared" si="5"/>
        <v>0.1050340473400246</v>
      </c>
      <c r="O24" s="56">
        <f t="shared" si="5"/>
        <v>0.11246618315900334</v>
      </c>
      <c r="P24" s="56">
        <f t="shared" si="5"/>
        <v>0.11800392139667062</v>
      </c>
      <c r="Q24" s="56">
        <f t="shared" si="5"/>
        <v>0.11937151243301826</v>
      </c>
      <c r="R24" s="56">
        <f t="shared" si="5"/>
        <v>0.12033571082013211</v>
      </c>
      <c r="S24" s="56">
        <f t="shared" si="5"/>
        <v>0.10606048604194532</v>
      </c>
      <c r="T24" s="56">
        <f t="shared" si="5"/>
        <v>9.5406847242693077E-2</v>
      </c>
      <c r="U24" s="56">
        <f t="shared" si="5"/>
        <v>8.9724170970372399E-2</v>
      </c>
      <c r="V24" s="56">
        <f t="shared" si="5"/>
        <v>9.0587366897993099E-2</v>
      </c>
      <c r="W24" s="56">
        <f t="shared" si="5"/>
        <v>8.4030996305093697E-2</v>
      </c>
      <c r="X24" s="56">
        <f t="shared" si="5"/>
        <v>7.8866459156020141E-2</v>
      </c>
      <c r="Y24" s="56">
        <f t="shared" si="5"/>
        <v>7.5224865862848531E-2</v>
      </c>
      <c r="Z24" s="56">
        <f t="shared" si="5"/>
        <v>7.8044479380938378E-2</v>
      </c>
      <c r="AA24" s="56">
        <f t="shared" si="5"/>
        <v>8.1916670044637471E-2</v>
      </c>
      <c r="AB24" s="56">
        <f t="shared" si="5"/>
        <v>7.9281855770834825E-2</v>
      </c>
      <c r="AC24" s="56">
        <f t="shared" si="5"/>
        <v>7.7737587368917171E-2</v>
      </c>
      <c r="AD24" s="86">
        <f t="shared" ref="AD24:AD27" si="11">_xlfn.FORECAST.LINEAR(AD$17,$B24:$AC24,$B$17:$AC$17)</f>
        <v>7.6444778578314665E-2</v>
      </c>
      <c r="AE24" s="58">
        <f t="shared" si="6"/>
        <v>7.4672933817219178E-2</v>
      </c>
      <c r="AF24" s="58">
        <f t="shared" si="6"/>
        <v>7.2901089056124135E-2</v>
      </c>
      <c r="AG24" s="58">
        <f t="shared" si="6"/>
        <v>7.1129244295028649E-2</v>
      </c>
      <c r="AH24" s="58">
        <f t="shared" si="6"/>
        <v>6.9357399533933162E-2</v>
      </c>
      <c r="AI24" s="58">
        <f t="shared" si="6"/>
        <v>6.7585554772838119E-2</v>
      </c>
      <c r="AJ24" s="58">
        <f t="shared" si="6"/>
        <v>6.5813710011742632E-2</v>
      </c>
      <c r="AK24" s="58">
        <f t="shared" si="6"/>
        <v>6.4041865250647589E-2</v>
      </c>
      <c r="AL24" s="58">
        <f t="shared" si="6"/>
        <v>6.2270020489552103E-2</v>
      </c>
      <c r="AM24" s="58">
        <f t="shared" si="6"/>
        <v>6.049817572845706E-2</v>
      </c>
      <c r="AN24" s="58">
        <f t="shared" si="6"/>
        <v>5.8726330967361573E-2</v>
      </c>
      <c r="AO24" s="58">
        <f t="shared" si="6"/>
        <v>5.695448620626653E-2</v>
      </c>
      <c r="AP24" s="58">
        <f t="shared" si="6"/>
        <v>5.5182641445171043E-2</v>
      </c>
      <c r="AQ24" s="58">
        <f t="shared" si="6"/>
        <v>5.3410796684076001E-2</v>
      </c>
      <c r="AR24" s="58">
        <f t="shared" si="6"/>
        <v>5.1638951922980514E-2</v>
      </c>
      <c r="AS24" s="58">
        <f t="shared" si="6"/>
        <v>4.9867107161885471E-2</v>
      </c>
      <c r="AT24" s="58">
        <f t="shared" si="6"/>
        <v>4.8095262400789984E-2</v>
      </c>
      <c r="AU24" s="58">
        <f t="shared" si="6"/>
        <v>4.6323417639694942E-2</v>
      </c>
      <c r="AV24" s="58">
        <f t="shared" si="6"/>
        <v>4.4551572878599455E-2</v>
      </c>
      <c r="AW24" s="58">
        <f t="shared" si="6"/>
        <v>4.2779728117504412E-2</v>
      </c>
      <c r="AX24" s="58">
        <f t="shared" si="6"/>
        <v>4.1007883356408925E-2</v>
      </c>
      <c r="AY24" s="58">
        <f t="shared" si="6"/>
        <v>3.9236038595313882E-2</v>
      </c>
      <c r="AZ24" s="58">
        <f t="shared" si="6"/>
        <v>3.7464193834218396E-2</v>
      </c>
      <c r="BA24" s="58">
        <f t="shared" si="6"/>
        <v>3.5692349073123353E-2</v>
      </c>
      <c r="BB24" s="58">
        <f t="shared" si="6"/>
        <v>3.3920504312027866E-2</v>
      </c>
      <c r="BC24" s="58">
        <f t="shared" si="6"/>
        <v>3.2148659550932823E-2</v>
      </c>
      <c r="BD24" s="58">
        <f t="shared" si="6"/>
        <v>3.0376814789837336E-2</v>
      </c>
      <c r="BE24" s="58">
        <f t="shared" si="6"/>
        <v>2.8604970028742294E-2</v>
      </c>
      <c r="BF24" s="58">
        <f t="shared" si="6"/>
        <v>2.6833125267646807E-2</v>
      </c>
      <c r="BG24" s="58">
        <f t="shared" si="6"/>
        <v>2.5061280506551764E-2</v>
      </c>
      <c r="BH24" s="58">
        <f t="shared" si="6"/>
        <v>2.3289435745456277E-2</v>
      </c>
      <c r="BI24" s="58">
        <f t="shared" si="6"/>
        <v>2.151759098436079E-2</v>
      </c>
      <c r="BJ24" s="90">
        <f t="shared" si="6"/>
        <v>1.9745746223265748E-2</v>
      </c>
    </row>
    <row r="25" spans="1:62" x14ac:dyDescent="0.25">
      <c r="A25" s="78" t="s">
        <v>169</v>
      </c>
      <c r="B25" s="55">
        <f t="shared" si="7"/>
        <v>2.4496151171133549E-2</v>
      </c>
      <c r="C25" s="56">
        <f t="shared" si="5"/>
        <v>2.389879898437916E-2</v>
      </c>
      <c r="D25" s="56">
        <f t="shared" si="5"/>
        <v>2.357338855732883E-2</v>
      </c>
      <c r="E25" s="56">
        <f t="shared" si="5"/>
        <v>2.458036090536769E-2</v>
      </c>
      <c r="F25" s="56">
        <f t="shared" si="5"/>
        <v>2.6791023940552602E-2</v>
      </c>
      <c r="G25" s="56">
        <f t="shared" si="5"/>
        <v>2.7767589107993033E-2</v>
      </c>
      <c r="H25" s="56">
        <f t="shared" si="5"/>
        <v>2.7168427603289642E-2</v>
      </c>
      <c r="I25" s="56">
        <f t="shared" si="5"/>
        <v>2.8012811995555945E-2</v>
      </c>
      <c r="J25" s="56">
        <f t="shared" si="5"/>
        <v>2.9815464704839419E-2</v>
      </c>
      <c r="K25" s="56">
        <f t="shared" si="5"/>
        <v>3.0898922068404021E-2</v>
      </c>
      <c r="L25" s="56">
        <f t="shared" si="5"/>
        <v>3.1338147485618459E-2</v>
      </c>
      <c r="M25" s="56">
        <f t="shared" si="5"/>
        <v>3.271035066401054E-2</v>
      </c>
      <c r="N25" s="56">
        <f t="shared" si="5"/>
        <v>3.0817111865949848E-2</v>
      </c>
      <c r="O25" s="56">
        <f t="shared" si="5"/>
        <v>3.0132095366042781E-2</v>
      </c>
      <c r="P25" s="56">
        <f t="shared" si="5"/>
        <v>3.1364997450891448E-2</v>
      </c>
      <c r="Q25" s="56">
        <f t="shared" si="5"/>
        <v>3.0329038473116986E-2</v>
      </c>
      <c r="R25" s="56">
        <f t="shared" si="5"/>
        <v>2.9634652481440347E-2</v>
      </c>
      <c r="S25" s="56">
        <f t="shared" si="5"/>
        <v>2.9562619162801285E-2</v>
      </c>
      <c r="T25" s="56">
        <f t="shared" si="5"/>
        <v>2.9706610306182039E-2</v>
      </c>
      <c r="U25" s="56">
        <f t="shared" si="5"/>
        <v>2.8393313400380538E-2</v>
      </c>
      <c r="V25" s="56">
        <f t="shared" si="5"/>
        <v>2.9055491546314406E-2</v>
      </c>
      <c r="W25" s="56">
        <f t="shared" si="5"/>
        <v>2.9382158880971235E-2</v>
      </c>
      <c r="X25" s="56">
        <f t="shared" si="5"/>
        <v>2.9495418763711447E-2</v>
      </c>
      <c r="Y25" s="56">
        <f t="shared" si="5"/>
        <v>2.8816126601356445E-2</v>
      </c>
      <c r="Z25" s="56">
        <f t="shared" si="5"/>
        <v>2.8037026153394064E-2</v>
      </c>
      <c r="AA25" s="56">
        <f t="shared" si="5"/>
        <v>2.9708046809024009E-2</v>
      </c>
      <c r="AB25" s="56">
        <f t="shared" si="5"/>
        <v>3.0835776077786519E-2</v>
      </c>
      <c r="AC25" s="56">
        <f t="shared" si="5"/>
        <v>3.1383056439260044E-2</v>
      </c>
      <c r="AD25" s="86">
        <f t="shared" si="11"/>
        <v>3.1359526400112359E-2</v>
      </c>
      <c r="AE25" s="58">
        <f t="shared" si="6"/>
        <v>3.1532831233206104E-2</v>
      </c>
      <c r="AF25" s="58">
        <f t="shared" si="6"/>
        <v>3.1706136066299795E-2</v>
      </c>
      <c r="AG25" s="58">
        <f t="shared" si="6"/>
        <v>3.1879440899393541E-2</v>
      </c>
      <c r="AH25" s="58">
        <f t="shared" si="6"/>
        <v>3.2052745732487231E-2</v>
      </c>
      <c r="AI25" s="58">
        <f t="shared" si="6"/>
        <v>3.2226050565580977E-2</v>
      </c>
      <c r="AJ25" s="58">
        <f t="shared" si="6"/>
        <v>3.2399355398674667E-2</v>
      </c>
      <c r="AK25" s="58">
        <f t="shared" si="6"/>
        <v>3.2572660231768413E-2</v>
      </c>
      <c r="AL25" s="58">
        <f t="shared" si="6"/>
        <v>3.2745965064862104E-2</v>
      </c>
      <c r="AM25" s="58">
        <f t="shared" si="6"/>
        <v>3.291926989795585E-2</v>
      </c>
      <c r="AN25" s="58">
        <f t="shared" si="6"/>
        <v>3.309257473104954E-2</v>
      </c>
      <c r="AO25" s="58">
        <f t="shared" si="6"/>
        <v>3.3265879564143286E-2</v>
      </c>
      <c r="AP25" s="58">
        <f t="shared" si="6"/>
        <v>3.3439184397236976E-2</v>
      </c>
      <c r="AQ25" s="58">
        <f t="shared" si="6"/>
        <v>3.3612489230330722E-2</v>
      </c>
      <c r="AR25" s="58">
        <f t="shared" si="6"/>
        <v>3.3785794063424412E-2</v>
      </c>
      <c r="AS25" s="58">
        <f t="shared" si="6"/>
        <v>3.3959098896518158E-2</v>
      </c>
      <c r="AT25" s="58">
        <f t="shared" si="6"/>
        <v>3.4132403729611849E-2</v>
      </c>
      <c r="AU25" s="58">
        <f t="shared" si="6"/>
        <v>3.4305708562705595E-2</v>
      </c>
      <c r="AV25" s="58">
        <f t="shared" si="6"/>
        <v>3.4479013395799285E-2</v>
      </c>
      <c r="AW25" s="58">
        <f t="shared" si="6"/>
        <v>3.4652318228893031E-2</v>
      </c>
      <c r="AX25" s="58">
        <f t="shared" si="6"/>
        <v>3.4825623061986721E-2</v>
      </c>
      <c r="AY25" s="58">
        <f t="shared" si="6"/>
        <v>3.4998927895080467E-2</v>
      </c>
      <c r="AZ25" s="58">
        <f t="shared" si="6"/>
        <v>3.5172232728174158E-2</v>
      </c>
      <c r="BA25" s="58">
        <f t="shared" si="6"/>
        <v>3.5345537561267903E-2</v>
      </c>
      <c r="BB25" s="58">
        <f t="shared" si="6"/>
        <v>3.5518842394361594E-2</v>
      </c>
      <c r="BC25" s="58">
        <f t="shared" si="6"/>
        <v>3.569214722745534E-2</v>
      </c>
      <c r="BD25" s="58">
        <f t="shared" si="6"/>
        <v>3.586545206054903E-2</v>
      </c>
      <c r="BE25" s="58">
        <f t="shared" si="6"/>
        <v>3.6038756893642776E-2</v>
      </c>
      <c r="BF25" s="58">
        <f t="shared" si="6"/>
        <v>3.6212061726736466E-2</v>
      </c>
      <c r="BG25" s="58">
        <f t="shared" si="6"/>
        <v>3.6385366559830212E-2</v>
      </c>
      <c r="BH25" s="58">
        <f t="shared" si="6"/>
        <v>3.6558671392923903E-2</v>
      </c>
      <c r="BI25" s="58">
        <f t="shared" si="6"/>
        <v>3.6731976226017593E-2</v>
      </c>
      <c r="BJ25" s="90">
        <f t="shared" si="6"/>
        <v>3.6905281059111339E-2</v>
      </c>
    </row>
    <row r="26" spans="1:62" x14ac:dyDescent="0.25">
      <c r="A26" s="78" t="s">
        <v>9</v>
      </c>
      <c r="B26" s="55">
        <f t="shared" si="7"/>
        <v>0.21760052249245226</v>
      </c>
      <c r="C26" s="56">
        <f t="shared" si="5"/>
        <v>0.2163942065481467</v>
      </c>
      <c r="D26" s="56">
        <f t="shared" si="5"/>
        <v>0.2155680616499131</v>
      </c>
      <c r="E26" s="56">
        <f t="shared" si="5"/>
        <v>0.21522952867552558</v>
      </c>
      <c r="F26" s="56">
        <f t="shared" si="5"/>
        <v>0.2150035954893087</v>
      </c>
      <c r="G26" s="56">
        <f t="shared" si="5"/>
        <v>0.21473611995382003</v>
      </c>
      <c r="H26" s="56">
        <f t="shared" si="5"/>
        <v>0.21395731303688867</v>
      </c>
      <c r="I26" s="56">
        <f t="shared" si="5"/>
        <v>0.21213860249737795</v>
      </c>
      <c r="J26" s="56">
        <f t="shared" si="5"/>
        <v>0.20933638627061268</v>
      </c>
      <c r="K26" s="56">
        <f t="shared" si="5"/>
        <v>0.20775617639767371</v>
      </c>
      <c r="L26" s="56">
        <f t="shared" si="5"/>
        <v>0.20637787522659959</v>
      </c>
      <c r="M26" s="56">
        <f t="shared" si="5"/>
        <v>0.20590997500395672</v>
      </c>
      <c r="N26" s="56">
        <f t="shared" si="5"/>
        <v>0.20429203180552016</v>
      </c>
      <c r="O26" s="56">
        <f t="shared" si="5"/>
        <v>0.19585579222659427</v>
      </c>
      <c r="P26" s="56">
        <f t="shared" si="5"/>
        <v>0.19610534503751403</v>
      </c>
      <c r="Q26" s="56">
        <f t="shared" si="5"/>
        <v>0.19177674754651092</v>
      </c>
      <c r="R26" s="56">
        <f t="shared" si="5"/>
        <v>0.18238995732740984</v>
      </c>
      <c r="S26" s="56">
        <f t="shared" si="5"/>
        <v>0.17818246492700837</v>
      </c>
      <c r="T26" s="56">
        <f t="shared" si="5"/>
        <v>0.18575488751077615</v>
      </c>
      <c r="U26" s="56">
        <f t="shared" si="5"/>
        <v>0.17658793150312585</v>
      </c>
      <c r="V26" s="56">
        <f t="shared" si="5"/>
        <v>0.17416387556603521</v>
      </c>
      <c r="W26" s="56">
        <f t="shared" si="5"/>
        <v>0.17420401161256269</v>
      </c>
      <c r="X26" s="56">
        <f t="shared" si="5"/>
        <v>0.17548974061169187</v>
      </c>
      <c r="Y26" s="56">
        <f t="shared" si="5"/>
        <v>0.1641622707862346</v>
      </c>
      <c r="Z26" s="56">
        <f t="shared" si="5"/>
        <v>0.16367910667058477</v>
      </c>
      <c r="AA26" s="56">
        <f t="shared" si="5"/>
        <v>0.16919821450114611</v>
      </c>
      <c r="AB26" s="56">
        <f t="shared" si="5"/>
        <v>0.17452801410833871</v>
      </c>
      <c r="AC26" s="56">
        <f t="shared" si="5"/>
        <v>0.18099658300930835</v>
      </c>
      <c r="AD26" s="86">
        <f t="shared" si="11"/>
        <v>0.16316943676925</v>
      </c>
      <c r="AE26" s="58">
        <f t="shared" si="6"/>
        <v>0.16102995128044739</v>
      </c>
      <c r="AF26" s="58">
        <f t="shared" si="6"/>
        <v>0.15889046579164567</v>
      </c>
      <c r="AG26" s="58">
        <f t="shared" si="6"/>
        <v>0.15675098030284307</v>
      </c>
      <c r="AH26" s="58">
        <f t="shared" si="6"/>
        <v>0.15461149481404135</v>
      </c>
      <c r="AI26" s="58">
        <f t="shared" si="6"/>
        <v>0.15247200932523874</v>
      </c>
      <c r="AJ26" s="58">
        <f t="shared" si="6"/>
        <v>0.15033252383643703</v>
      </c>
      <c r="AK26" s="58">
        <f t="shared" si="6"/>
        <v>0.14819303834763531</v>
      </c>
      <c r="AL26" s="58">
        <f t="shared" si="6"/>
        <v>0.1460535528588327</v>
      </c>
      <c r="AM26" s="58">
        <f t="shared" si="6"/>
        <v>0.14391406737003098</v>
      </c>
      <c r="AN26" s="58">
        <f t="shared" si="6"/>
        <v>0.14177458188122838</v>
      </c>
      <c r="AO26" s="58">
        <f t="shared" si="6"/>
        <v>0.13963509639242666</v>
      </c>
      <c r="AP26" s="58">
        <f t="shared" si="6"/>
        <v>0.13749561090362494</v>
      </c>
      <c r="AQ26" s="58">
        <f t="shared" si="6"/>
        <v>0.13535612541482234</v>
      </c>
      <c r="AR26" s="58">
        <f t="shared" si="6"/>
        <v>0.13321663992602062</v>
      </c>
      <c r="AS26" s="58">
        <f t="shared" si="6"/>
        <v>0.13107715443721801</v>
      </c>
      <c r="AT26" s="58">
        <f t="shared" si="6"/>
        <v>0.1289376689484163</v>
      </c>
      <c r="AU26" s="58">
        <f t="shared" si="6"/>
        <v>0.12679818345961369</v>
      </c>
      <c r="AV26" s="58">
        <f t="shared" si="6"/>
        <v>0.12465869797081197</v>
      </c>
      <c r="AW26" s="58">
        <f t="shared" si="6"/>
        <v>0.12251921248201025</v>
      </c>
      <c r="AX26" s="58">
        <f t="shared" si="6"/>
        <v>0.12037972699320765</v>
      </c>
      <c r="AY26" s="58">
        <f t="shared" si="6"/>
        <v>0.11824024150440593</v>
      </c>
      <c r="AZ26" s="58">
        <f t="shared" si="6"/>
        <v>0.11610075601560332</v>
      </c>
      <c r="BA26" s="58">
        <f t="shared" si="6"/>
        <v>0.11396127052680161</v>
      </c>
      <c r="BB26" s="58">
        <f t="shared" si="6"/>
        <v>0.11182178503799989</v>
      </c>
      <c r="BC26" s="58">
        <f t="shared" si="6"/>
        <v>0.10968229954919728</v>
      </c>
      <c r="BD26" s="58">
        <f t="shared" si="6"/>
        <v>0.10754281406039556</v>
      </c>
      <c r="BE26" s="58">
        <f t="shared" si="6"/>
        <v>0.10540332857159296</v>
      </c>
      <c r="BF26" s="58">
        <f t="shared" si="6"/>
        <v>0.10326384308279124</v>
      </c>
      <c r="BG26" s="58">
        <f t="shared" si="6"/>
        <v>0.10112435759398863</v>
      </c>
      <c r="BH26" s="58">
        <f t="shared" ref="AE26:BJ27" si="12">_xlfn.FORECAST.LINEAR(BH$17,$B26:$AC26,$B$17:$AC$17)</f>
        <v>9.8984872105186916E-2</v>
      </c>
      <c r="BI26" s="58">
        <f t="shared" si="12"/>
        <v>9.6845386616385198E-2</v>
      </c>
      <c r="BJ26" s="90">
        <f t="shared" si="12"/>
        <v>9.4705901127582592E-2</v>
      </c>
    </row>
    <row r="27" spans="1:62" x14ac:dyDescent="0.25">
      <c r="A27" s="81" t="s">
        <v>175</v>
      </c>
      <c r="B27" s="82">
        <f t="shared" si="7"/>
        <v>6.2427168614208215</v>
      </c>
      <c r="C27" s="77">
        <f t="shared" si="5"/>
        <v>6.2799298570244044</v>
      </c>
      <c r="D27" s="77">
        <f t="shared" si="5"/>
        <v>5.2237402847650918</v>
      </c>
      <c r="E27" s="77">
        <f t="shared" si="5"/>
        <v>6.6652637495662175</v>
      </c>
      <c r="F27" s="77">
        <f t="shared" si="5"/>
        <v>5.5407306125670566</v>
      </c>
      <c r="G27" s="77">
        <f t="shared" si="5"/>
        <v>6.2444519900916928</v>
      </c>
      <c r="H27" s="77">
        <f t="shared" si="5"/>
        <v>6.4217219128400895</v>
      </c>
      <c r="I27" s="77">
        <f t="shared" si="5"/>
        <v>5.8022942000834563</v>
      </c>
      <c r="J27" s="77">
        <f t="shared" si="5"/>
        <v>5.477732596417809</v>
      </c>
      <c r="K27" s="77">
        <f t="shared" si="5"/>
        <v>6.1904616245340653</v>
      </c>
      <c r="L27" s="77">
        <f t="shared" si="5"/>
        <v>5.1255497492212676</v>
      </c>
      <c r="M27" s="77">
        <f t="shared" si="5"/>
        <v>4.253457021826903</v>
      </c>
      <c r="N27" s="77">
        <f t="shared" si="5"/>
        <v>2.4902652684316928</v>
      </c>
      <c r="O27" s="77">
        <f t="shared" si="5"/>
        <v>4.7467379936373888</v>
      </c>
      <c r="P27" s="77">
        <f t="shared" si="5"/>
        <v>5.3058216031623147</v>
      </c>
      <c r="Q27" s="77">
        <f t="shared" si="5"/>
        <v>5.5170006939008962</v>
      </c>
      <c r="R27" s="77">
        <f t="shared" si="5"/>
        <v>4.7416902747413339</v>
      </c>
      <c r="S27" s="77">
        <f t="shared" si="5"/>
        <v>4.377878074139419</v>
      </c>
      <c r="T27" s="77">
        <f t="shared" si="5"/>
        <v>5.359886718392243</v>
      </c>
      <c r="U27" s="77">
        <f t="shared" si="5"/>
        <v>4.2005881644468603</v>
      </c>
      <c r="V27" s="77">
        <f t="shared" si="5"/>
        <v>4.932454918142601</v>
      </c>
      <c r="W27" s="77">
        <f t="shared" si="5"/>
        <v>5.2482969121140144</v>
      </c>
      <c r="X27" s="77">
        <f t="shared" si="5"/>
        <v>4.8287224157955873</v>
      </c>
      <c r="Y27" s="77">
        <f t="shared" si="5"/>
        <v>6.0293931173072091</v>
      </c>
      <c r="Z27" s="77">
        <f t="shared" si="5"/>
        <v>4.9620761093153103</v>
      </c>
      <c r="AA27" s="77">
        <f t="shared" si="5"/>
        <v>4.6539114489081914</v>
      </c>
      <c r="AB27" s="77">
        <f t="shared" si="5"/>
        <v>5.2626231500679213</v>
      </c>
      <c r="AC27" s="77">
        <f t="shared" si="5"/>
        <v>5.1658039354306586</v>
      </c>
      <c r="AD27" s="87">
        <f t="shared" si="11"/>
        <v>4.6185292922535268</v>
      </c>
      <c r="AE27" s="91">
        <f t="shared" si="12"/>
        <v>4.574262343792455</v>
      </c>
      <c r="AF27" s="91">
        <f t="shared" si="12"/>
        <v>4.5299953953313832</v>
      </c>
      <c r="AG27" s="91">
        <f t="shared" si="12"/>
        <v>4.4857284468703256</v>
      </c>
      <c r="AH27" s="91">
        <f t="shared" si="12"/>
        <v>4.4414614984092537</v>
      </c>
      <c r="AI27" s="91">
        <f t="shared" si="12"/>
        <v>4.3971945499481819</v>
      </c>
      <c r="AJ27" s="91">
        <f t="shared" si="12"/>
        <v>4.3529276014871243</v>
      </c>
      <c r="AK27" s="91">
        <f t="shared" si="12"/>
        <v>4.3086606530260525</v>
      </c>
      <c r="AL27" s="91">
        <f t="shared" si="12"/>
        <v>4.2643937045649807</v>
      </c>
      <c r="AM27" s="91">
        <f t="shared" si="12"/>
        <v>4.2201267561039089</v>
      </c>
      <c r="AN27" s="91">
        <f t="shared" si="12"/>
        <v>4.1758598076428513</v>
      </c>
      <c r="AO27" s="91">
        <f t="shared" si="12"/>
        <v>4.1315928591817794</v>
      </c>
      <c r="AP27" s="91">
        <f t="shared" si="12"/>
        <v>4.0873259107207076</v>
      </c>
      <c r="AQ27" s="91">
        <f t="shared" si="12"/>
        <v>4.0430589622596358</v>
      </c>
      <c r="AR27" s="91">
        <f t="shared" si="12"/>
        <v>3.9987920137985782</v>
      </c>
      <c r="AS27" s="91">
        <f t="shared" si="12"/>
        <v>3.9545250653375064</v>
      </c>
      <c r="AT27" s="91">
        <f t="shared" si="12"/>
        <v>3.9102581168764345</v>
      </c>
      <c r="AU27" s="91">
        <f t="shared" si="12"/>
        <v>3.8659911684153769</v>
      </c>
      <c r="AV27" s="91">
        <f t="shared" si="12"/>
        <v>3.8217242199543051</v>
      </c>
      <c r="AW27" s="91">
        <f t="shared" si="12"/>
        <v>3.7774572714932333</v>
      </c>
      <c r="AX27" s="91">
        <f t="shared" si="12"/>
        <v>3.7331903230321615</v>
      </c>
      <c r="AY27" s="91">
        <f t="shared" si="12"/>
        <v>3.6889233745711039</v>
      </c>
      <c r="AZ27" s="91">
        <f t="shared" si="12"/>
        <v>3.644656426110032</v>
      </c>
      <c r="BA27" s="91">
        <f t="shared" si="12"/>
        <v>3.6003894776489602</v>
      </c>
      <c r="BB27" s="91">
        <f t="shared" si="12"/>
        <v>3.5561225291878884</v>
      </c>
      <c r="BC27" s="91">
        <f t="shared" si="12"/>
        <v>3.5118555807268308</v>
      </c>
      <c r="BD27" s="91">
        <f t="shared" si="12"/>
        <v>3.467588632265759</v>
      </c>
      <c r="BE27" s="91">
        <f t="shared" si="12"/>
        <v>3.4233216838046872</v>
      </c>
      <c r="BF27" s="91">
        <f t="shared" si="12"/>
        <v>3.3790547353436153</v>
      </c>
      <c r="BG27" s="91">
        <f t="shared" si="12"/>
        <v>3.3347877868825577</v>
      </c>
      <c r="BH27" s="91">
        <f t="shared" si="12"/>
        <v>3.2905208384214859</v>
      </c>
      <c r="BI27" s="91">
        <f t="shared" si="12"/>
        <v>3.2462538899604141</v>
      </c>
      <c r="BJ27" s="92">
        <f t="shared" si="12"/>
        <v>3.2019869414993565</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49905-D496-425D-9AC1-98FE49D100CC}">
  <dimension ref="A1:BJ37"/>
  <sheetViews>
    <sheetView topLeftCell="A7" workbookViewId="0">
      <selection activeCell="N34" sqref="N34"/>
    </sheetView>
  </sheetViews>
  <sheetFormatPr defaultRowHeight="15" x14ac:dyDescent="0.25"/>
  <cols>
    <col min="1" max="1" width="19.42578125" customWidth="1"/>
    <col min="2" max="62" width="6.42578125" bestFit="1" customWidth="1"/>
  </cols>
  <sheetData>
    <row r="1" spans="1:62" x14ac:dyDescent="0.25">
      <c r="A1" s="110" t="s">
        <v>185</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09"/>
      <c r="AP1" s="109"/>
      <c r="AQ1" s="109"/>
      <c r="AR1" s="109"/>
      <c r="AS1" s="109"/>
      <c r="AT1" s="109"/>
      <c r="AU1" s="109"/>
      <c r="AV1" s="109"/>
      <c r="AW1" s="109"/>
      <c r="AX1" s="109"/>
      <c r="AY1" s="109"/>
      <c r="AZ1" s="109"/>
      <c r="BA1" s="109"/>
      <c r="BB1" s="109"/>
      <c r="BC1" s="109"/>
      <c r="BD1" s="109"/>
      <c r="BE1" s="109"/>
      <c r="BF1" s="109"/>
      <c r="BG1" s="109"/>
      <c r="BH1" s="109"/>
      <c r="BI1" s="109"/>
      <c r="BJ1" s="109"/>
    </row>
    <row r="2" spans="1:62" x14ac:dyDescent="0.25">
      <c r="A2" s="108" t="s">
        <v>176</v>
      </c>
    </row>
    <row r="3" spans="1:62" x14ac:dyDescent="0.25">
      <c r="A3" s="108" t="s">
        <v>177</v>
      </c>
    </row>
    <row r="4" spans="1:62" x14ac:dyDescent="0.25">
      <c r="A4" s="108" t="s">
        <v>178</v>
      </c>
    </row>
    <row r="5" spans="1:62" x14ac:dyDescent="0.25">
      <c r="A5" s="108" t="s">
        <v>199</v>
      </c>
    </row>
    <row r="6" spans="1:62" x14ac:dyDescent="0.25">
      <c r="A6" s="108"/>
    </row>
    <row r="7" spans="1:62" x14ac:dyDescent="0.25">
      <c r="A7" s="108" t="s">
        <v>179</v>
      </c>
      <c r="B7" s="108">
        <v>1990</v>
      </c>
      <c r="C7" s="108">
        <v>1991</v>
      </c>
      <c r="D7" s="108">
        <v>1992</v>
      </c>
      <c r="E7" s="108">
        <v>1993</v>
      </c>
      <c r="F7" s="108">
        <v>1994</v>
      </c>
      <c r="G7" s="108">
        <v>1995</v>
      </c>
      <c r="H7" s="108">
        <v>1996</v>
      </c>
      <c r="I7" s="108">
        <v>1997</v>
      </c>
      <c r="J7" s="108">
        <v>1998</v>
      </c>
      <c r="K7" s="108">
        <v>1999</v>
      </c>
      <c r="L7" s="108">
        <v>2000</v>
      </c>
      <c r="M7" s="108">
        <v>2001</v>
      </c>
      <c r="N7" s="108">
        <v>2002</v>
      </c>
      <c r="O7" s="108">
        <v>2003</v>
      </c>
      <c r="P7" s="108">
        <v>2004</v>
      </c>
      <c r="Q7" s="108">
        <v>2005</v>
      </c>
      <c r="R7" s="108">
        <v>2006</v>
      </c>
      <c r="S7" s="108">
        <v>2007</v>
      </c>
      <c r="T7" s="108">
        <v>2008</v>
      </c>
      <c r="U7" s="108">
        <v>2009</v>
      </c>
      <c r="V7" s="108">
        <v>2010</v>
      </c>
      <c r="W7" s="108">
        <v>2011</v>
      </c>
      <c r="X7" s="108">
        <v>2012</v>
      </c>
      <c r="Y7" s="108">
        <v>2013</v>
      </c>
      <c r="Z7" s="108">
        <v>2014</v>
      </c>
      <c r="AA7" s="108">
        <v>2015</v>
      </c>
      <c r="AB7" s="108">
        <v>2016</v>
      </c>
      <c r="AC7" s="108">
        <v>2017</v>
      </c>
      <c r="AD7" s="108">
        <v>2018</v>
      </c>
      <c r="AE7" s="108">
        <v>2019</v>
      </c>
      <c r="AF7" s="108">
        <v>2020</v>
      </c>
      <c r="AG7" s="108">
        <v>2021</v>
      </c>
      <c r="AH7" s="108">
        <v>2022</v>
      </c>
      <c r="AI7" s="108">
        <v>2023</v>
      </c>
      <c r="AJ7" s="108">
        <v>2024</v>
      </c>
      <c r="AK7" s="108">
        <v>2025</v>
      </c>
      <c r="AL7" s="108">
        <v>2026</v>
      </c>
      <c r="AM7" s="108">
        <v>2027</v>
      </c>
      <c r="AN7" s="108">
        <v>2028</v>
      </c>
      <c r="AO7" s="108">
        <v>2029</v>
      </c>
      <c r="AP7" s="108">
        <v>2030</v>
      </c>
      <c r="AQ7" s="108">
        <v>2031</v>
      </c>
      <c r="AR7" s="108">
        <v>2032</v>
      </c>
      <c r="AS7" s="108">
        <v>2033</v>
      </c>
      <c r="AT7" s="108">
        <v>2034</v>
      </c>
      <c r="AU7" s="108">
        <v>2035</v>
      </c>
      <c r="AV7" s="108">
        <v>2036</v>
      </c>
      <c r="AW7" s="108">
        <v>2037</v>
      </c>
      <c r="AX7" s="108">
        <v>2038</v>
      </c>
      <c r="AY7" s="108">
        <v>2039</v>
      </c>
      <c r="AZ7" s="108">
        <v>2040</v>
      </c>
      <c r="BA7" s="108">
        <v>2041</v>
      </c>
      <c r="BB7" s="108">
        <v>2042</v>
      </c>
      <c r="BC7" s="108">
        <v>2043</v>
      </c>
      <c r="BD7" s="108">
        <v>2044</v>
      </c>
      <c r="BE7" s="108">
        <v>2045</v>
      </c>
      <c r="BF7" s="108">
        <v>2046</v>
      </c>
      <c r="BG7" s="108">
        <v>2047</v>
      </c>
      <c r="BH7" s="108">
        <v>2048</v>
      </c>
      <c r="BI7" s="108">
        <v>2049</v>
      </c>
      <c r="BJ7" s="108">
        <v>2050</v>
      </c>
    </row>
    <row r="8" spans="1:62" x14ac:dyDescent="0.25">
      <c r="A8" t="s">
        <v>180</v>
      </c>
      <c r="B8" s="125">
        <v>5.8421183598432744</v>
      </c>
      <c r="C8" s="125">
        <v>5.8581970113576975</v>
      </c>
      <c r="D8" s="125">
        <v>5.6309835245092366</v>
      </c>
      <c r="E8" s="125">
        <v>5.973095180453055</v>
      </c>
      <c r="F8" s="125">
        <v>5.7496287154087051</v>
      </c>
      <c r="G8" s="125">
        <v>5.9303821455659866</v>
      </c>
      <c r="H8" s="125">
        <v>5.9786103781003392</v>
      </c>
      <c r="I8" s="125">
        <v>5.8635026402792967</v>
      </c>
      <c r="J8" s="125">
        <v>5.8351815308455537</v>
      </c>
      <c r="K8" s="125">
        <v>5.6615939420696835</v>
      </c>
      <c r="L8" s="125">
        <v>5.4162761116181972</v>
      </c>
      <c r="M8" s="125">
        <v>5.3357402425043023</v>
      </c>
      <c r="N8" s="125">
        <v>5.1168396673837249</v>
      </c>
      <c r="O8" s="125">
        <v>5.6836733032441984</v>
      </c>
      <c r="P8" s="125">
        <v>6.4924507155985003</v>
      </c>
      <c r="Q8" s="125">
        <v>6.5469897215150024</v>
      </c>
      <c r="R8" s="125">
        <v>6.2363497641484997</v>
      </c>
      <c r="S8" s="125">
        <v>5.9243032607343347</v>
      </c>
      <c r="T8" s="125">
        <v>6.1371395917412661</v>
      </c>
      <c r="U8" s="125">
        <v>5.8538830807513005</v>
      </c>
      <c r="V8" s="125">
        <v>6.1959343301640013</v>
      </c>
      <c r="W8" s="125">
        <v>5.9649575438888638</v>
      </c>
      <c r="X8" s="125">
        <v>5.6502942323264742</v>
      </c>
      <c r="Y8" s="125">
        <v>5.9758165792633875</v>
      </c>
      <c r="Z8" s="125">
        <v>6.0267974152522532</v>
      </c>
      <c r="AA8" s="125">
        <v>6.0041887767719251</v>
      </c>
      <c r="AB8" s="125">
        <v>6.3156059738376324</v>
      </c>
      <c r="AC8" s="125">
        <v>6.4922407149905741</v>
      </c>
      <c r="AD8" s="125">
        <v>6.4384588100026638</v>
      </c>
      <c r="AE8" s="125">
        <v>6.4993436550983255</v>
      </c>
      <c r="AF8" s="125">
        <v>6.547602151467725</v>
      </c>
      <c r="AG8" s="125">
        <v>6.5704910397482506</v>
      </c>
      <c r="AH8" s="125">
        <v>6.5964196045739802</v>
      </c>
      <c r="AI8" s="125">
        <v>6.636494356398579</v>
      </c>
      <c r="AJ8" s="125">
        <v>6.6970284695851765</v>
      </c>
      <c r="AK8" s="125">
        <v>6.7631742933167835</v>
      </c>
      <c r="AL8" s="125">
        <v>6.8316583297754701</v>
      </c>
      <c r="AM8" s="125">
        <v>6.8983887066888485</v>
      </c>
      <c r="AN8" s="125">
        <v>6.9643007091477438</v>
      </c>
      <c r="AO8" s="125">
        <v>7.0270561244250755</v>
      </c>
      <c r="AP8" s="125">
        <v>7.0811601526121866</v>
      </c>
      <c r="AQ8" s="125">
        <v>7.1301201127997116</v>
      </c>
      <c r="AR8" s="125">
        <v>7.1765080389874436</v>
      </c>
      <c r="AS8" s="125">
        <v>7.220207020539025</v>
      </c>
      <c r="AT8" s="125">
        <v>7.2625030744543562</v>
      </c>
      <c r="AU8" s="125">
        <v>7.3046822177333324</v>
      </c>
      <c r="AV8" s="125">
        <v>7.3446400589215779</v>
      </c>
      <c r="AW8" s="125">
        <v>7.3889235936549307</v>
      </c>
      <c r="AX8" s="125">
        <v>7.43531151984266</v>
      </c>
      <c r="AY8" s="125">
        <v>7.4819332673031047</v>
      </c>
      <c r="AZ8" s="125">
        <v>7.5268013552182298</v>
      </c>
      <c r="BA8" s="125">
        <v>7.5703834261334526</v>
      </c>
      <c r="BB8" s="125">
        <v>7.6133809438669102</v>
      </c>
      <c r="BC8" s="125">
        <v>7.6581321211456812</v>
      </c>
      <c r="BD8" s="125">
        <v>7.6999605325155969</v>
      </c>
      <c r="BE8" s="125">
        <v>7.739216909885716</v>
      </c>
      <c r="BF8" s="125">
        <v>7.7776549128013563</v>
      </c>
      <c r="BG8" s="125">
        <v>7.8160929157169949</v>
      </c>
      <c r="BH8" s="125">
        <v>7.8561676675415955</v>
      </c>
      <c r="BI8" s="125">
        <v>7.8978791682751543</v>
      </c>
      <c r="BJ8" s="125">
        <v>7.9392399370996509</v>
      </c>
    </row>
    <row r="9" spans="1:62" x14ac:dyDescent="0.25">
      <c r="A9" t="s">
        <v>181</v>
      </c>
      <c r="B9" s="125">
        <v>6.1682609396504198</v>
      </c>
      <c r="C9" s="125">
        <v>6.185405948189266</v>
      </c>
      <c r="D9" s="125">
        <v>5.9427523710970291</v>
      </c>
      <c r="E9" s="125">
        <v>6.3068656276133019</v>
      </c>
      <c r="F9" s="125">
        <v>6.0664976279575855</v>
      </c>
      <c r="G9" s="125">
        <v>6.2583963945534089</v>
      </c>
      <c r="H9" s="125">
        <v>6.3099268565462463</v>
      </c>
      <c r="I9" s="125">
        <v>6.1859979535066563</v>
      </c>
      <c r="J9" s="125">
        <v>6.1538630296146826</v>
      </c>
      <c r="K9" s="125">
        <v>5.9670196162966489</v>
      </c>
      <c r="L9" s="125">
        <v>5.7040117564369099</v>
      </c>
      <c r="M9" s="125">
        <v>5.6163560467679439</v>
      </c>
      <c r="N9" s="125">
        <v>5.3809749824323321</v>
      </c>
      <c r="O9" s="125">
        <v>5.9925824463971082</v>
      </c>
      <c r="P9" s="125">
        <v>6.8523807508798997</v>
      </c>
      <c r="Q9" s="125">
        <v>6.9142556534595006</v>
      </c>
      <c r="R9" s="125">
        <v>6.5861423884797023</v>
      </c>
      <c r="S9" s="125">
        <v>6.2468154453714329</v>
      </c>
      <c r="T9" s="125">
        <v>6.4656125754112646</v>
      </c>
      <c r="U9" s="125">
        <v>6.1679158115351997</v>
      </c>
      <c r="V9" s="125">
        <v>6.5315337720951998</v>
      </c>
      <c r="W9" s="125">
        <v>6.2881620594787142</v>
      </c>
      <c r="X9" s="125">
        <v>5.9507225908294226</v>
      </c>
      <c r="Y9" s="125">
        <v>6.2950389379740148</v>
      </c>
      <c r="Z9" s="125">
        <v>6.3575753029882787</v>
      </c>
      <c r="AA9" s="125">
        <v>6.3287491051159943</v>
      </c>
      <c r="AB9" s="125">
        <v>6.6558176180790065</v>
      </c>
      <c r="AC9" s="125">
        <v>6.8436337338153868</v>
      </c>
      <c r="AD9" s="125">
        <v>6.7863261773716816</v>
      </c>
      <c r="AE9" s="125">
        <v>6.8503013880337855</v>
      </c>
      <c r="AF9" s="125">
        <v>6.9009838012451805</v>
      </c>
      <c r="AG9" s="125">
        <v>6.924957538097277</v>
      </c>
      <c r="AH9" s="125">
        <v>6.9521313928541684</v>
      </c>
      <c r="AI9" s="125">
        <v>6.9941981040141723</v>
      </c>
      <c r="AJ9" s="125">
        <v>7.0578040703026472</v>
      </c>
      <c r="AK9" s="125">
        <v>7.1273179465692182</v>
      </c>
      <c r="AL9" s="125">
        <v>7.1992934519933263</v>
      </c>
      <c r="AM9" s="125">
        <v>7.2694227355492815</v>
      </c>
      <c r="AN9" s="125">
        <v>7.3386904489000964</v>
      </c>
      <c r="AO9" s="125">
        <v>7.4046349628882311</v>
      </c>
      <c r="AP9" s="125">
        <v>7.4614714489934748</v>
      </c>
      <c r="AQ9" s="125">
        <v>7.5128923509521277</v>
      </c>
      <c r="AR9" s="125">
        <v>7.5616054608374901</v>
      </c>
      <c r="AS9" s="125">
        <v>7.6074876971916821</v>
      </c>
      <c r="AT9" s="125">
        <v>7.6518929560513484</v>
      </c>
      <c r="AU9" s="125">
        <v>7.6961751334531412</v>
      </c>
      <c r="AV9" s="125">
        <v>7.7381187631552661</v>
      </c>
      <c r="AW9" s="125">
        <v>7.7846164067988441</v>
      </c>
      <c r="AX9" s="125">
        <v>7.8333295166842047</v>
      </c>
      <c r="AY9" s="125">
        <v>7.8822887894853269</v>
      </c>
      <c r="AZ9" s="125">
        <v>7.9294018404182882</v>
      </c>
      <c r="BA9" s="125">
        <v>7.9751609953146003</v>
      </c>
      <c r="BB9" s="125">
        <v>8.02030474292153</v>
      </c>
      <c r="BC9" s="125">
        <v>8.067294712396615</v>
      </c>
      <c r="BD9" s="125">
        <v>8.1112076454247735</v>
      </c>
      <c r="BE9" s="125">
        <v>8.1524127863796423</v>
      </c>
      <c r="BF9" s="125">
        <v>8.1927563571293689</v>
      </c>
      <c r="BG9" s="125">
        <v>8.2330999278790937</v>
      </c>
      <c r="BH9" s="125">
        <v>8.2751666390391012</v>
      </c>
      <c r="BI9" s="125">
        <v>8.3189564906093842</v>
      </c>
      <c r="BJ9" s="125">
        <v>8.3623770978060357</v>
      </c>
    </row>
    <row r="10" spans="1:62" x14ac:dyDescent="0.25">
      <c r="A10" t="s">
        <v>182</v>
      </c>
      <c r="B10" s="125">
        <v>7.8164261275154834</v>
      </c>
      <c r="C10" s="125">
        <v>7.8375060855503467</v>
      </c>
      <c r="D10" s="125">
        <v>7.4275788833777572</v>
      </c>
      <c r="E10" s="125">
        <v>7.9958140497490513</v>
      </c>
      <c r="F10" s="125">
        <v>7.549781545497745</v>
      </c>
      <c r="G10" s="125">
        <v>7.833605322541743</v>
      </c>
      <c r="H10" s="125">
        <v>7.9102362967331512</v>
      </c>
      <c r="I10" s="125">
        <v>7.671890189756545</v>
      </c>
      <c r="J10" s="125">
        <v>7.5650471384363076</v>
      </c>
      <c r="K10" s="125">
        <v>7.5018970946929544</v>
      </c>
      <c r="L10" s="125">
        <v>7.0760923643918145</v>
      </c>
      <c r="M10" s="125">
        <v>6.804415947840198</v>
      </c>
      <c r="N10" s="125">
        <v>6.237839485120694</v>
      </c>
      <c r="O10" s="125">
        <v>7.0298477875928285</v>
      </c>
      <c r="P10" s="125">
        <v>8.2596607816942296</v>
      </c>
      <c r="Q10" s="125">
        <v>8.2373310845731318</v>
      </c>
      <c r="R10" s="125">
        <v>7.5604033342963026</v>
      </c>
      <c r="S10" s="125">
        <v>7.3197995969262344</v>
      </c>
      <c r="T10" s="125">
        <v>7.9181546863530619</v>
      </c>
      <c r="U10" s="125">
        <v>7.4383791260938201</v>
      </c>
      <c r="V10" s="125">
        <v>8.0048578150948799</v>
      </c>
      <c r="W10" s="125">
        <v>7.588687340916688</v>
      </c>
      <c r="X10" s="125">
        <v>7.0787308673939853</v>
      </c>
      <c r="Y10" s="125">
        <v>7.8172391533580718</v>
      </c>
      <c r="Z10" s="125">
        <v>7.5364126352732157</v>
      </c>
      <c r="AA10" s="125">
        <v>7.3477119291201491</v>
      </c>
      <c r="AB10" s="125">
        <v>7.8856406745865479</v>
      </c>
      <c r="AC10" s="125">
        <v>8.0848504641926144</v>
      </c>
      <c r="AD10" s="125">
        <v>7.9317910232856788</v>
      </c>
      <c r="AE10" s="125">
        <v>7.9788984420205926</v>
      </c>
      <c r="AF10" s="125">
        <v>8.0126563342367696</v>
      </c>
      <c r="AG10" s="125">
        <v>8.0195915666884616</v>
      </c>
      <c r="AH10" s="125">
        <v>8.0297405740427994</v>
      </c>
      <c r="AI10" s="125">
        <v>8.054845995367204</v>
      </c>
      <c r="AJ10" s="125">
        <v>8.1015825939210426</v>
      </c>
      <c r="AK10" s="125">
        <v>8.1542523153720978</v>
      </c>
      <c r="AL10" s="125">
        <v>8.2093941713636571</v>
      </c>
      <c r="AM10" s="125">
        <v>8.2626819264498383</v>
      </c>
      <c r="AN10" s="125">
        <v>8.3151044344468392</v>
      </c>
      <c r="AO10" s="125">
        <v>8.3641895608141592</v>
      </c>
      <c r="AP10" s="125">
        <v>8.4041277893816044</v>
      </c>
      <c r="AQ10" s="125">
        <v>8.4386273219599346</v>
      </c>
      <c r="AR10" s="125">
        <v>8.4704075065437063</v>
      </c>
      <c r="AS10" s="125">
        <v>8.4993447364058987</v>
      </c>
      <c r="AT10" s="125">
        <v>8.526798685543783</v>
      </c>
      <c r="AU10" s="125">
        <v>8.5541290279546409</v>
      </c>
      <c r="AV10" s="125">
        <v>8.5791108425520246</v>
      </c>
      <c r="AW10" s="125">
        <v>8.6086661060493395</v>
      </c>
      <c r="AX10" s="125">
        <v>8.640446290633113</v>
      </c>
      <c r="AY10" s="125">
        <v>8.6724736886709408</v>
      </c>
      <c r="AZ10" s="125">
        <v>8.7026469858033888</v>
      </c>
      <c r="BA10" s="125">
        <v>8.7314606089385514</v>
      </c>
      <c r="BB10" s="125">
        <v>8.7596561984385879</v>
      </c>
      <c r="BC10" s="125">
        <v>8.7897058888440078</v>
      </c>
      <c r="BD10" s="125">
        <v>8.8166654110737923</v>
      </c>
      <c r="BE10" s="125">
        <v>8.8409055853090202</v>
      </c>
      <c r="BF10" s="125">
        <v>8.8642805124550677</v>
      </c>
      <c r="BG10" s="125">
        <v>8.8876554396011151</v>
      </c>
      <c r="BH10" s="125">
        <v>8.9127608609255251</v>
      </c>
      <c r="BI10" s="125">
        <v>8.9395967764282869</v>
      </c>
      <c r="BJ10" s="125">
        <v>8.966061871749968</v>
      </c>
    </row>
    <row r="11" spans="1:62" x14ac:dyDescent="0.25">
      <c r="A11" t="s">
        <v>183</v>
      </c>
      <c r="B11" s="125">
        <v>25.306394652151422</v>
      </c>
      <c r="C11" s="125">
        <v>25.417423453782099</v>
      </c>
      <c r="D11" s="125">
        <v>23.84062158127302</v>
      </c>
      <c r="E11" s="125">
        <v>26.085726114288665</v>
      </c>
      <c r="F11" s="125">
        <v>24.355671460569088</v>
      </c>
      <c r="G11" s="125">
        <v>25.487123164778648</v>
      </c>
      <c r="H11" s="125">
        <v>25.814415954113315</v>
      </c>
      <c r="I11" s="125">
        <v>24.901224118935136</v>
      </c>
      <c r="J11" s="125">
        <v>24.496900295383423</v>
      </c>
      <c r="K11" s="125">
        <v>24.660592093928553</v>
      </c>
      <c r="L11" s="125">
        <v>22.992353139115448</v>
      </c>
      <c r="M11" s="125">
        <v>21.832515270149667</v>
      </c>
      <c r="N11" s="125">
        <v>19.419278597481675</v>
      </c>
      <c r="O11" s="125">
        <v>22.721626100485235</v>
      </c>
      <c r="P11" s="125">
        <v>26.669905630448195</v>
      </c>
      <c r="Q11" s="125">
        <v>26.713320053317183</v>
      </c>
      <c r="R11" s="125">
        <v>24.342166902725722</v>
      </c>
      <c r="S11" s="125">
        <v>23.611847728199066</v>
      </c>
      <c r="T11" s="125">
        <v>26.026734469809675</v>
      </c>
      <c r="U11" s="125">
        <v>24.036257290796172</v>
      </c>
      <c r="V11" s="125">
        <v>26.150480994129399</v>
      </c>
      <c r="W11" s="125">
        <v>25.047228668977404</v>
      </c>
      <c r="X11" s="125">
        <v>23.361662820651723</v>
      </c>
      <c r="Y11" s="125">
        <v>26.380782527291348</v>
      </c>
      <c r="Z11" s="125">
        <v>24.850048054704693</v>
      </c>
      <c r="AA11" s="125">
        <v>24.14438502610891</v>
      </c>
      <c r="AB11" s="125">
        <v>26.146168368071589</v>
      </c>
      <c r="AC11" s="125">
        <v>26.67049780119503</v>
      </c>
      <c r="AD11" s="125">
        <v>26.2301608484855</v>
      </c>
      <c r="AE11" s="125">
        <v>26.407100050356071</v>
      </c>
      <c r="AF11" s="125">
        <v>26.538220434148162</v>
      </c>
      <c r="AG11" s="125">
        <v>26.577278933467788</v>
      </c>
      <c r="AH11" s="125">
        <v>26.627367888991458</v>
      </c>
      <c r="AI11" s="125">
        <v>26.728790890695642</v>
      </c>
      <c r="AJ11" s="125">
        <v>26.904457347619591</v>
      </c>
      <c r="AK11" s="125">
        <v>27.100487723689525</v>
      </c>
      <c r="AL11" s="125">
        <v>27.305003066070292</v>
      </c>
      <c r="AM11" s="125">
        <v>27.503154683717941</v>
      </c>
      <c r="AN11" s="125">
        <v>27.698336563156783</v>
      </c>
      <c r="AO11" s="125">
        <v>27.882063738076017</v>
      </c>
      <c r="AP11" s="125">
        <v>28.034396537645179</v>
      </c>
      <c r="AQ11" s="125">
        <v>28.168062411330517</v>
      </c>
      <c r="AR11" s="125">
        <v>28.292394822073948</v>
      </c>
      <c r="AS11" s="125">
        <v>28.406969521559919</v>
      </c>
      <c r="AT11" s="125">
        <v>28.516453241259395</v>
      </c>
      <c r="AU11" s="125">
        <v>28.625512712643332</v>
      </c>
      <c r="AV11" s="125">
        <v>28.726511466031972</v>
      </c>
      <c r="AW11" s="125">
        <v>28.843207407095662</v>
      </c>
      <c r="AX11" s="125">
        <v>28.967539817839089</v>
      </c>
      <c r="AY11" s="125">
        <v>29.092720725213624</v>
      </c>
      <c r="AZ11" s="125">
        <v>29.211537907855018</v>
      </c>
      <c r="BA11" s="125">
        <v>29.325688359025442</v>
      </c>
      <c r="BB11" s="125">
        <v>29.437717568618176</v>
      </c>
      <c r="BC11" s="125">
        <v>29.556110502944019</v>
      </c>
      <c r="BD11" s="125">
        <v>29.66389722938133</v>
      </c>
      <c r="BE11" s="125">
        <v>29.762350492876731</v>
      </c>
      <c r="BF11" s="125">
        <v>29.857834018163341</v>
      </c>
      <c r="BG11" s="125">
        <v>29.953317543449945</v>
      </c>
      <c r="BH11" s="125">
        <v>30.054740545154139</v>
      </c>
      <c r="BI11" s="125">
        <v>30.162103023275911</v>
      </c>
      <c r="BJ11" s="125">
        <v>30.268192756451047</v>
      </c>
    </row>
    <row r="12" spans="1:62" x14ac:dyDescent="0.25">
      <c r="A12" t="s">
        <v>184</v>
      </c>
      <c r="B12" s="125">
        <v>0.2368996356302597</v>
      </c>
      <c r="C12" s="125">
        <v>0.23760273261294379</v>
      </c>
      <c r="D12" s="125">
        <v>0.22736232354736705</v>
      </c>
      <c r="E12" s="125">
        <v>0.24250254403310895</v>
      </c>
      <c r="F12" s="125">
        <v>0.2321117972702067</v>
      </c>
      <c r="G12" s="125">
        <v>0.24000509313481716</v>
      </c>
      <c r="H12" s="125">
        <v>0.24214416470746655</v>
      </c>
      <c r="I12" s="125">
        <v>0.23674529535672945</v>
      </c>
      <c r="J12" s="125">
        <v>0.2350828372813174</v>
      </c>
      <c r="K12" s="125">
        <v>0.23057785393573096</v>
      </c>
      <c r="L12" s="125">
        <v>0.21975033857919224</v>
      </c>
      <c r="M12" s="125">
        <v>0.21481152458895186</v>
      </c>
      <c r="N12" s="125">
        <v>0.20261271238586151</v>
      </c>
      <c r="O12" s="125">
        <v>0.22594839628551236</v>
      </c>
      <c r="P12" s="125">
        <v>0.25973462661919999</v>
      </c>
      <c r="Q12" s="125">
        <v>0.26109256945050002</v>
      </c>
      <c r="R12" s="125">
        <v>0.24615543461940004</v>
      </c>
      <c r="S12" s="125">
        <v>0.23530895182216674</v>
      </c>
      <c r="T12" s="125">
        <v>0.24725195330213337</v>
      </c>
      <c r="U12" s="125">
        <v>0.23479007358730003</v>
      </c>
      <c r="V12" s="125">
        <v>0.24952376911920005</v>
      </c>
      <c r="W12" s="125">
        <v>0.24004832548213226</v>
      </c>
      <c r="X12" s="125">
        <v>0.22683787600158245</v>
      </c>
      <c r="Y12" s="125">
        <v>0.24266338585395847</v>
      </c>
      <c r="Z12" s="125">
        <v>0.24186449567373294</v>
      </c>
      <c r="AA12" s="125">
        <v>0.23945459509384293</v>
      </c>
      <c r="AB12" s="125">
        <v>0.25361564740751591</v>
      </c>
      <c r="AC12" s="125">
        <v>0.26080668854748201</v>
      </c>
      <c r="AD12" s="125">
        <v>0.25807330972976394</v>
      </c>
      <c r="AE12" s="125">
        <v>0.26032810802874279</v>
      </c>
      <c r="AF12" s="125">
        <v>0.26209147893752904</v>
      </c>
      <c r="AG12" s="125">
        <v>0.26286744481231739</v>
      </c>
      <c r="AH12" s="125">
        <v>0.26376171728104064</v>
      </c>
      <c r="AI12" s="125">
        <v>0.26520657043692425</v>
      </c>
      <c r="AJ12" s="125">
        <v>0.2674477179750645</v>
      </c>
      <c r="AK12" s="125">
        <v>0.2699072776866237</v>
      </c>
      <c r="AL12" s="125">
        <v>0.27245784247044069</v>
      </c>
      <c r="AM12" s="125">
        <v>0.27494015345006445</v>
      </c>
      <c r="AN12" s="125">
        <v>0.27739061265439785</v>
      </c>
      <c r="AO12" s="125">
        <v>0.27971821501118299</v>
      </c>
      <c r="AP12" s="125">
        <v>0.28170909860061394</v>
      </c>
      <c r="AQ12" s="125">
        <v>0.2834997710310776</v>
      </c>
      <c r="AR12" s="125">
        <v>0.28519033788205761</v>
      </c>
      <c r="AS12" s="125">
        <v>0.28677624889994086</v>
      </c>
      <c r="AT12" s="125">
        <v>0.28830755687446952</v>
      </c>
      <c r="AU12" s="125">
        <v>0.28983431459538506</v>
      </c>
      <c r="AV12" s="125">
        <v>0.29127461749765593</v>
      </c>
      <c r="AW12" s="125">
        <v>0.29288327978360379</v>
      </c>
      <c r="AX12" s="125">
        <v>0.29457384663458369</v>
      </c>
      <c r="AY12" s="125">
        <v>0.29627351399278956</v>
      </c>
      <c r="AZ12" s="125">
        <v>0.29790492754680192</v>
      </c>
      <c r="BA12" s="125">
        <v>0.29948628831107227</v>
      </c>
      <c r="BB12" s="125">
        <v>0.30104489780727822</v>
      </c>
      <c r="BC12" s="125">
        <v>0.30267176110767763</v>
      </c>
      <c r="BD12" s="125">
        <v>0.30418486806775474</v>
      </c>
      <c r="BE12" s="125">
        <v>0.30559786944834799</v>
      </c>
      <c r="BF12" s="125">
        <v>0.30697901905365116</v>
      </c>
      <c r="BG12" s="125">
        <v>0.30836016865895416</v>
      </c>
      <c r="BH12" s="125">
        <v>0.30980502181483771</v>
      </c>
      <c r="BI12" s="125">
        <v>0.31131357852130198</v>
      </c>
      <c r="BJ12" s="125">
        <v>0.31280848446692744</v>
      </c>
    </row>
    <row r="13" spans="1:62" x14ac:dyDescent="0.25">
      <c r="A13" s="108"/>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row>
    <row r="14" spans="1:62" x14ac:dyDescent="0.25">
      <c r="A14" s="121" t="s">
        <v>200</v>
      </c>
      <c r="B14" s="124"/>
      <c r="C14" s="124"/>
      <c r="D14" s="124"/>
      <c r="E14" s="124"/>
      <c r="F14" s="124"/>
      <c r="G14" s="124"/>
      <c r="H14" s="124"/>
      <c r="I14" s="124"/>
      <c r="J14" s="124"/>
      <c r="K14" s="124"/>
      <c r="L14" s="124"/>
      <c r="M14" s="124"/>
      <c r="N14" s="124"/>
      <c r="O14" s="124"/>
      <c r="P14" s="124"/>
      <c r="Q14" s="124"/>
      <c r="R14" s="124"/>
      <c r="S14" s="124"/>
      <c r="T14" s="124"/>
      <c r="U14" s="124"/>
      <c r="V14" s="124"/>
      <c r="W14" s="124"/>
      <c r="X14" s="124"/>
      <c r="Y14" s="124"/>
      <c r="Z14" s="124"/>
      <c r="AA14" s="124"/>
      <c r="AB14" s="124"/>
      <c r="AC14" s="124"/>
      <c r="AD14" s="124"/>
      <c r="AE14" s="124"/>
      <c r="AF14" s="124"/>
      <c r="AG14" s="124"/>
      <c r="AH14" s="124"/>
      <c r="AI14" s="124"/>
      <c r="AJ14" s="124"/>
      <c r="AK14" s="124"/>
      <c r="AL14" s="124"/>
      <c r="AM14" s="124"/>
      <c r="AN14" s="124"/>
      <c r="AO14" s="124"/>
      <c r="AP14" s="124"/>
      <c r="AQ14" s="124"/>
      <c r="AR14" s="124"/>
      <c r="AS14" s="124"/>
      <c r="AT14" s="124"/>
      <c r="AU14" s="124"/>
      <c r="AV14" s="124"/>
      <c r="AW14" s="124"/>
      <c r="AX14" s="124"/>
      <c r="AY14" s="124"/>
      <c r="AZ14" s="124"/>
      <c r="BA14" s="124"/>
      <c r="BB14" s="124"/>
      <c r="BC14" s="124"/>
      <c r="BD14" s="124"/>
      <c r="BE14" s="124"/>
      <c r="BF14" s="124"/>
      <c r="BG14" s="124"/>
      <c r="BH14" s="124"/>
      <c r="BI14" s="124"/>
      <c r="BJ14" s="124"/>
    </row>
    <row r="15" spans="1:62" ht="15.75" thickBot="1" x14ac:dyDescent="0.3">
      <c r="A15" s="111"/>
      <c r="B15" s="112">
        <v>2000</v>
      </c>
      <c r="C15" s="112">
        <v>2001</v>
      </c>
      <c r="D15" s="112">
        <v>2002</v>
      </c>
      <c r="E15" s="112">
        <v>2003</v>
      </c>
      <c r="F15" s="112">
        <v>2004</v>
      </c>
      <c r="G15" s="112">
        <v>2005</v>
      </c>
      <c r="H15" s="112">
        <v>2006</v>
      </c>
      <c r="I15" s="112">
        <v>2007</v>
      </c>
      <c r="J15" s="112">
        <v>2008</v>
      </c>
      <c r="K15" s="112">
        <v>2009</v>
      </c>
      <c r="L15" s="112">
        <v>2010</v>
      </c>
      <c r="M15" s="112">
        <v>2011</v>
      </c>
      <c r="N15" s="112">
        <v>2012</v>
      </c>
      <c r="O15" s="112">
        <v>2013</v>
      </c>
      <c r="P15" s="112">
        <v>2014</v>
      </c>
      <c r="Q15" s="112">
        <v>2015</v>
      </c>
      <c r="R15" s="112">
        <v>2016</v>
      </c>
      <c r="S15" s="112">
        <v>2017</v>
      </c>
      <c r="T15" s="112">
        <v>2018</v>
      </c>
    </row>
    <row r="17" spans="1:20" x14ac:dyDescent="0.25">
      <c r="A17" s="113" t="s">
        <v>186</v>
      </c>
      <c r="B17" s="114">
        <v>61.139409999999998</v>
      </c>
      <c r="C17" s="114">
        <v>52.635962999999997</v>
      </c>
      <c r="D17" s="114">
        <v>47.089951999999997</v>
      </c>
      <c r="E17" s="114">
        <v>52.401715000000003</v>
      </c>
      <c r="F17" s="114">
        <v>51.489763000000004</v>
      </c>
      <c r="G17" s="114">
        <v>52.324356000000002</v>
      </c>
      <c r="H17" s="114">
        <v>55.639353</v>
      </c>
      <c r="I17" s="114">
        <v>53.305453</v>
      </c>
      <c r="J17" s="114">
        <v>56.67642</v>
      </c>
      <c r="K17" s="114">
        <v>42.058566999999996</v>
      </c>
      <c r="L17" s="114">
        <v>48.240501999999999</v>
      </c>
      <c r="M17" s="114">
        <v>56.881</v>
      </c>
      <c r="N17" s="114">
        <v>56.426000000000002</v>
      </c>
      <c r="O17" s="114">
        <v>58.365774999999999</v>
      </c>
      <c r="P17" s="114">
        <v>63.699877000000001</v>
      </c>
      <c r="Q17" s="114">
        <v>63.462000000000003</v>
      </c>
      <c r="R17" s="114">
        <v>62.869540000000001</v>
      </c>
      <c r="S17" s="114">
        <v>67.116881000000006</v>
      </c>
      <c r="T17" s="114">
        <v>66.576565000000002</v>
      </c>
    </row>
    <row r="18" spans="1:20" x14ac:dyDescent="0.25">
      <c r="A18" s="115" t="s">
        <v>187</v>
      </c>
      <c r="B18" s="116"/>
      <c r="C18" s="116"/>
      <c r="D18" s="116"/>
      <c r="E18" s="116"/>
      <c r="F18" s="116"/>
      <c r="G18" s="116"/>
      <c r="H18" s="116"/>
      <c r="I18" s="116"/>
    </row>
    <row r="19" spans="1:20" x14ac:dyDescent="0.25">
      <c r="A19" s="117" t="s">
        <v>188</v>
      </c>
      <c r="B19" s="116">
        <v>13.570410000000001</v>
      </c>
      <c r="C19" s="116">
        <v>12.198962999999999</v>
      </c>
      <c r="D19" s="116">
        <v>12.545952</v>
      </c>
      <c r="E19" s="116">
        <v>12.256715</v>
      </c>
      <c r="F19" s="116">
        <v>12.570762999999999</v>
      </c>
      <c r="G19" s="116">
        <v>12.533355999999999</v>
      </c>
      <c r="H19" s="116">
        <v>12.252352999999999</v>
      </c>
      <c r="I19" s="116">
        <v>12.024452999999999</v>
      </c>
      <c r="J19" s="116">
        <v>12.66742</v>
      </c>
      <c r="K19" s="116">
        <v>12.344567</v>
      </c>
      <c r="L19" s="116">
        <v>10.786502</v>
      </c>
      <c r="M19" s="116">
        <v>11.568</v>
      </c>
      <c r="N19" s="116">
        <v>11.311999999999999</v>
      </c>
      <c r="O19" s="116">
        <v>12.326775</v>
      </c>
      <c r="P19" s="116">
        <v>10.909877</v>
      </c>
      <c r="Q19" s="116">
        <v>12.612</v>
      </c>
      <c r="R19" s="116">
        <v>11.208539999999999</v>
      </c>
      <c r="S19" s="116">
        <v>12.428881000000001</v>
      </c>
      <c r="T19" s="116">
        <v>13.077565</v>
      </c>
    </row>
    <row r="20" spans="1:20" x14ac:dyDescent="0.25">
      <c r="A20" s="118" t="s">
        <v>189</v>
      </c>
      <c r="B20" s="116">
        <v>47.569000000000003</v>
      </c>
      <c r="C20" s="116">
        <v>40.436999999999998</v>
      </c>
      <c r="D20" s="116">
        <v>34.543999999999997</v>
      </c>
      <c r="E20" s="116">
        <v>40.145000000000003</v>
      </c>
      <c r="F20" s="116">
        <v>38.918999999999997</v>
      </c>
      <c r="G20" s="116">
        <v>39.790999999999997</v>
      </c>
      <c r="H20" s="116">
        <v>43.387</v>
      </c>
      <c r="I20" s="116">
        <v>41.280999999999999</v>
      </c>
      <c r="J20" s="116">
        <v>44.009</v>
      </c>
      <c r="K20" s="116">
        <v>29.713999999999999</v>
      </c>
      <c r="L20" s="116">
        <v>37.454000000000001</v>
      </c>
      <c r="M20" s="116">
        <v>45.313000000000002</v>
      </c>
      <c r="N20" s="116">
        <v>45.113999999999997</v>
      </c>
      <c r="O20" s="116">
        <v>46.039000000000001</v>
      </c>
      <c r="P20" s="116">
        <v>52.79</v>
      </c>
      <c r="Q20" s="116">
        <v>50.85</v>
      </c>
      <c r="R20" s="116">
        <v>51.661000000000001</v>
      </c>
      <c r="S20" s="116">
        <v>54.688000000000002</v>
      </c>
      <c r="T20" s="116">
        <v>53.499000000000002</v>
      </c>
    </row>
    <row r="21" spans="1:20" x14ac:dyDescent="0.25">
      <c r="A21" s="119" t="s">
        <v>190</v>
      </c>
      <c r="B21" s="116"/>
      <c r="C21" s="116"/>
      <c r="D21" s="116"/>
      <c r="E21" s="116"/>
      <c r="F21" s="116"/>
      <c r="G21" s="116"/>
      <c r="H21" s="116"/>
      <c r="I21" s="116"/>
      <c r="J21" s="116"/>
      <c r="K21" s="116"/>
      <c r="L21" s="116"/>
      <c r="M21" s="116"/>
      <c r="N21" s="116"/>
      <c r="O21" s="116"/>
      <c r="P21" s="116"/>
      <c r="Q21" s="116"/>
      <c r="R21" s="116"/>
      <c r="S21" s="116"/>
      <c r="T21" s="116"/>
    </row>
    <row r="22" spans="1:20" x14ac:dyDescent="0.25">
      <c r="A22" s="120" t="s">
        <v>180</v>
      </c>
      <c r="B22" s="116">
        <v>6.5739999999999998</v>
      </c>
      <c r="C22" s="116">
        <v>6.649</v>
      </c>
      <c r="D22" s="116">
        <v>6.6829999999999998</v>
      </c>
      <c r="E22" s="116">
        <v>6.9409999999999998</v>
      </c>
      <c r="F22" s="116">
        <v>7.3369999999999997</v>
      </c>
      <c r="G22" s="116">
        <v>7.8620000000000001</v>
      </c>
      <c r="H22" s="116">
        <v>7.6619999999999999</v>
      </c>
      <c r="I22" s="116">
        <v>6.6989999999999998</v>
      </c>
      <c r="J22" s="116">
        <v>6.7050000000000001</v>
      </c>
      <c r="K22" s="116">
        <v>7.4779999999999998</v>
      </c>
      <c r="L22" s="116">
        <v>6.9649999999999999</v>
      </c>
      <c r="M22" s="116">
        <v>7.41</v>
      </c>
      <c r="N22" s="116">
        <v>7.2930000000000001</v>
      </c>
      <c r="O22" s="116">
        <v>8.2100000000000009</v>
      </c>
      <c r="P22" s="116">
        <v>6.7140000000000004</v>
      </c>
      <c r="Q22" s="116">
        <v>8.218</v>
      </c>
      <c r="R22" s="116">
        <v>6.4969999999999999</v>
      </c>
      <c r="S22" s="116">
        <v>7.0250000000000004</v>
      </c>
      <c r="T22" s="116">
        <v>7.2690000000000001</v>
      </c>
    </row>
    <row r="23" spans="1:20" x14ac:dyDescent="0.25">
      <c r="A23" s="120" t="s">
        <v>181</v>
      </c>
      <c r="B23" s="116">
        <v>6.3579999999999997</v>
      </c>
      <c r="C23" s="116">
        <v>4.9649999999999999</v>
      </c>
      <c r="D23" s="116">
        <v>5.2720000000000002</v>
      </c>
      <c r="E23" s="116">
        <v>4.851</v>
      </c>
      <c r="F23" s="116">
        <v>4.6769999999999996</v>
      </c>
      <c r="G23" s="116">
        <v>4.3849999999999998</v>
      </c>
      <c r="H23" s="116">
        <v>4.1669999999999998</v>
      </c>
      <c r="I23" s="116">
        <v>4.9509999999999996</v>
      </c>
      <c r="J23" s="116">
        <v>5.569</v>
      </c>
      <c r="K23" s="116">
        <v>4.6120000000000001</v>
      </c>
      <c r="L23" s="116">
        <v>3.5129999999999999</v>
      </c>
      <c r="M23" s="116">
        <v>3.7789999999999999</v>
      </c>
      <c r="N23" s="116">
        <v>3.5569999999999999</v>
      </c>
      <c r="O23" s="116">
        <v>3.7080000000000002</v>
      </c>
      <c r="P23" s="116">
        <v>3.83</v>
      </c>
      <c r="Q23" s="116">
        <v>4.0469999999999997</v>
      </c>
      <c r="R23" s="116">
        <v>4.4109999999999996</v>
      </c>
      <c r="S23" s="116">
        <v>4.8979999999999997</v>
      </c>
      <c r="T23" s="116">
        <v>5.1740000000000004</v>
      </c>
    </row>
    <row r="24" spans="1:20" x14ac:dyDescent="0.25">
      <c r="A24" s="120" t="s">
        <v>191</v>
      </c>
      <c r="B24" s="116">
        <v>12.928000000000001</v>
      </c>
      <c r="C24" s="116">
        <v>11.340999999999999</v>
      </c>
      <c r="D24" s="116">
        <v>13.238</v>
      </c>
      <c r="E24" s="116">
        <v>15.313000000000001</v>
      </c>
      <c r="F24" s="116">
        <v>13.369</v>
      </c>
      <c r="G24" s="116">
        <v>13.833</v>
      </c>
      <c r="H24" s="116">
        <v>14.183999999999999</v>
      </c>
      <c r="I24" s="116">
        <v>11.819000000000001</v>
      </c>
      <c r="J24" s="116">
        <v>12.288</v>
      </c>
      <c r="K24" s="116">
        <v>9.6289999999999996</v>
      </c>
      <c r="L24" s="116">
        <v>13.041</v>
      </c>
      <c r="M24" s="116">
        <v>16.614999999999998</v>
      </c>
      <c r="N24" s="116">
        <v>16.541</v>
      </c>
      <c r="O24" s="116">
        <v>16.902000000000001</v>
      </c>
      <c r="P24" s="116">
        <v>16.972000000000001</v>
      </c>
      <c r="Q24" s="116">
        <v>15.005000000000001</v>
      </c>
      <c r="R24" s="116">
        <v>17.440000000000001</v>
      </c>
      <c r="S24" s="116">
        <v>16.196999999999999</v>
      </c>
      <c r="T24" s="116">
        <v>15.558</v>
      </c>
    </row>
    <row r="25" spans="1:20" x14ac:dyDescent="0.25">
      <c r="A25" s="120" t="s">
        <v>192</v>
      </c>
      <c r="B25" s="116">
        <v>34.640999999999998</v>
      </c>
      <c r="C25" s="116">
        <v>29.096</v>
      </c>
      <c r="D25" s="116">
        <v>21.306000000000001</v>
      </c>
      <c r="E25" s="116">
        <v>24.832000000000001</v>
      </c>
      <c r="F25" s="116">
        <v>25.55</v>
      </c>
      <c r="G25" s="116">
        <v>25.957999999999998</v>
      </c>
      <c r="H25" s="116">
        <v>29.202999999999999</v>
      </c>
      <c r="I25" s="116">
        <v>29.462</v>
      </c>
      <c r="J25" s="116">
        <v>31.721</v>
      </c>
      <c r="K25" s="116">
        <v>20.085000000000001</v>
      </c>
      <c r="L25" s="116">
        <v>24.413</v>
      </c>
      <c r="M25" s="116">
        <v>28.698</v>
      </c>
      <c r="N25" s="116">
        <v>28.573</v>
      </c>
      <c r="O25" s="116">
        <v>29.137</v>
      </c>
      <c r="P25" s="116">
        <v>35.817999999999998</v>
      </c>
      <c r="Q25" s="116">
        <v>35.844999999999999</v>
      </c>
      <c r="R25" s="116">
        <v>34.220999999999997</v>
      </c>
      <c r="S25" s="116">
        <v>38.491</v>
      </c>
      <c r="T25" s="116">
        <v>37.941000000000003</v>
      </c>
    </row>
    <row r="26" spans="1:20" x14ac:dyDescent="0.25">
      <c r="A26" s="120" t="s">
        <v>193</v>
      </c>
      <c r="B26" s="116">
        <v>0.36141000000000001</v>
      </c>
      <c r="C26" s="116">
        <v>0.28196300000000002</v>
      </c>
      <c r="D26" s="116">
        <v>0.22895199999999999</v>
      </c>
      <c r="E26" s="116">
        <v>0.20171500000000001</v>
      </c>
      <c r="F26" s="116">
        <v>0.22276299999999999</v>
      </c>
      <c r="G26" s="116">
        <v>1.6355999999999999E-2</v>
      </c>
      <c r="H26" s="116">
        <v>0.14035300000000001</v>
      </c>
      <c r="I26" s="116">
        <v>7.8452999999999995E-2</v>
      </c>
      <c r="J26" s="116">
        <v>8.2419999999999993E-2</v>
      </c>
      <c r="K26" s="116">
        <v>1.6566999999999998E-2</v>
      </c>
      <c r="L26" s="116">
        <v>1.1502E-2</v>
      </c>
      <c r="M26" s="116">
        <v>3.5000000000000003E-2</v>
      </c>
      <c r="N26" s="116">
        <v>2.5999999999999999E-2</v>
      </c>
      <c r="O26" s="116">
        <v>3.7775000000000003E-2</v>
      </c>
      <c r="P26" s="116">
        <v>2.3876999999999999E-2</v>
      </c>
      <c r="Q26" s="116">
        <v>1.9E-2</v>
      </c>
      <c r="R26" s="116">
        <v>1.4540000000000001E-2</v>
      </c>
      <c r="S26" s="116">
        <v>5.8809999999999999E-3</v>
      </c>
      <c r="T26" s="116">
        <v>5.5649999999999996E-3</v>
      </c>
    </row>
    <row r="27" spans="1:20" x14ac:dyDescent="0.25">
      <c r="A27" s="120" t="s">
        <v>194</v>
      </c>
      <c r="B27" s="116">
        <v>3.2000000000000001E-2</v>
      </c>
      <c r="C27" s="116">
        <v>3.5000000000000003E-2</v>
      </c>
      <c r="D27" s="116">
        <v>0.03</v>
      </c>
      <c r="E27" s="116">
        <v>0.02</v>
      </c>
      <c r="F27" s="116">
        <v>0.01</v>
      </c>
      <c r="G27" s="116">
        <v>1.4E-2</v>
      </c>
      <c r="H27" s="116">
        <v>1.4999999999999999E-2</v>
      </c>
      <c r="I27" s="116">
        <v>1.4999999999999999E-2</v>
      </c>
      <c r="J27" s="116">
        <v>1.9E-2</v>
      </c>
      <c r="K27" s="116">
        <v>0</v>
      </c>
      <c r="L27" s="116">
        <v>0</v>
      </c>
      <c r="M27" s="116">
        <v>0</v>
      </c>
      <c r="N27" s="116">
        <v>0</v>
      </c>
      <c r="O27" s="116">
        <v>0</v>
      </c>
      <c r="P27" s="116">
        <v>0</v>
      </c>
      <c r="Q27" s="116">
        <v>1E-3</v>
      </c>
      <c r="R27" s="116">
        <v>1E-3</v>
      </c>
      <c r="S27" s="116">
        <v>0</v>
      </c>
      <c r="T27" s="116">
        <v>0</v>
      </c>
    </row>
    <row r="28" spans="1:20" x14ac:dyDescent="0.25">
      <c r="A28" s="120" t="s">
        <v>195</v>
      </c>
      <c r="B28" s="116">
        <v>0</v>
      </c>
      <c r="C28" s="116">
        <v>0</v>
      </c>
      <c r="D28" s="116">
        <v>0</v>
      </c>
      <c r="E28" s="116">
        <v>0</v>
      </c>
      <c r="F28" s="116">
        <v>4.9000000000000002E-2</v>
      </c>
      <c r="G28" s="116">
        <v>3.5999999999999997E-2</v>
      </c>
      <c r="H28" s="116">
        <v>4.2999999999999997E-2</v>
      </c>
      <c r="I28" s="116">
        <v>4.2999999999999997E-2</v>
      </c>
      <c r="J28" s="116">
        <v>3.4000000000000002E-2</v>
      </c>
      <c r="K28" s="116">
        <v>0</v>
      </c>
      <c r="L28" s="116">
        <v>0</v>
      </c>
      <c r="M28" s="116">
        <v>0</v>
      </c>
      <c r="N28" s="116">
        <v>0</v>
      </c>
      <c r="O28" s="116">
        <v>0</v>
      </c>
      <c r="P28" s="116">
        <v>0</v>
      </c>
      <c r="Q28" s="116">
        <v>0</v>
      </c>
      <c r="R28" s="116">
        <v>0</v>
      </c>
      <c r="S28" s="116">
        <v>0</v>
      </c>
      <c r="T28" s="116">
        <v>0</v>
      </c>
    </row>
    <row r="29" spans="1:20" x14ac:dyDescent="0.25">
      <c r="A29" s="120" t="s">
        <v>196</v>
      </c>
      <c r="B29" s="116">
        <v>0.245</v>
      </c>
      <c r="C29" s="116">
        <v>0.26800000000000002</v>
      </c>
      <c r="D29" s="116">
        <v>0.33200000000000002</v>
      </c>
      <c r="E29" s="116">
        <v>0.24299999999999999</v>
      </c>
      <c r="F29" s="116">
        <v>0.27500000000000002</v>
      </c>
      <c r="G29" s="116">
        <v>0.22</v>
      </c>
      <c r="H29" s="116">
        <v>0.22500000000000001</v>
      </c>
      <c r="I29" s="116">
        <v>0.23799999999999999</v>
      </c>
      <c r="J29" s="116">
        <v>0.25800000000000001</v>
      </c>
      <c r="K29" s="116">
        <v>0.23799999999999999</v>
      </c>
      <c r="L29" s="116">
        <v>0.29699999999999999</v>
      </c>
      <c r="M29" s="116">
        <v>0.34399999999999997</v>
      </c>
      <c r="N29" s="116">
        <v>0.436</v>
      </c>
      <c r="O29" s="116">
        <v>0.371</v>
      </c>
      <c r="P29" s="116">
        <v>0.34200000000000003</v>
      </c>
      <c r="Q29" s="116">
        <v>0.32700000000000001</v>
      </c>
      <c r="R29" s="116">
        <v>0.28499999999999998</v>
      </c>
      <c r="S29" s="116">
        <v>0.5</v>
      </c>
      <c r="T29" s="116">
        <v>0.629</v>
      </c>
    </row>
    <row r="30" spans="1:20" x14ac:dyDescent="0.25">
      <c r="A30" s="120" t="s">
        <v>197</v>
      </c>
      <c r="B30" s="116">
        <v>0</v>
      </c>
      <c r="C30" s="116">
        <v>0</v>
      </c>
      <c r="D30" s="116">
        <v>0</v>
      </c>
      <c r="E30" s="116">
        <v>0</v>
      </c>
      <c r="F30" s="116">
        <v>0</v>
      </c>
      <c r="G30" s="116">
        <v>0</v>
      </c>
      <c r="H30" s="116">
        <v>0</v>
      </c>
      <c r="I30" s="116">
        <v>0</v>
      </c>
      <c r="J30" s="116">
        <v>0</v>
      </c>
      <c r="K30" s="116">
        <v>0</v>
      </c>
      <c r="L30" s="116">
        <v>0</v>
      </c>
      <c r="M30" s="116">
        <v>0</v>
      </c>
      <c r="N30" s="116">
        <v>0</v>
      </c>
      <c r="O30" s="116">
        <v>0</v>
      </c>
      <c r="P30" s="116">
        <v>0</v>
      </c>
      <c r="Q30" s="116">
        <v>0</v>
      </c>
      <c r="R30" s="116">
        <v>0</v>
      </c>
      <c r="S30" s="116">
        <v>0</v>
      </c>
      <c r="T30" s="116">
        <v>0</v>
      </c>
    </row>
    <row r="31" spans="1:20" x14ac:dyDescent="0.25">
      <c r="A31" s="132" t="s">
        <v>198</v>
      </c>
    </row>
    <row r="32" spans="1:20" x14ac:dyDescent="0.25">
      <c r="A32" s="133" t="s">
        <v>201</v>
      </c>
      <c r="B32" s="127">
        <v>2000</v>
      </c>
      <c r="C32" s="127">
        <v>2001</v>
      </c>
      <c r="D32" s="127">
        <v>2002</v>
      </c>
      <c r="E32" s="127">
        <v>2003</v>
      </c>
      <c r="F32" s="127">
        <v>2004</v>
      </c>
      <c r="G32" s="127">
        <v>2005</v>
      </c>
      <c r="H32" s="127">
        <v>2006</v>
      </c>
      <c r="I32" s="127">
        <v>2007</v>
      </c>
      <c r="J32" s="127">
        <v>2008</v>
      </c>
      <c r="K32" s="127">
        <v>2009</v>
      </c>
      <c r="L32" s="127">
        <v>2010</v>
      </c>
      <c r="M32" s="127">
        <v>2011</v>
      </c>
      <c r="N32" s="127">
        <v>2012</v>
      </c>
      <c r="O32" s="127">
        <v>2013</v>
      </c>
      <c r="P32" s="127">
        <v>2014</v>
      </c>
      <c r="Q32" s="127">
        <v>2015</v>
      </c>
      <c r="R32" s="127">
        <v>2016</v>
      </c>
      <c r="S32" s="127">
        <v>2017</v>
      </c>
      <c r="T32" s="127">
        <v>2018</v>
      </c>
    </row>
    <row r="33" spans="1:22" x14ac:dyDescent="0.25">
      <c r="A33" s="128" t="s">
        <v>180</v>
      </c>
      <c r="B33" s="129">
        <f>B22/L8</f>
        <v>1.2137490527667938</v>
      </c>
      <c r="C33" s="129">
        <f t="shared" ref="C33:T36" si="0">C22/M8</f>
        <v>1.2461251293746125</v>
      </c>
      <c r="D33" s="129">
        <f t="shared" si="0"/>
        <v>1.3060796183627663</v>
      </c>
      <c r="E33" s="129">
        <f t="shared" si="0"/>
        <v>1.2212172708867923</v>
      </c>
      <c r="F33" s="129">
        <f t="shared" si="0"/>
        <v>1.1300817397616003</v>
      </c>
      <c r="G33" s="129">
        <f t="shared" si="0"/>
        <v>1.2008572388869887</v>
      </c>
      <c r="H33" s="129">
        <f t="shared" si="0"/>
        <v>1.2286033160050247</v>
      </c>
      <c r="I33" s="129">
        <f t="shared" si="0"/>
        <v>1.1307658816860835</v>
      </c>
      <c r="J33" s="129">
        <f t="shared" si="0"/>
        <v>1.092528514264675</v>
      </c>
      <c r="K33" s="129">
        <f t="shared" si="0"/>
        <v>1.2774426644408239</v>
      </c>
      <c r="L33" s="129">
        <f t="shared" si="0"/>
        <v>1.1241242448442221</v>
      </c>
      <c r="M33" s="129">
        <f t="shared" si="0"/>
        <v>1.2422552793509136</v>
      </c>
      <c r="N33" s="129">
        <f t="shared" si="0"/>
        <v>1.290729243492361</v>
      </c>
      <c r="O33" s="129">
        <f t="shared" si="0"/>
        <v>1.3738708159968342</v>
      </c>
      <c r="P33" s="129">
        <f t="shared" si="0"/>
        <v>1.1140245037951029</v>
      </c>
      <c r="Q33" s="129">
        <f t="shared" si="0"/>
        <v>1.36871112910249</v>
      </c>
      <c r="R33" s="129">
        <f t="shared" si="0"/>
        <v>1.0287215552891982</v>
      </c>
      <c r="S33" s="129">
        <f t="shared" si="0"/>
        <v>1.082060926018853</v>
      </c>
      <c r="T33" s="129">
        <f t="shared" si="0"/>
        <v>1.1289968942112394</v>
      </c>
      <c r="V33" s="122">
        <f>AVERAGE(B33:T33)</f>
        <v>1.2000497378177566</v>
      </c>
    </row>
    <row r="34" spans="1:22" x14ac:dyDescent="0.25">
      <c r="A34" s="128" t="s">
        <v>181</v>
      </c>
      <c r="B34" s="129">
        <f t="shared" ref="B34:B36" si="1">B23/L9</f>
        <v>1.1146540840882861</v>
      </c>
      <c r="C34" s="129">
        <f t="shared" si="0"/>
        <v>0.88402515058802567</v>
      </c>
      <c r="D34" s="129">
        <f t="shared" si="0"/>
        <v>0.97974809717790723</v>
      </c>
      <c r="E34" s="129">
        <f t="shared" si="0"/>
        <v>0.8095007525372544</v>
      </c>
      <c r="F34" s="129">
        <f t="shared" si="0"/>
        <v>0.68253650373987695</v>
      </c>
      <c r="G34" s="129">
        <f t="shared" si="0"/>
        <v>0.63419697213625514</v>
      </c>
      <c r="H34" s="129">
        <f t="shared" si="0"/>
        <v>0.63269206072568374</v>
      </c>
      <c r="I34" s="129">
        <f t="shared" si="0"/>
        <v>0.79256383405218644</v>
      </c>
      <c r="J34" s="129">
        <f t="shared" si="0"/>
        <v>0.86132596641792558</v>
      </c>
      <c r="K34" s="129">
        <f t="shared" si="0"/>
        <v>0.74774042657564566</v>
      </c>
      <c r="L34" s="129">
        <f t="shared" si="0"/>
        <v>0.53785222928933762</v>
      </c>
      <c r="M34" s="129">
        <f t="shared" si="0"/>
        <v>0.60097051638539944</v>
      </c>
      <c r="N34" s="129">
        <f t="shared" si="0"/>
        <v>0.59774253390363785</v>
      </c>
      <c r="O34" s="129">
        <f t="shared" si="0"/>
        <v>0.58903527627636521</v>
      </c>
      <c r="P34" s="129">
        <f t="shared" si="0"/>
        <v>0.60243092963441092</v>
      </c>
      <c r="Q34" s="129">
        <f t="shared" si="0"/>
        <v>0.63946285952914639</v>
      </c>
      <c r="R34" s="129">
        <f t="shared" si="0"/>
        <v>0.66272849604810791</v>
      </c>
      <c r="S34" s="129">
        <f t="shared" si="0"/>
        <v>0.71570165653346862</v>
      </c>
      <c r="T34" s="129">
        <f t="shared" si="0"/>
        <v>0.76241546085011069</v>
      </c>
      <c r="V34" s="122">
        <f t="shared" ref="V34:V37" si="2">AVERAGE(B34:T34)</f>
        <v>0.72880651613100156</v>
      </c>
    </row>
    <row r="35" spans="1:22" x14ac:dyDescent="0.25">
      <c r="A35" s="128" t="s">
        <v>182</v>
      </c>
      <c r="B35" s="129">
        <f t="shared" si="1"/>
        <v>1.8269970676267668</v>
      </c>
      <c r="C35" s="129">
        <f t="shared" si="0"/>
        <v>1.6667117482140061</v>
      </c>
      <c r="D35" s="129">
        <f t="shared" si="0"/>
        <v>2.1222091449414493</v>
      </c>
      <c r="E35" s="129">
        <f t="shared" si="0"/>
        <v>2.1782832947003965</v>
      </c>
      <c r="F35" s="129">
        <f t="shared" si="0"/>
        <v>1.6185894739926279</v>
      </c>
      <c r="G35" s="129">
        <f t="shared" si="0"/>
        <v>1.6793060589620386</v>
      </c>
      <c r="H35" s="129">
        <f t="shared" si="0"/>
        <v>1.8760903847096406</v>
      </c>
      <c r="I35" s="129">
        <f t="shared" si="0"/>
        <v>1.6146616916893588</v>
      </c>
      <c r="J35" s="129">
        <f t="shared" si="0"/>
        <v>1.5518767297105682</v>
      </c>
      <c r="K35" s="129">
        <f t="shared" si="0"/>
        <v>1.2945024496293132</v>
      </c>
      <c r="L35" s="129">
        <f t="shared" si="0"/>
        <v>1.6291357449733075</v>
      </c>
      <c r="M35" s="129">
        <f t="shared" si="0"/>
        <v>2.1894432137710078</v>
      </c>
      <c r="N35" s="129">
        <f t="shared" si="0"/>
        <v>2.336718305846472</v>
      </c>
      <c r="O35" s="129">
        <f t="shared" si="0"/>
        <v>2.1621444180506315</v>
      </c>
      <c r="P35" s="129">
        <f t="shared" si="0"/>
        <v>2.2519998335235423</v>
      </c>
      <c r="Q35" s="129">
        <f t="shared" si="0"/>
        <v>2.0421323188423872</v>
      </c>
      <c r="R35" s="129">
        <f t="shared" si="0"/>
        <v>2.2116148477579975</v>
      </c>
      <c r="S35" s="129">
        <f t="shared" si="0"/>
        <v>2.0033765709997575</v>
      </c>
      <c r="T35" s="129">
        <f t="shared" si="0"/>
        <v>1.9614737647935696</v>
      </c>
      <c r="V35" s="122">
        <f t="shared" si="2"/>
        <v>1.9061719506702544</v>
      </c>
    </row>
    <row r="36" spans="1:22" x14ac:dyDescent="0.25">
      <c r="A36" s="128" t="s">
        <v>183</v>
      </c>
      <c r="B36" s="129">
        <f t="shared" si="1"/>
        <v>1.5066313478400537</v>
      </c>
      <c r="C36" s="129">
        <f t="shared" si="0"/>
        <v>1.332691155369591</v>
      </c>
      <c r="D36" s="129">
        <f t="shared" si="0"/>
        <v>1.0971571314066733</v>
      </c>
      <c r="E36" s="129">
        <f t="shared" si="0"/>
        <v>1.0928795276439172</v>
      </c>
      <c r="F36" s="129">
        <f t="shared" si="0"/>
        <v>0.95800863917682433</v>
      </c>
      <c r="G36" s="129">
        <f t="shared" si="0"/>
        <v>0.97172496523046781</v>
      </c>
      <c r="H36" s="129">
        <f t="shared" si="0"/>
        <v>1.1996877729373379</v>
      </c>
      <c r="I36" s="129">
        <f t="shared" si="0"/>
        <v>1.2477634253423646</v>
      </c>
      <c r="J36" s="129">
        <f t="shared" si="0"/>
        <v>1.2187852470234222</v>
      </c>
      <c r="K36" s="129">
        <f t="shared" si="0"/>
        <v>0.83561262292240635</v>
      </c>
      <c r="L36" s="129">
        <f t="shared" si="0"/>
        <v>0.93355835426050282</v>
      </c>
      <c r="M36" s="129">
        <f t="shared" si="0"/>
        <v>1.1457554997110044</v>
      </c>
      <c r="N36" s="129">
        <f t="shared" si="0"/>
        <v>1.2230721853729287</v>
      </c>
      <c r="O36" s="129">
        <f t="shared" si="0"/>
        <v>1.1044782303124367</v>
      </c>
      <c r="P36" s="129">
        <f t="shared" si="0"/>
        <v>1.4413654219561485</v>
      </c>
      <c r="Q36" s="129">
        <f t="shared" si="0"/>
        <v>1.4846101883000311</v>
      </c>
      <c r="R36" s="129">
        <f t="shared" si="0"/>
        <v>1.3088342245125673</v>
      </c>
      <c r="S36" s="129">
        <f t="shared" si="0"/>
        <v>1.4432051582582508</v>
      </c>
      <c r="T36" s="129">
        <f t="shared" si="0"/>
        <v>1.4464646335628808</v>
      </c>
      <c r="V36" s="122">
        <f t="shared" si="2"/>
        <v>1.2101203016389372</v>
      </c>
    </row>
    <row r="37" spans="1:22" x14ac:dyDescent="0.25">
      <c r="A37" s="130" t="s">
        <v>184</v>
      </c>
      <c r="B37" s="131">
        <f>(B29+B26)/L12</f>
        <v>2.759540685674374</v>
      </c>
      <c r="C37" s="131">
        <f t="shared" ref="C37:T37" si="3">(C29+C26)/M12</f>
        <v>2.5602117998667451</v>
      </c>
      <c r="D37" s="131">
        <f t="shared" si="3"/>
        <v>2.7685923227349467</v>
      </c>
      <c r="E37" s="131">
        <f t="shared" si="3"/>
        <v>1.9682148991137352</v>
      </c>
      <c r="F37" s="131">
        <f t="shared" si="3"/>
        <v>1.9164291125871955</v>
      </c>
      <c r="G37" s="131">
        <f t="shared" si="3"/>
        <v>0.90525747437944704</v>
      </c>
      <c r="H37" s="131">
        <f t="shared" si="3"/>
        <v>1.4842369845089975</v>
      </c>
      <c r="I37" s="131">
        <f t="shared" si="3"/>
        <v>1.3448404642045124</v>
      </c>
      <c r="J37" s="131">
        <f t="shared" si="3"/>
        <v>1.3768141988509126</v>
      </c>
      <c r="K37" s="131">
        <f t="shared" si="3"/>
        <v>1.0842323787821739</v>
      </c>
      <c r="L37" s="131">
        <f t="shared" si="3"/>
        <v>1.2363631772996562</v>
      </c>
      <c r="M37" s="131">
        <f t="shared" si="3"/>
        <v>1.5788487557194415</v>
      </c>
      <c r="N37" s="131">
        <f t="shared" si="3"/>
        <v>2.0366969050476253</v>
      </c>
      <c r="O37" s="131">
        <f t="shared" si="3"/>
        <v>1.6845351372704083</v>
      </c>
      <c r="P37" s="131">
        <f t="shared" si="3"/>
        <v>1.5127354636356207</v>
      </c>
      <c r="Q37" s="131">
        <f t="shared" si="3"/>
        <v>1.4449503458657857</v>
      </c>
      <c r="R37" s="131">
        <f t="shared" si="3"/>
        <v>1.1810785456730581</v>
      </c>
      <c r="S37" s="131">
        <f t="shared" si="3"/>
        <v>1.9396780152281263</v>
      </c>
      <c r="T37" s="131">
        <f t="shared" si="3"/>
        <v>2.4588555889970625</v>
      </c>
      <c r="V37" s="122">
        <f t="shared" si="2"/>
        <v>1.7495848555494646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Production Summary</vt:lpstr>
      <vt:lpstr>Crops</vt:lpstr>
      <vt:lpstr>Fruit, Veg, and Greenhouse</vt:lpstr>
      <vt:lpstr>Slaughtered Livestock (All)</vt:lpstr>
      <vt:lpstr>Poultry</vt:lpstr>
      <vt:lpstr>Dairy</vt:lpstr>
      <vt:lpstr>Production Forecast</vt:lpstr>
      <vt:lpstr>Calibration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Sperry</dc:creator>
  <cp:lastModifiedBy>Luke Sperry</cp:lastModifiedBy>
  <dcterms:created xsi:type="dcterms:W3CDTF">2021-07-16T16:50:01Z</dcterms:created>
  <dcterms:modified xsi:type="dcterms:W3CDTF">2021-10-02T18:13:06Z</dcterms:modified>
</cp:coreProperties>
</file>