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ECEA2DCB-2617-EC4F-92B4-CF45F46A0BE2}" xr6:coauthVersionLast="47" xr6:coauthVersionMax="47" xr10:uidLastSave="{00000000-0000-0000-0000-000000000000}"/>
  <bookViews>
    <workbookView xWindow="0" yWindow="760" windowWidth="34560" windowHeight="20340" activeTab="1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Amruta" sheetId="52" r:id="rId13"/>
    <sheet name="P-bfly+Call" sheetId="19" r:id="rId14"/>
    <sheet name="All Weekly Fly" sheetId="16" r:id="rId15"/>
    <sheet name="Nifty Daily Range" sheetId="23" r:id="rId16"/>
    <sheet name="NF Weekly Range" sheetId="34" r:id="rId17"/>
    <sheet name="BNF Daily Range" sheetId="24" r:id="rId18"/>
    <sheet name="NF Weekly Fly" sheetId="28" r:id="rId19"/>
    <sheet name="month wise 2023-24" sheetId="5" r:id="rId20"/>
    <sheet name="laptops" sheetId="9" r:id="rId21"/>
    <sheet name="Sheet7" sheetId="13" r:id="rId22"/>
    <sheet name="graphs 2023-24" sheetId="7" r:id="rId23"/>
    <sheet name="graphs 2024-25" sheetId="18" r:id="rId24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2" hidden="1">'graphs 2023-24'!$A$1:$B$100</definedName>
    <definedName name="_xlnm._FilterDatabase" localSheetId="23" hidden="1">'graphs 2024-25'!$A$1:$B$100</definedName>
    <definedName name="_xlnm._FilterDatabase" localSheetId="20" hidden="1">laptops!$A$1:$J$24</definedName>
    <definedName name="_xlnm._FilterDatabase" localSheetId="15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51" i="32" l="1"/>
  <c r="BN11" i="32"/>
  <c r="BN5" i="32"/>
  <c r="BN6" i="32" s="1"/>
  <c r="BN7" i="32" s="1"/>
  <c r="BK11" i="32"/>
  <c r="BK5" i="32"/>
  <c r="BK6" i="32" s="1"/>
  <c r="BK7" i="32" s="1"/>
  <c r="BJ50" i="32"/>
  <c r="BJ49" i="32"/>
  <c r="BJ47" i="32"/>
  <c r="BJ46" i="32"/>
  <c r="BJ44" i="32"/>
  <c r="BJ45" i="32" s="1"/>
  <c r="BK41" i="32"/>
  <c r="BI37" i="32"/>
  <c r="AY6" i="32"/>
  <c r="F71" i="32"/>
  <c r="E71" i="32"/>
  <c r="B70" i="32"/>
  <c r="E59" i="32"/>
  <c r="AY7" i="32"/>
  <c r="AV7" i="32"/>
  <c r="B60" i="32"/>
  <c r="E60" i="32" s="1"/>
  <c r="C60" i="32"/>
  <c r="D60" i="32"/>
  <c r="B59" i="32"/>
  <c r="D59" i="32" s="1"/>
  <c r="H60" i="32"/>
  <c r="H59" i="32"/>
  <c r="H62" i="32" s="1"/>
  <c r="BE11" i="32"/>
  <c r="BB11" i="32"/>
  <c r="BE5" i="32"/>
  <c r="BE6" i="32" s="1"/>
  <c r="BE7" i="32" s="1"/>
  <c r="BB5" i="32"/>
  <c r="BB6" i="32" s="1"/>
  <c r="BB7" i="32" s="1"/>
  <c r="AY11" i="32"/>
  <c r="AV11" i="32"/>
  <c r="AV12" i="32" s="1"/>
  <c r="AY5" i="32"/>
  <c r="AV5" i="32"/>
  <c r="AV6" i="32" s="1"/>
  <c r="AS11" i="32"/>
  <c r="AS5" i="32"/>
  <c r="AP11" i="32"/>
  <c r="AP5" i="32"/>
  <c r="AP6" i="32" s="1"/>
  <c r="AP7" i="32" s="1"/>
  <c r="BN8" i="32" l="1"/>
  <c r="BN16" i="32"/>
  <c r="BN12" i="32"/>
  <c r="BN13" i="32" s="1"/>
  <c r="BN14" i="32" s="1"/>
  <c r="C70" i="32"/>
  <c r="E70" i="32" s="1"/>
  <c r="D70" i="32"/>
  <c r="BK8" i="32"/>
  <c r="BK16" i="32" s="1"/>
  <c r="BK17" i="32" s="1"/>
  <c r="BK18" i="32" s="1"/>
  <c r="BK12" i="32"/>
  <c r="BK13" i="32" s="1"/>
  <c r="AP8" i="32"/>
  <c r="AP16" i="32" s="1"/>
  <c r="AP12" i="32"/>
  <c r="AP13" i="32" s="1"/>
  <c r="AP14" i="32" s="1"/>
  <c r="AS6" i="32"/>
  <c r="AS7" i="32" s="1"/>
  <c r="C59" i="32"/>
  <c r="E62" i="32" s="1"/>
  <c r="E63" i="32" s="1"/>
  <c r="BB8" i="32"/>
  <c r="BB16" i="32" s="1"/>
  <c r="BE8" i="32"/>
  <c r="BE16" i="32" s="1"/>
  <c r="BB12" i="32"/>
  <c r="BB13" i="32" s="1"/>
  <c r="BB14" i="32" s="1"/>
  <c r="BE12" i="32"/>
  <c r="BE13" i="32" s="1"/>
  <c r="BE14" i="32" s="1"/>
  <c r="AV8" i="32"/>
  <c r="AV16" i="32" s="1"/>
  <c r="AY8" i="32"/>
  <c r="AY16" i="32" s="1"/>
  <c r="AY12" i="32"/>
  <c r="AY13" i="32" s="1"/>
  <c r="AY14" i="32" s="1"/>
  <c r="AV13" i="32"/>
  <c r="AV14" i="32" s="1"/>
  <c r="AS12" i="32"/>
  <c r="AS13" i="32" s="1"/>
  <c r="AS14" i="32" s="1"/>
  <c r="AM5" i="32"/>
  <c r="AJ5" i="32"/>
  <c r="AI24" i="1"/>
  <c r="M19" i="33"/>
  <c r="O5" i="33"/>
  <c r="M18" i="33"/>
  <c r="AI12" i="1"/>
  <c r="AI25" i="1"/>
  <c r="AI20" i="1"/>
  <c r="AI11" i="1"/>
  <c r="AI23" i="1" s="1"/>
  <c r="AI9" i="1"/>
  <c r="H5" i="51"/>
  <c r="T24" i="37"/>
  <c r="Y17" i="32"/>
  <c r="Y19" i="32"/>
  <c r="Y21" i="32"/>
  <c r="Y20" i="32"/>
  <c r="U14" i="32"/>
  <c r="U15" i="32" s="1"/>
  <c r="U26" i="32"/>
  <c r="X26" i="32"/>
  <c r="X27" i="32" s="1"/>
  <c r="AF25" i="1"/>
  <c r="AF24" i="1"/>
  <c r="E5" i="45"/>
  <c r="AF12" i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AC25" i="1"/>
  <c r="AC12" i="1"/>
  <c r="K18" i="33"/>
  <c r="AC20" i="1"/>
  <c r="AC11" i="1"/>
  <c r="AC23" i="1" s="1"/>
  <c r="AC9" i="1"/>
  <c r="AC24" i="1" s="1"/>
  <c r="BG5" i="17"/>
  <c r="N42" i="1"/>
  <c r="N43" i="1" s="1"/>
  <c r="N44" i="1" s="1"/>
  <c r="N45" i="1" s="1"/>
  <c r="R43" i="1"/>
  <c r="R44" i="1"/>
  <c r="R45" i="1"/>
  <c r="R46" i="1"/>
  <c r="S46" i="1" s="1"/>
  <c r="R42" i="1"/>
  <c r="G11" i="32"/>
  <c r="Y11" i="32"/>
  <c r="Y10" i="32"/>
  <c r="BK14" i="32" l="1"/>
  <c r="AS8" i="32"/>
  <c r="AS16" i="32" s="1"/>
  <c r="AS17" i="32" s="1"/>
  <c r="AS18" i="32" s="1"/>
  <c r="AS20" i="32" s="1"/>
  <c r="AP17" i="32"/>
  <c r="AP18" i="32" s="1"/>
  <c r="AP20" i="32" s="1"/>
  <c r="Y22" i="32"/>
  <c r="BE17" i="32"/>
  <c r="BE18" i="32" s="1"/>
  <c r="BE20" i="32" s="1"/>
  <c r="BB17" i="32"/>
  <c r="BB18" i="32" s="1"/>
  <c r="BB20" i="32" s="1"/>
  <c r="AY17" i="32"/>
  <c r="AY18" i="32"/>
  <c r="AY20" i="32" s="1"/>
  <c r="AV17" i="32"/>
  <c r="AV18" i="32" s="1"/>
  <c r="AV20" i="32" s="1"/>
  <c r="AJ7" i="32"/>
  <c r="H36" i="51"/>
  <c r="J38" i="51" s="1"/>
  <c r="AI27" i="1"/>
  <c r="AI21" i="1"/>
  <c r="AF11" i="1"/>
  <c r="AF23" i="1" s="1"/>
  <c r="AF27" i="1" s="1"/>
  <c r="AC27" i="1"/>
  <c r="BB62" i="51"/>
  <c r="BB30" i="51"/>
  <c r="AR30" i="51"/>
  <c r="AR62" i="51"/>
  <c r="AH30" i="51"/>
  <c r="AH62" i="51"/>
  <c r="W30" i="51"/>
  <c r="W62" i="51"/>
  <c r="M30" i="51"/>
  <c r="M62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K12" i="32"/>
  <c r="L12" i="32"/>
  <c r="M12" i="32"/>
  <c r="M13" i="32" s="1"/>
  <c r="K13" i="32"/>
  <c r="L13" i="32"/>
  <c r="O13" i="32"/>
  <c r="K15" i="32"/>
  <c r="L15" i="32"/>
  <c r="M15" i="32"/>
  <c r="O15" i="32"/>
  <c r="O16" i="32"/>
  <c r="K17" i="32"/>
  <c r="L17" i="32"/>
  <c r="M17" i="32"/>
  <c r="O17" i="32"/>
  <c r="L19" i="32"/>
  <c r="L20" i="32" s="1"/>
  <c r="M19" i="32"/>
  <c r="M20" i="32" s="1"/>
  <c r="O19" i="32"/>
  <c r="O20" i="32" s="1"/>
  <c r="L22" i="32"/>
  <c r="M22" i="32"/>
  <c r="O22" i="32"/>
  <c r="L24" i="32"/>
  <c r="M24" i="32"/>
  <c r="L26" i="32"/>
  <c r="Q11" i="32"/>
  <c r="Q21" i="32"/>
  <c r="H39" i="51" l="1"/>
  <c r="BN18" i="32"/>
  <c r="BN19" i="32"/>
  <c r="BN22" i="32" s="1"/>
  <c r="BK19" i="32"/>
  <c r="BK20" i="32" s="1"/>
  <c r="BK22" i="32" s="1"/>
  <c r="AL9" i="32"/>
  <c r="AL11" i="32" s="1"/>
  <c r="AJ8" i="32"/>
  <c r="AL10" i="32" s="1"/>
  <c r="AF21" i="1"/>
  <c r="J6" i="5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Z23" i="1" s="1"/>
  <c r="P11" i="41"/>
  <c r="P2" i="4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9" i="1"/>
  <c r="W25" i="1"/>
  <c r="W21" i="1"/>
  <c r="W24" i="1"/>
  <c r="W23" i="1"/>
  <c r="W27" i="1" s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8" i="32"/>
  <c r="U9" i="32" s="1"/>
  <c r="L15" i="41"/>
  <c r="AH52" i="17"/>
  <c r="AH51" i="17"/>
  <c r="C18" i="33"/>
  <c r="T20" i="1"/>
  <c r="T11" i="1"/>
  <c r="T9" i="1"/>
  <c r="N33" i="1"/>
  <c r="P33" i="1" s="1"/>
  <c r="P34" i="1" s="1"/>
  <c r="Q33" i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B65" i="1"/>
  <c r="B66" i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J21" i="32" s="1"/>
  <c r="N20" i="1"/>
  <c r="N9" i="1"/>
  <c r="W51" i="17"/>
  <c r="W43" i="17"/>
  <c r="F13" i="32"/>
  <c r="G12" i="32"/>
  <c r="H4" i="32"/>
  <c r="H3" i="32"/>
  <c r="D13" i="32"/>
  <c r="D15" i="32" s="1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M2" i="41" l="1"/>
  <c r="J64" i="1"/>
  <c r="N34" i="1"/>
  <c r="N35" i="1" s="1"/>
  <c r="N36" i="1" s="1"/>
  <c r="N37" i="1" s="1"/>
  <c r="I65" i="1"/>
  <c r="J66" i="1"/>
  <c r="Z24" i="1"/>
  <c r="Z27" i="1" s="1"/>
  <c r="I63" i="1"/>
  <c r="J62" i="1"/>
  <c r="O47" i="37"/>
  <c r="AA6" i="32"/>
  <c r="N7" i="32"/>
  <c r="G13" i="32"/>
  <c r="G15" i="32" s="1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<sst xmlns="http://schemas.openxmlformats.org/spreadsheetml/2006/main" count="6121" uniqueCount="3697">
  <si>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</si>
  <si>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</si>
  <si>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</si>
  <si>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</si>
  <si>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</si>
  <si>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</si>
  <si>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</si>
  <si>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</si>
  <si>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</si>
  <si>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</si>
  <si>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</si>
  <si>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</si>
  <si>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</si>
  <si>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</si>
  <si>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</si>
  <si>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</si>
  <si>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</si>
  <si>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</si>
  <si>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</si>
  <si>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</si>
  <si>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</si>
  <si>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</si>
  <si>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</si>
  <si>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</si>
  <si>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</si>
  <si>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</si>
  <si>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</si>
  <si>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</si>
  <si>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</si>
  <si>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</si>
  <si>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</si>
  <si>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</si>
  <si>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</si>
  <si>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</si>
  <si>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</si>
  <si>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</si>
  <si>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</si>
  <si>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</si>
  <si>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</si>
  <si>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</si>
  <si>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</si>
  <si>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</si>
  <si>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</si>
  <si>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</si>
  <si>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</si>
  <si>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</si>
  <si>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</si>
  <si>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</si>
  <si>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</si>
  <si>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</si>
  <si>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</si>
  <si>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</si>
  <si>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</si>
  <si>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</si>
  <si>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</si>
  <si>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</si>
  <si>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</si>
  <si>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</si>
  <si>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</si>
  <si>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</si>
  <si>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</si>
  <si>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</si>
  <si>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</si>
  <si>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</si>
  <si>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</si>
  <si>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</si>
  <si>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</si>
  <si>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</si>
  <si>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</si>
  <si>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</si>
  <si>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</si>
  <si>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</si>
  <si>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</si>
  <si>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</si>
  <si>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</si>
  <si>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</si>
  <si>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</si>
  <si>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</si>
  <si>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</si>
  <si>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</si>
  <si>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</si>
  <si>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</si>
  <si>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</si>
  <si>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</si>
  <si>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</si>
  <si>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</si>
  <si>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</si>
  <si>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</si>
  <si>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</si>
  <si>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</si>
  <si>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</si>
  <si>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</si>
  <si>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</si>
  <si>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</si>
  <si>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</si>
  <si>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</si>
  <si>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</si>
  <si>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</si>
  <si>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</si>
  <si>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</si>
  <si>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</si>
  <si>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</si>
  <si>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</si>
  <si>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</si>
  <si>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</si>
  <si>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</si>
  <si>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</si>
  <si>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</si>
  <si>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</si>
  <si>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</si>
  <si>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</si>
  <si>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</si>
  <si>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</si>
  <si>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</si>
  <si>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</si>
  <si>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</si>
  <si>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</si>
  <si>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</si>
  <si>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</si>
  <si>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</si>
  <si>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</si>
  <si>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</si>
  <si>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</si>
  <si>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</si>
  <si>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</si>
  <si>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</si>
  <si>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</si>
  <si>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</si>
  <si>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</si>
  <si>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</si>
  <si>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</si>
  <si>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</si>
  <si>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</si>
  <si>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</si>
  <si>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</si>
  <si>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</si>
  <si>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</si>
  <si>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</si>
  <si>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</si>
  <si>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</si>
  <si>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</si>
  <si>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</si>
  <si>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</si>
  <si>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</si>
  <si>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</si>
  <si>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</si>
  <si>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</si>
  <si>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</si>
  <si>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</si>
  <si>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</si>
  <si>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</si>
  <si>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</si>
  <si>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</si>
  <si>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</si>
  <si>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</si>
  <si>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</si>
  <si>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</si>
  <si>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</si>
  <si>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</si>
  <si>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</si>
  <si>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</si>
  <si>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</si>
  <si>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</si>
  <si>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</si>
  <si>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</si>
  <si>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</si>
  <si>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</si>
  <si>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</si>
  <si>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</si>
  <si>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</si>
  <si>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</si>
  <si>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</si>
  <si>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</si>
  <si>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</si>
  <si>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</si>
  <si>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</si>
  <si>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</si>
  <si>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</si>
  <si>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</si>
  <si>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</si>
  <si>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</si>
  <si>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</si>
  <si>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</si>
  <si>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</si>
  <si>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</si>
  <si>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</si>
  <si>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</si>
  <si>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</si>
  <si>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</si>
  <si>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</si>
  <si>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</si>
  <si>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</si>
  <si>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</si>
  <si>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</si>
  <si>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</si>
  <si>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</si>
  <si>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</si>
  <si>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</si>
  <si>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</si>
  <si>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</si>
  <si>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</si>
  <si>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</si>
  <si>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</si>
  <si>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</si>
  <si>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</si>
  <si>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</si>
  <si>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</si>
  <si>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</si>
  <si>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</si>
  <si>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</si>
  <si>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</si>
  <si>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</si>
  <si>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</si>
  <si>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</si>
  <si>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</si>
  <si>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</si>
  <si>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</si>
  <si>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</si>
  <si>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</si>
  <si>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</si>
  <si>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</si>
  <si>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</si>
  <si>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</si>
  <si>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</si>
  <si>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</si>
  <si>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</si>
  <si>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</si>
  <si>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</si>
  <si>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</si>
  <si>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</si>
  <si>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</si>
  <si>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</si>
  <si>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</si>
  <si>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</si>
  <si>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</si>
  <si>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</si>
  <si>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</si>
  <si>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</si>
  <si>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</si>
  <si>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</si>
  <si>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</si>
  <si>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</si>
  <si>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</si>
  <si>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</si>
  <si>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</si>
  <si>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</si>
  <si>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</si>
  <si>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</si>
  <si>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</si>
  <si>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</si>
  <si>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</si>
  <si>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</si>
  <si>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</si>
  <si>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</si>
  <si>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</si>
  <si>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</si>
  <si>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</si>
  <si>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</si>
  <si>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</si>
  <si>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</si>
  <si>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</si>
  <si>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</si>
  <si>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</si>
  <si>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</si>
  <si>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</si>
  <si>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</si>
  <si>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</si>
  <si>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</si>
  <si>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</si>
  <si>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</si>
  <si>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</si>
  <si>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</si>
  <si>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</si>
  <si>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</si>
  <si>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</si>
  <si>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</si>
  <si>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</si>
  <si>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</si>
  <si>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</si>
  <si>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</si>
  <si>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</si>
  <si>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</si>
  <si>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</si>
  <si>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</si>
  <si>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</si>
  <si>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</si>
  <si>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</si>
  <si>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</si>
  <si>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</si>
  <si>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</si>
  <si>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</si>
  <si>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</si>
  <si>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</si>
  <si>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</si>
  <si>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</si>
  <si>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</si>
  <si>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</si>
  <si>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</si>
  <si>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</si>
  <si>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</si>
  <si>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</si>
  <si>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</si>
  <si>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</si>
  <si>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</si>
  <si>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</si>
  <si>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</si>
  <si>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</si>
  <si>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</si>
  <si>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</si>
  <si>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</si>
  <si>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</si>
  <si>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</si>
  <si>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</si>
  <si>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</si>
  <si>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</si>
  <si>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</si>
  <si>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</si>
  <si>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</si>
  <si>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</si>
  <si>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</si>
  <si>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</si>
  <si>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</si>
  <si>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</si>
  <si>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</si>
  <si>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</si>
  <si>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</si>
  <si>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</si>
  <si>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</si>
  <si>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</si>
  <si>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</si>
  <si>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</si>
  <si>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</si>
  <si>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</si>
  <si>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</si>
  <si>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</si>
  <si>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</si>
  <si>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</si>
  <si>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</si>
  <si>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</si>
  <si>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</si>
  <si>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</si>
  <si>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</si>
  <si>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</si>
  <si>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</si>
  <si>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</si>
  <si>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</si>
  <si>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</si>
  <si>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</si>
  <si>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</si>
  <si>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</si>
  <si>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</si>
  <si>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</si>
  <si>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</si>
  <si>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</si>
  <si>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</si>
  <si>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</si>
  <si>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</si>
  <si>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</si>
  <si>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</si>
  <si>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</si>
  <si>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</si>
  <si>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</si>
  <si>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</si>
  <si>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</si>
  <si>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</si>
  <si>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</si>
  <si>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</si>
  <si>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</si>
  <si>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</si>
  <si>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</si>
  <si>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</si>
  <si>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</si>
  <si>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</si>
  <si>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</si>
  <si>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</si>
  <si>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</si>
  <si>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</si>
  <si>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</si>
  <si>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</si>
  <si>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</si>
  <si>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</si>
  <si>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</si>
  <si>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</si>
  <si>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</si>
  <si>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</si>
  <si>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</si>
  <si>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</si>
  <si>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</si>
  <si>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</si>
  <si>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</si>
  <si>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</si>
  <si>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</si>
  <si>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</si>
  <si>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</si>
  <si>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</si>
  <si>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</si>
  <si>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</si>
  <si>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</si>
  <si>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</si>
  <si>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</si>
  <si>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</si>
  <si>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</si>
  <si>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</si>
  <si>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</si>
  <si>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</si>
  <si>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</si>
  <si>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</si>
  <si>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</si>
  <si>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</si>
  <si>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</si>
  <si>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</si>
  <si>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</si>
  <si>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</si>
  <si>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</si>
  <si>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</si>
  <si>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</si>
  <si>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</si>
  <si>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</si>
  <si>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</si>
  <si>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</si>
  <si>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</si>
  <si>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</si>
  <si>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</si>
  <si>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</si>
  <si>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</si>
  <si>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</si>
  <si>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</si>
  <si>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</si>
  <si>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</si>
  <si>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</si>
  <si>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</si>
  <si>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</si>
  <si>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</si>
  <si>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</si>
  <si>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</si>
  <si>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</si>
  <si>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</si>
  <si>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</si>
  <si>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</si>
  <si>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</si>
  <si>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</si>
  <si>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</si>
  <si>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</si>
  <si>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</si>
  <si>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</si>
  <si>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</si>
  <si>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</si>
  <si>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</si>
  <si>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</si>
  <si>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</si>
  <si>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</si>
  <si>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</si>
  <si>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</si>
  <si>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</si>
  <si>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</si>
  <si>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</si>
  <si>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</si>
  <si>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</si>
  <si>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</si>
  <si>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</si>
  <si>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</si>
  <si>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</si>
  <si>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</si>
  <si>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</si>
  <si>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</si>
  <si>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</si>
  <si>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</si>
  <si>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</si>
  <si>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</si>
  <si>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</si>
  <si>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</si>
  <si>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</si>
  <si>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</si>
  <si>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</si>
  <si>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</si>
  <si>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</si>
  <si>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</si>
  <si>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</si>
  <si>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</si>
  <si>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</si>
  <si>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</si>
  <si>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</si>
  <si>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</si>
  <si>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</si>
  <si>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</si>
  <si>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</si>
  <si>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</si>
  <si>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</si>
  <si>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</si>
  <si>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</si>
  <si>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</si>
  <si>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</si>
  <si>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</si>
  <si>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</si>
  <si>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</si>
  <si>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</si>
  <si>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</si>
  <si>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</si>
  <si>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</si>
  <si>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</si>
  <si>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</si>
  <si>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</si>
  <si>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</si>
  <si>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</si>
  <si>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</si>
  <si>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</si>
  <si>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</si>
  <si>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</si>
  <si>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</si>
  <si>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</si>
  <si>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</si>
  <si>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</si>
  <si>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</si>
  <si>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</si>
  <si>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</si>
  <si>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</si>
  <si>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</si>
  <si>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</si>
  <si>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</si>
  <si>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</si>
  <si>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</si>
  <si>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</si>
  <si>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</si>
  <si>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</si>
  <si>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</si>
  <si>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</si>
  <si>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</si>
  <si>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</si>
  <si>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</si>
  <si>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</si>
  <si>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</si>
  <si>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</si>
  <si>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</si>
  <si>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</si>
  <si>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</si>
  <si>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</si>
  <si>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</si>
  <si>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</si>
  <si>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</si>
  <si>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</si>
  <si>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</si>
  <si>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</si>
  <si>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</si>
  <si>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</si>
  <si>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</si>
  <si>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</si>
  <si>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</si>
  <si>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</si>
  <si>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</si>
  <si>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</si>
  <si>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</si>
  <si>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</si>
  <si>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</si>
  <si>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</si>
  <si>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</si>
  <si>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</si>
  <si>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</si>
  <si>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</si>
  <si>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</si>
  <si>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</si>
  <si>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</si>
  <si>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</si>
  <si>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</si>
  <si>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</si>
  <si>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</si>
  <si>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</si>
  <si>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</si>
  <si>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</si>
  <si>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</si>
  <si>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</si>
  <si>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</si>
  <si>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</si>
  <si>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</si>
  <si>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</si>
  <si>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</si>
  <si>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</si>
  <si>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</si>
  <si>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</si>
  <si>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</si>
  <si>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</si>
  <si>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</si>
  <si>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</si>
  <si>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</si>
  <si>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</si>
  <si>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</si>
  <si>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</si>
  <si>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</si>
  <si>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</si>
  <si>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</si>
  <si>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</si>
  <si>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</si>
  <si>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</si>
  <si>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</si>
  <si>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</si>
  <si>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</si>
  <si>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</si>
  <si>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</si>
  <si>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</si>
  <si>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</si>
  <si>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</si>
  <si>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</si>
  <si>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</si>
  <si>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</si>
  <si>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</si>
  <si>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</si>
  <si>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</si>
  <si>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</si>
  <si>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</si>
  <si>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</si>
  <si>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</si>
  <si>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</si>
  <si>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</si>
  <si>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</si>
  <si>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</si>
  <si>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</si>
  <si>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</si>
  <si>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</si>
  <si>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</si>
  <si>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</si>
  <si>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</si>
  <si>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</si>
  <si>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</si>
  <si>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</si>
  <si>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</si>
  <si>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</si>
  <si>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</si>
  <si>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</si>
  <si>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</si>
  <si>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</si>
  <si>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</si>
  <si>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</si>
  <si>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</si>
  <si>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</si>
  <si>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</si>
  <si>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</si>
  <si>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</si>
  <si>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</si>
  <si>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</si>
  <si>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</si>
  <si>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</si>
  <si>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</si>
  <si>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</si>
  <si>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</si>
  <si>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</si>
  <si>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</si>
  <si>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</si>
  <si>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</si>
  <si>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</si>
  <si>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</si>
  <si>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</si>
  <si>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</si>
  <si>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</si>
  <si>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</si>
  <si>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</si>
  <si>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</si>
  <si>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</si>
  <si>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</si>
  <si>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</si>
  <si>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</si>
  <si>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</si>
  <si>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</si>
  <si>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</si>
  <si>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</si>
  <si>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</si>
  <si>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</si>
  <si>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</si>
  <si>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</si>
  <si>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</si>
  <si>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</si>
  <si>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</si>
  <si>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</si>
  <si>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</si>
  <si>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</si>
  <si>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</si>
  <si>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</si>
  <si>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</si>
  <si>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</si>
  <si>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</si>
  <si>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</si>
  <si>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</si>
  <si>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</si>
  <si>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</si>
  <si>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</si>
  <si>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</si>
  <si>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</si>
  <si>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</si>
  <si>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</si>
  <si>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</si>
  <si>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</si>
  <si>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</si>
  <si>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</si>
  <si>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</si>
  <si>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</si>
  <si>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</si>
  <si>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</si>
  <si>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</si>
  <si>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</si>
  <si>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</si>
  <si>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</si>
  <si>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</si>
  <si>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</si>
  <si>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</si>
  <si>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</si>
  <si>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</si>
  <si>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</si>
  <si>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</si>
  <si>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</si>
  <si>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</si>
  <si>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</si>
  <si>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</si>
  <si>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</si>
  <si>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</si>
  <si>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</si>
  <si>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</si>
  <si>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</si>
  <si>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</si>
  <si>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</si>
  <si>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</si>
  <si>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</si>
  <si>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</si>
  <si>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</si>
  <si>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</si>
  <si>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</si>
  <si>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</si>
  <si>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</si>
  <si>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</si>
  <si>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</si>
  <si>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</si>
  <si>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</si>
  <si>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</si>
  <si>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</si>
  <si>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</si>
  <si>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</si>
  <si>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</si>
  <si>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</si>
  <si>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</si>
  <si>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</si>
  <si>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</si>
  <si>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</si>
  <si>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</si>
  <si>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</si>
  <si>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</si>
  <si>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</si>
  <si>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</si>
  <si>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</si>
  <si>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</si>
  <si>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</si>
  <si>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</si>
  <si>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</si>
  <si>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</si>
  <si>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</si>
  <si>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</si>
  <si>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</si>
  <si>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</si>
  <si>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</si>
  <si>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</si>
  <si>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</si>
  <si>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</si>
  <si>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</si>
  <si>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</si>
  <si>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</si>
  <si>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</si>
  <si>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</si>
  <si>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</si>
  <si>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</si>
  <si>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</si>
  <si>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</si>
  <si>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</si>
  <si>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</si>
  <si>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</si>
  <si>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</si>
  <si>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</si>
  <si>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</si>
  <si>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</si>
  <si>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</si>
  <si>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</si>
  <si>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</si>
  <si>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</si>
  <si>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</si>
  <si>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</si>
  <si>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</si>
  <si>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</si>
  <si>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</si>
  <si>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</si>
  <si>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</si>
  <si>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</si>
  <si>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</si>
  <si>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</si>
  <si>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</si>
  <si>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</si>
  <si>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</si>
  <si>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</si>
  <si>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</si>
  <si>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</si>
  <si>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</si>
  <si>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</si>
  <si>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</si>
  <si>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</si>
  <si>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</si>
  <si>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</si>
  <si>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</si>
  <si>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</si>
  <si>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</si>
  <si>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</si>
  <si>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</si>
  <si>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</si>
  <si>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</si>
  <si>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</si>
  <si>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</si>
  <si>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</si>
  <si>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</si>
  <si>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</si>
  <si>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</si>
  <si>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</si>
  <si>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</si>
  <si>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</si>
  <si>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</si>
  <si>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</si>
  <si>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</si>
  <si>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</si>
  <si>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</si>
  <si>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</si>
  <si>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</si>
  <si>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</si>
  <si>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</si>
  <si>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</si>
  <si>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</si>
  <si>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</si>
  <si>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</si>
  <si>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</si>
  <si>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</si>
  <si>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</si>
  <si>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</si>
  <si>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</si>
  <si>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</si>
  <si>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</si>
  <si>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</si>
  <si>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</si>
  <si>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</si>
  <si>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</si>
  <si>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</si>
  <si>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</si>
  <si>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</si>
  <si>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</si>
  <si>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</si>
  <si>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</si>
  <si>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</si>
  <si>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</si>
  <si>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</si>
  <si>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</si>
  <si>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</si>
  <si>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</si>
  <si>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</si>
  <si>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</si>
  <si>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</si>
  <si>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</si>
  <si>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</si>
  <si>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</si>
  <si>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</si>
  <si>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</si>
  <si>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</si>
  <si>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</si>
  <si>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</si>
  <si>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</si>
  <si>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</si>
  <si>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</si>
  <si>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</si>
  <si>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</si>
  <si>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</si>
  <si>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</si>
  <si>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</si>
  <si>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</si>
  <si>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</si>
  <si>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</si>
  <si>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</si>
  <si>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</si>
  <si>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</si>
  <si>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</si>
  <si>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</si>
  <si>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</si>
  <si>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</si>
  <si>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</si>
  <si>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</si>
  <si>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</si>
  <si>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</si>
  <si>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</si>
  <si>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</si>
  <si>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</si>
  <si>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</si>
  <si>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</si>
  <si>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</si>
  <si>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</si>
  <si>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</si>
  <si>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</si>
  <si>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</si>
  <si>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</si>
  <si>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</si>
  <si>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</si>
  <si>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</si>
  <si>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</si>
  <si>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</si>
  <si>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</si>
  <si>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</si>
  <si>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</si>
  <si>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</si>
  <si>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</si>
  <si>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</si>
  <si>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</si>
  <si>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</si>
  <si>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</si>
  <si>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</si>
  <si>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</si>
  <si>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</si>
  <si>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</si>
  <si>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</si>
  <si>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</si>
  <si>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</si>
  <si>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</si>
  <si>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</si>
  <si>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</si>
  <si>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</si>
  <si>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</si>
  <si>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</si>
  <si>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</si>
  <si>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</si>
  <si>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</si>
  <si>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</si>
  <si>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</si>
  <si>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</si>
  <si>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</si>
  <si>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</si>
  <si>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</si>
  <si>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</si>
  <si>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</si>
  <si>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</si>
  <si>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</si>
  <si>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</si>
  <si>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</si>
  <si>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</si>
  <si>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</si>
  <si>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</si>
  <si>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</si>
  <si>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</si>
  <si>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</si>
  <si>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</si>
  <si>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</si>
  <si>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</si>
  <si>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</si>
  <si>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</si>
  <si>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</si>
  <si>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</si>
  <si>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</si>
  <si>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</si>
  <si>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</si>
  <si>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</si>
  <si>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</si>
  <si>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</si>
  <si>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</si>
  <si>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</si>
  <si>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</si>
  <si>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</si>
  <si>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</si>
  <si>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</si>
  <si>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</si>
  <si>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</si>
  <si>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</si>
  <si>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</si>
  <si>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</si>
  <si>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</si>
  <si>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</si>
  <si>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</si>
  <si>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</si>
  <si>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</si>
  <si>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</si>
  <si>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</si>
  <si>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</si>
  <si>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</si>
  <si>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</si>
  <si>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</si>
  <si>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</si>
  <si>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</si>
  <si>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</si>
  <si>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</si>
  <si>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</si>
  <si>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</si>
  <si>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</si>
  <si>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</si>
  <si>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</si>
  <si>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</si>
  <si>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</si>
  <si>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</si>
  <si>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</si>
  <si>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</si>
  <si>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</si>
  <si>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</si>
  <si>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</si>
  <si>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</si>
  <si>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</si>
  <si>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</si>
  <si>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</si>
  <si>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</si>
  <si>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</si>
  <si>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</si>
  <si>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</si>
  <si>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</si>
  <si>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</si>
  <si>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</si>
  <si>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</si>
  <si>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</si>
  <si>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</si>
  <si>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</si>
  <si>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</si>
  <si>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</si>
  <si>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</si>
  <si>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</si>
  <si>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</si>
  <si>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</si>
  <si>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</si>
  <si>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</si>
  <si>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</si>
  <si>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</si>
  <si>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</si>
  <si>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</si>
  <si>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</si>
  <si>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</si>
  <si>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</si>
  <si>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</si>
  <si>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</si>
  <si>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</si>
  <si>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</si>
  <si>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</si>
  <si>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</si>
  <si>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</si>
  <si>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</si>
  <si>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</si>
  <si>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</si>
  <si>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</si>
  <si>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</si>
  <si>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</si>
  <si>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</si>
  <si>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</si>
  <si>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</si>
  <si>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</si>
  <si>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</si>
  <si>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</si>
  <si>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</si>
  <si>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</si>
  <si>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</si>
  <si>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</si>
  <si>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</si>
  <si>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</si>
  <si>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</si>
  <si>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</si>
  <si>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</si>
  <si>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</si>
  <si>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</si>
  <si>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</si>
  <si>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</si>
  <si>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</si>
  <si>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</si>
  <si>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</si>
  <si>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</si>
  <si>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</si>
  <si>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</si>
  <si>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</si>
  <si>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</si>
  <si>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</si>
  <si>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</si>
  <si>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</si>
  <si>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</si>
  <si>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</si>
  <si>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</si>
  <si>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</si>
  <si>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</si>
  <si>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</si>
  <si>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</si>
  <si>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</si>
  <si>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</si>
  <si>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</si>
  <si>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</si>
  <si>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</si>
  <si>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</si>
  <si>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</si>
  <si>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</si>
  <si>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</si>
  <si>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</si>
  <si>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</si>
  <si>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</si>
  <si>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</si>
  <si>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</si>
  <si>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</si>
  <si>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</si>
  <si>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</si>
  <si>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</si>
  <si>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</si>
  <si>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</si>
  <si>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</si>
  <si>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</si>
  <si>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</si>
  <si>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</si>
  <si>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</si>
  <si>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</si>
  <si>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</si>
  <si>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</si>
  <si>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</si>
  <si>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</si>
  <si>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</si>
  <si>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</si>
  <si>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</si>
  <si>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</si>
  <si>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</si>
  <si>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</si>
  <si>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</si>
  <si>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</si>
  <si>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</si>
  <si>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</si>
  <si>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</si>
  <si>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</si>
  <si>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</si>
  <si>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</si>
  <si>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</si>
  <si>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</si>
  <si>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</si>
  <si>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</si>
  <si>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</si>
  <si>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</si>
  <si>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</si>
  <si>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</si>
  <si>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</si>
  <si>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</si>
  <si>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</si>
  <si>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</si>
  <si>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</si>
  <si>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</si>
  <si>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</si>
  <si>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</si>
  <si>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</si>
  <si>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</si>
  <si>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</si>
  <si>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</si>
  <si>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</si>
  <si>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</si>
  <si>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</si>
  <si>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</si>
  <si>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</si>
  <si>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</si>
  <si>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</si>
  <si>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</si>
  <si>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</si>
  <si>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</si>
  <si>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</si>
  <si>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</si>
  <si>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</si>
  <si>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</si>
  <si>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</si>
  <si>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</si>
  <si>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</si>
  <si>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</si>
  <si>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</si>
  <si>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</si>
  <si>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</si>
  <si>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</si>
  <si>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</si>
  <si>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</si>
  <si>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</si>
  <si>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</si>
  <si>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</si>
  <si>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</si>
  <si>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</si>
  <si>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</si>
  <si>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</si>
  <si>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</si>
  <si>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</si>
  <si>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</si>
  <si>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</si>
  <si>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</si>
  <si>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</si>
  <si>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</si>
  <si>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</si>
  <si>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</si>
  <si>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</si>
  <si>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</si>
  <si>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</si>
  <si>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</si>
  <si>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</si>
  <si>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</si>
  <si>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</si>
  <si>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</si>
  <si>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</si>
  <si>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</si>
  <si>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</si>
  <si>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</si>
  <si>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</si>
  <si>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</si>
  <si>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</si>
  <si>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</si>
  <si>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</si>
  <si>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</si>
  <si>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</si>
  <si>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</si>
  <si>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</si>
  <si>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</si>
  <si>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</si>
  <si>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</si>
  <si>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</si>
  <si>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</si>
  <si>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</si>
  <si>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</si>
  <si>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</si>
  <si>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</si>
  <si>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</si>
  <si>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</si>
  <si>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</si>
  <si>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</si>
  <si>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</si>
  <si>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</si>
  <si>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</si>
  <si>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</si>
  <si>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</si>
  <si>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</si>
  <si>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</si>
  <si>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</si>
  <si>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</si>
  <si>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</si>
  <si>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</si>
  <si>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</si>
  <si>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</si>
  <si>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</si>
  <si>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</si>
  <si>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</si>
  <si>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</si>
  <si>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</si>
  <si>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</si>
  <si>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</si>
  <si>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</si>
  <si>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</si>
  <si>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</si>
  <si>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</si>
  <si>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</si>
  <si>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</si>
  <si>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</si>
  <si>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</si>
  <si>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</si>
  <si>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</si>
  <si>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</si>
  <si>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</si>
  <si>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</si>
  <si>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</si>
  <si>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</si>
  <si>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</si>
  <si>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</si>
  <si>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</si>
  <si>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</si>
  <si>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</si>
  <si>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</si>
  <si>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</si>
  <si>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</si>
  <si>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</si>
  <si>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</si>
  <si>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</si>
  <si>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</si>
  <si>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</si>
  <si>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</si>
  <si>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</si>
  <si>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</si>
  <si>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</si>
  <si>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</si>
  <si>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</si>
  <si>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</si>
  <si>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</si>
  <si>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</si>
  <si>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</si>
  <si>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</si>
  <si>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</si>
  <si>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</si>
  <si>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</si>
  <si>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</si>
  <si>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</si>
  <si>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</si>
  <si>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</si>
  <si>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</si>
  <si>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</si>
  <si>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</si>
  <si>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</si>
  <si>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</si>
  <si>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</si>
  <si>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</si>
  <si>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</si>
  <si>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</si>
  <si>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</si>
  <si>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</si>
  <si>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</si>
  <si>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</si>
  <si>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</si>
  <si>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</si>
  <si>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</si>
  <si>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</si>
  <si>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</si>
  <si>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</si>
  <si>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</si>
  <si>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</si>
  <si>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</si>
  <si>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</si>
  <si>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</si>
  <si>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</si>
  <si>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</si>
  <si>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</si>
  <si>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</si>
  <si>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</si>
  <si>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</si>
  <si>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</si>
  <si>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</si>
  <si>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</si>
  <si>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</si>
  <si>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</si>
  <si>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</si>
  <si>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</si>
  <si>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</si>
  <si>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</si>
  <si>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</si>
  <si>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</si>
  <si>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</si>
  <si>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</si>
  <si>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</si>
  <si>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</si>
  <si>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</si>
  <si>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</si>
  <si>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</si>
  <si>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</si>
  <si>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</si>
  <si>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</si>
  <si>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</si>
  <si>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</si>
  <si>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</si>
  <si>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</si>
  <si>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</si>
  <si>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</si>
  <si>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</si>
  <si>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</si>
  <si>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</si>
  <si>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</si>
  <si>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</si>
  <si>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</si>
  <si>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</si>
  <si>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</si>
  <si>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</si>
  <si>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</si>
  <si>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</si>
  <si>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</si>
  <si>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</si>
  <si>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</si>
  <si>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</si>
  <si>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</si>
  <si>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</si>
  <si>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</si>
  <si>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</si>
  <si>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</si>
  <si>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</si>
  <si>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</si>
  <si>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</si>
  <si>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</si>
  <si>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</si>
  <si>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</si>
  <si>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</si>
  <si>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</si>
  <si>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</si>
  <si>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</si>
  <si>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</si>
  <si>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</si>
  <si>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</si>
  <si>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</si>
  <si>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</si>
  <si>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</si>
  <si>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</si>
  <si>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</si>
  <si>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</si>
  <si>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</si>
  <si>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</si>
  <si>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</si>
  <si>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</si>
  <si>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</si>
  <si>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</si>
  <si>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</si>
  <si>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</si>
  <si>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</si>
  <si>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</si>
  <si>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</si>
  <si>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</si>
  <si>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</si>
  <si>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</si>
  <si>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</si>
  <si>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</si>
  <si>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</si>
  <si>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</si>
  <si>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</si>
  <si>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</si>
  <si>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</si>
  <si>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</si>
  <si>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</si>
  <si>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</si>
  <si>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</si>
  <si>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</si>
  <si>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</si>
  <si>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</si>
  <si>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</si>
  <si>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</si>
  <si>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</si>
  <si>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</si>
  <si>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</si>
  <si>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</si>
  <si>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</si>
  <si>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</si>
  <si>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</si>
  <si>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</si>
  <si>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</si>
  <si>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</si>
  <si>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</si>
  <si>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</si>
  <si>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</si>
  <si>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</si>
  <si>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</si>
  <si>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</si>
  <si>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</si>
  <si>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</si>
  <si>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</si>
  <si>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</si>
  <si>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</si>
  <si>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</si>
  <si>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</si>
  <si>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</si>
  <si>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</si>
  <si>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</si>
  <si>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</si>
  <si>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</si>
  <si>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</si>
  <si>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</si>
  <si>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</si>
  <si>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</si>
  <si>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</si>
  <si>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</si>
  <si>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</si>
  <si>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</si>
  <si>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</si>
  <si>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</si>
  <si>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</si>
  <si>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</si>
  <si>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</si>
  <si>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</si>
  <si>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</si>
  <si>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</si>
  <si>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</si>
  <si>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</si>
  <si>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</si>
  <si>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</si>
  <si>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</si>
  <si>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</si>
  <si>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</si>
  <si>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</si>
  <si>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</si>
  <si>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</si>
  <si>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</si>
  <si>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</si>
  <si>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</si>
  <si>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</si>
  <si>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</si>
  <si>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</si>
  <si>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</si>
  <si>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</si>
  <si>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</si>
  <si>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</si>
  <si>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</si>
  <si>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</si>
  <si>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</si>
  <si>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</si>
  <si>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</si>
  <si>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</si>
  <si>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</si>
  <si>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</si>
  <si>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</si>
  <si>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</si>
  <si>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</si>
  <si>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</si>
  <si>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</si>
  <si>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</si>
  <si>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</si>
  <si>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</si>
  <si>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</si>
  <si>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</si>
  <si>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</si>
  <si>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</si>
  <si>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</si>
  <si>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</si>
  <si>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</si>
  <si>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</si>
  <si>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</si>
  <si>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</si>
  <si>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</si>
  <si>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</si>
  <si>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</si>
  <si>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</si>
  <si>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</si>
  <si>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</si>
  <si>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</si>
  <si>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</si>
  <si>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</si>
  <si>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</si>
  <si>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</si>
  <si>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</si>
  <si>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</si>
  <si>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</si>
  <si>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</si>
  <si>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</si>
  <si>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</si>
  <si>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</si>
  <si>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</si>
  <si>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</si>
  <si>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</si>
  <si>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</si>
  <si>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</si>
  <si>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</si>
  <si>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</si>
  <si>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</si>
  <si>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</si>
  <si>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</si>
  <si>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</si>
  <si>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</si>
  <si>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</si>
  <si>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</si>
  <si>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</si>
  <si>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</si>
  <si>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</si>
  <si>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</si>
  <si>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</si>
  <si>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</si>
  <si>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</si>
  <si>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</si>
  <si>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</si>
  <si>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</si>
  <si>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</si>
  <si>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</si>
  <si>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</si>
  <si>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</si>
  <si>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</si>
  <si>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</si>
  <si>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</si>
  <si>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</si>
  <si>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</si>
  <si>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</si>
  <si>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</si>
  <si>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</si>
  <si>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</si>
  <si>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</si>
  <si>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</si>
  <si>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</si>
  <si>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</si>
  <si>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</si>
  <si>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</si>
  <si>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</si>
  <si>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</si>
  <si>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</si>
  <si>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</si>
  <si>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</si>
  <si>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</si>
  <si>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</si>
  <si>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</si>
  <si>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</si>
  <si>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</si>
  <si>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</si>
  <si>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</si>
  <si>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</si>
  <si>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</si>
  <si>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</si>
  <si>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</si>
  <si>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</si>
  <si>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</si>
  <si>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</si>
  <si>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</si>
  <si>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</si>
  <si>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</si>
  <si>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</si>
  <si>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</si>
  <si>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</si>
  <si>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</si>
  <si>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</si>
  <si>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</si>
  <si>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</si>
  <si>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</si>
  <si>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</si>
  <si>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</si>
  <si>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</si>
  <si>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</si>
  <si>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</si>
  <si>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</si>
  <si>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</si>
  <si>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</si>
  <si>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</si>
  <si>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</si>
  <si>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</si>
  <si>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</si>
  <si>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</si>
  <si>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</si>
  <si>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</si>
  <si>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</si>
  <si>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</si>
  <si>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</si>
  <si>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</si>
  <si>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</si>
  <si>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</si>
  <si>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</si>
  <si>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</si>
  <si>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</si>
  <si>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</si>
  <si>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</si>
  <si>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</si>
  <si>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</si>
  <si>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</si>
  <si>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</si>
  <si>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</si>
  <si>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</si>
  <si>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</si>
  <si>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</si>
  <si>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</si>
  <si>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</si>
  <si>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</si>
  <si>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</si>
  <si>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</si>
  <si>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</si>
  <si>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</si>
  <si>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</si>
  <si>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</si>
  <si>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</si>
  <si>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</si>
  <si>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</si>
  <si>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</si>
  <si>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</si>
  <si>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</si>
  <si>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</si>
  <si>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</si>
  <si>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</si>
  <si>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</si>
  <si>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</si>
  <si>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</si>
  <si>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</si>
  <si>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</si>
  <si>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</si>
  <si>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</si>
  <si>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</si>
  <si>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</si>
  <si>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</si>
  <si>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</si>
  <si>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</si>
  <si>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</si>
  <si>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</si>
  <si>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</si>
  <si>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</si>
  <si>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</si>
  <si>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</si>
  <si>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</si>
  <si>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</si>
  <si>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</si>
  <si>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</si>
  <si>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</si>
  <si>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</si>
  <si>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</si>
  <si>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</si>
  <si>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</si>
  <si>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</si>
  <si>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</si>
  <si>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</si>
  <si>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</si>
  <si>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</si>
  <si>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</si>
  <si>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</si>
  <si>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</si>
  <si>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</si>
  <si>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</si>
  <si>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</si>
  <si>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</si>
  <si>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</si>
  <si>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</si>
  <si>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</si>
  <si>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</si>
  <si>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</si>
  <si>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</si>
  <si>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</si>
  <si>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</si>
  <si>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</si>
  <si>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</si>
  <si>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</si>
  <si>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</si>
  <si>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</si>
  <si>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</si>
  <si>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</si>
  <si>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</si>
  <si>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</si>
  <si>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</si>
  <si>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</si>
  <si>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</si>
  <si>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</si>
  <si>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</si>
  <si>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</si>
  <si>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</si>
  <si>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</si>
  <si>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</si>
  <si>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</si>
  <si>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</si>
  <si>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</si>
  <si>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</si>
  <si>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</si>
  <si>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</si>
  <si>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</si>
  <si>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</si>
  <si>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</si>
  <si>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</si>
  <si>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</si>
  <si>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</si>
  <si>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</si>
  <si>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</si>
  <si>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</si>
  <si>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</si>
  <si>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</si>
  <si>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</si>
  <si>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</si>
  <si>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</si>
  <si>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</si>
  <si>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</si>
  <si>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</si>
  <si>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</si>
  <si>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</si>
  <si>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</si>
  <si>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</si>
  <si>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</si>
  <si>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</si>
  <si>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</si>
  <si>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</si>
  <si>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</si>
  <si>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</si>
  <si>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</si>
  <si>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</si>
  <si>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</si>
  <si>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</si>
  <si>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</si>
  <si>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</si>
  <si>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</si>
  <si>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</si>
  <si>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</si>
  <si>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</si>
  <si>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</si>
  <si>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</si>
  <si>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</si>
  <si>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</si>
  <si>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</si>
  <si>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</si>
  <si>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</si>
  <si>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</si>
  <si>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</si>
  <si>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</si>
  <si>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</si>
  <si>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</si>
  <si>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</si>
  <si>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</si>
  <si>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</si>
  <si>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</si>
  <si>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</si>
  <si>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</si>
  <si>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</si>
  <si>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</si>
  <si>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</si>
  <si>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</si>
  <si>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</si>
  <si>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</si>
  <si>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</si>
  <si>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</si>
  <si>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</si>
  <si>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</si>
  <si>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</si>
  <si>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</si>
  <si>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</si>
  <si>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</si>
  <si>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</si>
  <si>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</si>
  <si>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</si>
  <si>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</si>
  <si>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</si>
  <si>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</si>
  <si>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</si>
  <si>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</si>
  <si>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</si>
  <si>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</si>
  <si>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</si>
  <si>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</si>
  <si>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</si>
  <si>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</si>
  <si>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</si>
  <si>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</si>
  <si>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</si>
  <si>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</si>
  <si>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</si>
  <si>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</si>
  <si>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</si>
  <si>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</si>
  <si>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</si>
  <si>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</si>
  <si>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</si>
  <si>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</si>
  <si>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</si>
  <si>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</si>
  <si>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</si>
  <si>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</si>
  <si>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</si>
  <si>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</si>
  <si>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</si>
  <si>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</si>
  <si>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</si>
  <si>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</si>
  <si>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</si>
  <si>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</si>
  <si>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</si>
  <si>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</si>
  <si>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</si>
  <si>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</si>
  <si>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</si>
  <si>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</si>
  <si>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</si>
  <si>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</si>
  <si>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</si>
  <si>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</si>
  <si>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</si>
  <si>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</si>
  <si>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</si>
  <si>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</si>
  <si>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</si>
  <si>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</si>
  <si>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</si>
  <si>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</si>
  <si>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</si>
  <si>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</si>
  <si>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</si>
  <si>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</si>
  <si>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</si>
  <si>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</si>
  <si>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</si>
  <si>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</si>
  <si>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</si>
  <si>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</si>
  <si>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</si>
  <si>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</si>
  <si>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</si>
  <si>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</si>
  <si>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</si>
  <si>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</si>
  <si>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</si>
  <si>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</si>
  <si>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</si>
  <si>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</si>
  <si>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</si>
  <si>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</si>
  <si>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</si>
  <si>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</si>
  <si>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</si>
  <si>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</si>
  <si>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</si>
  <si>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</si>
  <si>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</si>
  <si>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</si>
  <si>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</si>
  <si>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</si>
  <si>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</si>
  <si>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</si>
  <si>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</si>
  <si>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</si>
  <si>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</si>
  <si>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</si>
  <si>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</si>
  <si>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</si>
  <si>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</si>
  <si>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</si>
  <si>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</si>
  <si>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</si>
  <si>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</si>
  <si>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</si>
  <si>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</si>
  <si>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</si>
  <si>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</si>
  <si>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</si>
  <si>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</si>
  <si>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</si>
  <si>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</si>
  <si>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</si>
  <si>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</si>
  <si>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</si>
  <si>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</si>
  <si>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</si>
  <si>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</si>
  <si>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</si>
  <si>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</si>
  <si>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</si>
  <si>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</si>
  <si>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</si>
  <si>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</si>
  <si>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</si>
  <si>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</si>
  <si>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</si>
  <si>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</si>
  <si>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</si>
  <si>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</si>
  <si>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</si>
  <si>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</si>
  <si>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</si>
  <si>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</si>
  <si>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</si>
  <si>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</si>
  <si>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</si>
  <si>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</si>
  <si>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</si>
  <si>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</si>
  <si>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</si>
  <si>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</si>
  <si>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</si>
  <si>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</si>
  <si>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</si>
  <si>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</si>
  <si>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</si>
  <si>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</si>
  <si>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</si>
  <si>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</si>
  <si>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</si>
  <si>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</si>
  <si>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</si>
  <si>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</si>
  <si>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</si>
  <si>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</si>
  <si>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</si>
  <si>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</si>
  <si>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</si>
  <si>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</si>
  <si>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</si>
  <si>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</si>
  <si>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</si>
  <si>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</si>
  <si>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</si>
  <si>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</si>
  <si>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</si>
  <si>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</si>
  <si>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</si>
  <si>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</si>
  <si>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</si>
  <si>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</si>
  <si>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</si>
  <si>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</si>
  <si>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</si>
  <si>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</si>
  <si>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</si>
  <si>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</si>
  <si>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</si>
  <si>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</si>
  <si>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</si>
  <si>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</si>
  <si>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</si>
  <si>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</si>
  <si>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</si>
  <si>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</si>
  <si>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</si>
  <si>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</si>
  <si>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</si>
  <si>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</si>
  <si>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</si>
  <si>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</si>
  <si>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</si>
  <si>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</si>
  <si>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</si>
  <si>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</si>
  <si>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</si>
  <si>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</si>
  <si>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</si>
  <si>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</si>
  <si>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</si>
  <si>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</si>
  <si>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</si>
  <si>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</si>
  <si>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</si>
  <si>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</si>
  <si>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</si>
  <si>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</si>
  <si>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</si>
  <si>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</si>
  <si>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</si>
  <si>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</si>
  <si>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</si>
  <si>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</si>
  <si>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</si>
  <si>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</si>
  <si>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</si>
  <si>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</si>
  <si>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</si>
  <si>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</si>
  <si>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</si>
  <si>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</si>
  <si>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</si>
  <si>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</si>
  <si>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</si>
  <si>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</si>
  <si>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</si>
  <si>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</si>
  <si>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</si>
  <si>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</si>
  <si>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</si>
  <si>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</si>
  <si>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</si>
  <si>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</si>
  <si>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</si>
  <si>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</si>
  <si>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</si>
  <si>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</si>
  <si>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</si>
  <si>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</si>
  <si>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</si>
  <si>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</si>
  <si>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</si>
  <si>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</si>
  <si>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</si>
  <si>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</si>
  <si>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</si>
  <si>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</si>
  <si>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</si>
  <si>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</si>
  <si>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</si>
  <si>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</si>
  <si>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</si>
  <si>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</si>
  <si>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</si>
  <si>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</si>
  <si>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</si>
  <si>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</si>
  <si>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</si>
  <si>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</si>
  <si>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</si>
  <si>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</si>
  <si>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</si>
  <si>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</si>
  <si>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</si>
  <si>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</si>
  <si>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</si>
  <si>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</si>
  <si>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</si>
  <si>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</si>
  <si>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</si>
  <si>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</si>
  <si>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</si>
  <si>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</si>
  <si>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</si>
  <si>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</si>
  <si>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</si>
  <si>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</si>
  <si>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</si>
  <si>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</si>
  <si>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</si>
  <si>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</si>
  <si>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</si>
  <si>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</si>
  <si>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</si>
  <si>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</si>
  <si>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</si>
  <si>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</si>
  <si>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</si>
  <si>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</si>
  <si>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</si>
  <si>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</si>
  <si>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</si>
  <si>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</si>
  <si>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</si>
  <si>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</si>
  <si>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</si>
  <si>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</si>
  <si>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</si>
  <si>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</si>
  <si>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</si>
  <si>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</si>
  <si>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</si>
  <si>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</si>
  <si>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</si>
  <si>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</si>
  <si>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</si>
  <si>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</si>
  <si>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</si>
  <si>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</si>
  <si>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</si>
  <si>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</si>
  <si>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</si>
  <si>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</si>
  <si>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</si>
  <si>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</si>
  <si>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</si>
  <si>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</si>
  <si>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</si>
  <si>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</si>
  <si>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</si>
  <si>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</si>
  <si>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</si>
  <si>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</si>
  <si>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</si>
  <si>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</si>
  <si>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</si>
  <si>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</si>
  <si>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</si>
  <si>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</si>
  <si>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</si>
  <si>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</si>
  <si>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</si>
  <si>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</si>
  <si>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</si>
  <si>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</si>
  <si>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</si>
  <si>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</si>
  <si>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</si>
  <si>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</si>
  <si>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</si>
  <si>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</si>
  <si>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</si>
  <si>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</si>
  <si>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</si>
  <si>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</si>
  <si>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</si>
  <si>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</si>
  <si>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</si>
  <si>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</si>
  <si>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</si>
  <si>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</si>
  <si>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</si>
  <si>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</si>
  <si>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</si>
  <si>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</si>
  <si>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</si>
  <si>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</si>
  <si>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</si>
  <si>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</si>
  <si>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</si>
  <si>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</si>
  <si>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</si>
  <si>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</si>
  <si>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</si>
  <si>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</si>
  <si>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</si>
  <si>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</si>
  <si>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</si>
  <si>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</si>
  <si>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</si>
  <si>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</si>
  <si>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</si>
  <si>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</si>
  <si>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</si>
  <si>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</si>
  <si>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</si>
  <si>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</si>
  <si>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</si>
  <si>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</si>
  <si>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</si>
  <si>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</si>
  <si>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</si>
  <si>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</si>
  <si>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</si>
  <si>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</si>
  <si>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</si>
  <si>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</si>
  <si>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</si>
  <si>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</si>
  <si>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</si>
  <si>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</si>
  <si>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</si>
  <si>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</si>
  <si>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</si>
  <si>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</si>
  <si>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</si>
  <si>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</si>
  <si>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</si>
  <si>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</si>
  <si>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</si>
  <si>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</si>
  <si>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</si>
  <si>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</si>
  <si>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</si>
  <si>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</si>
  <si>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</si>
  <si>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</si>
  <si>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</si>
  <si>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</si>
  <si>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</si>
  <si>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</si>
  <si>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</si>
  <si>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</si>
  <si>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</si>
  <si>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</si>
  <si>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</si>
  <si>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</si>
  <si>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</si>
  <si>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</si>
  <si>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</si>
  <si>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</si>
  <si>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</si>
  <si>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</si>
  <si>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</si>
  <si>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</si>
  <si>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</si>
  <si>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</si>
  <si>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</si>
  <si>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</si>
  <si>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</si>
  <si>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</si>
  <si>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</si>
  <si>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</si>
  <si>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</si>
  <si>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</si>
  <si>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</si>
  <si>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</si>
  <si>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</si>
  <si>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</si>
  <si>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</si>
  <si>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</si>
  <si>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</si>
  <si>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</si>
  <si>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</si>
  <si>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</si>
  <si>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</si>
  <si>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</si>
  <si>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</si>
  <si>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</si>
  <si>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</si>
  <si>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</si>
  <si>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</si>
  <si>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</si>
  <si>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</si>
  <si>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</si>
  <si>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</si>
  <si>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</si>
  <si>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</si>
  <si>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</si>
  <si>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</si>
  <si>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</si>
  <si>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</si>
  <si>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</si>
  <si>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</si>
  <si>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</si>
  <si>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</si>
  <si>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</si>
  <si>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</si>
  <si>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</si>
  <si>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</si>
  <si>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</si>
  <si>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</si>
  <si>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</si>
  <si>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</si>
  <si>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</si>
  <si>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</si>
  <si>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</si>
  <si>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</si>
  <si>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</si>
  <si>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</si>
  <si>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</si>
  <si>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</si>
  <si>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</si>
  <si>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</si>
  <si>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</si>
  <si>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</si>
  <si>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</si>
  <si>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</si>
  <si>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</si>
  <si>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</si>
  <si>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</si>
  <si>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</si>
  <si>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</si>
  <si>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</si>
  <si>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</si>
  <si>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</si>
  <si>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</si>
  <si>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</si>
  <si>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</si>
  <si>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</si>
  <si>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</si>
  <si>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</si>
  <si>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</si>
  <si>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</si>
  <si>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</si>
  <si>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</si>
  <si>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</si>
  <si>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</si>
  <si>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</si>
  <si>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</si>
  <si>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</si>
  <si>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</si>
  <si>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</si>
  <si>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</si>
  <si>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</si>
  <si>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</si>
  <si>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</si>
  <si>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</si>
  <si>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</si>
  <si>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</si>
  <si>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</si>
  <si>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</si>
  <si>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</si>
  <si>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</si>
  <si>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</si>
  <si>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</si>
  <si>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</si>
  <si>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</si>
  <si>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</si>
  <si>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</si>
  <si>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</si>
  <si>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</si>
  <si>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</si>
  <si>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</si>
  <si>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</si>
  <si>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</si>
  <si>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</si>
  <si>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</si>
  <si>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</si>
  <si>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</si>
  <si>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</si>
  <si>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</si>
  <si>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</si>
  <si>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</si>
  <si>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</si>
  <si>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</si>
  <si>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</si>
  <si>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</si>
  <si>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</si>
  <si>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</si>
  <si>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</si>
  <si>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</si>
  <si>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</si>
  <si>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</si>
  <si>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</si>
  <si>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</si>
  <si>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</si>
  <si>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</si>
  <si>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</si>
  <si>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</si>
  <si>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</si>
  <si>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</si>
  <si>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</si>
  <si>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</si>
  <si>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</si>
  <si>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</si>
  <si>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</si>
  <si>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</si>
  <si>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</si>
  <si>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</si>
  <si>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</si>
  <si>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</si>
  <si>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</si>
  <si>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</si>
  <si>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</si>
  <si>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</si>
  <si>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</si>
  <si>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</si>
  <si>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</si>
  <si>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</si>
  <si>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</si>
  <si>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</si>
  <si>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</si>
  <si>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</si>
  <si>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</si>
  <si>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</si>
  <si>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</si>
  <si>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</si>
  <si>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</si>
  <si>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</si>
  <si>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</si>
  <si>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</si>
  <si>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</si>
  <si>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</si>
  <si>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</si>
  <si>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</si>
  <si>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</si>
  <si>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</si>
  <si>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</si>
  <si>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</si>
  <si>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</si>
  <si>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</si>
  <si>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</si>
  <si>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</si>
  <si>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</si>
  <si>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</si>
  <si>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</si>
  <si>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</si>
  <si>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</si>
  <si>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</si>
  <si>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</si>
  <si>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</si>
  <si>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</si>
  <si>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</si>
  <si>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</si>
  <si>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</si>
  <si>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</si>
  <si>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</si>
  <si>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</si>
  <si>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</si>
  <si>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</si>
  <si>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</si>
  <si>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</si>
  <si>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</si>
  <si>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</si>
  <si>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</si>
  <si>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</si>
  <si>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</si>
  <si>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</si>
  <si>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</si>
  <si>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</si>
  <si>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</si>
  <si>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</si>
  <si>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</si>
  <si>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</si>
  <si>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</si>
  <si>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</si>
  <si>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</si>
  <si>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</si>
  <si>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</si>
  <si>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</si>
  <si>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</si>
  <si>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</si>
  <si>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</si>
  <si>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</si>
  <si>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</si>
  <si>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</si>
  <si>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</si>
  <si>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</si>
  <si>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</si>
  <si>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</si>
  <si>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</si>
  <si>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</si>
  <si>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</si>
  <si>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</si>
  <si>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</si>
  <si>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</si>
  <si>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</si>
  <si>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</si>
  <si>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</si>
  <si>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</si>
  <si>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</si>
  <si>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</si>
  <si>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</si>
  <si>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</si>
  <si>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</si>
  <si>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</si>
  <si>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</si>
  <si>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</si>
  <si>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</si>
  <si>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</si>
  <si>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</si>
  <si>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</si>
  <si>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</si>
  <si>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</si>
  <si>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</si>
  <si>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</si>
  <si>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</si>
  <si>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</si>
  <si>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</si>
  <si>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</si>
  <si>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</si>
  <si>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</si>
  <si>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</si>
  <si>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</si>
  <si>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</si>
  <si>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</si>
  <si>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</si>
  <si>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</si>
  <si>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</si>
  <si>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</si>
  <si>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</si>
  <si>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</si>
  <si>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</si>
  <si>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</si>
  <si>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</si>
  <si>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</si>
  <si>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</si>
  <si>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</si>
  <si>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</si>
  <si>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</si>
  <si>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</si>
  <si>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</si>
  <si>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</si>
  <si>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</si>
  <si>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</si>
  <si>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</si>
  <si>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</si>
  <si>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</si>
  <si>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</si>
  <si>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</si>
  <si>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</si>
  <si>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</si>
  <si>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</si>
  <si>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</si>
  <si>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</si>
  <si>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</si>
  <si>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</si>
  <si>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</si>
  <si>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</si>
  <si>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</si>
  <si>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</si>
  <si>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</si>
  <si>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</si>
  <si>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</si>
  <si>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</si>
  <si>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</si>
  <si>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</si>
  <si>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</si>
  <si>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</si>
  <si>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</si>
  <si>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</si>
  <si>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</si>
  <si>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</si>
  <si>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</si>
  <si>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</si>
  <si>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</si>
  <si>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</si>
  <si>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</si>
  <si>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</si>
  <si>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</si>
  <si>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</si>
  <si>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</si>
  <si>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</si>
  <si>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</si>
  <si>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</si>
  <si>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</si>
  <si>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</si>
  <si>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</si>
  <si>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</si>
  <si>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</si>
  <si>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</si>
  <si>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</si>
  <si>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</si>
  <si>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</si>
  <si>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</si>
  <si>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</si>
  <si>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</si>
  <si>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</si>
  <si>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</si>
  <si>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</si>
  <si>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</si>
  <si>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</si>
  <si>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</si>
  <si>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</si>
  <si>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</si>
  <si>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</si>
  <si>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</si>
  <si>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</si>
  <si>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</si>
  <si>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</si>
  <si>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</si>
  <si>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</si>
  <si>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</si>
  <si>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</si>
  <si>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</si>
  <si>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</si>
  <si>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</si>
  <si>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</si>
  <si>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</si>
  <si>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</si>
  <si>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</si>
  <si>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</si>
  <si>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</si>
  <si>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</si>
  <si>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</si>
  <si>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</si>
  <si>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</si>
  <si>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</si>
  <si>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</si>
  <si>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</si>
  <si>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</si>
  <si>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</si>
  <si>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</si>
  <si>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</si>
  <si>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</si>
  <si>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</si>
  <si>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</si>
  <si>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</si>
  <si>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</si>
  <si>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</si>
  <si>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</si>
  <si>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</si>
  <si>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</si>
  <si>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</si>
  <si>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</si>
  <si>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</si>
  <si>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</si>
  <si>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</si>
  <si>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</si>
  <si>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</si>
  <si>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</si>
  <si>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</si>
  <si>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</si>
  <si>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</si>
  <si>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</si>
  <si>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</si>
  <si>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</si>
  <si>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</si>
  <si>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</si>
  <si>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</si>
  <si>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</si>
  <si>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</si>
  <si>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</si>
  <si>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</si>
  <si>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</si>
  <si>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</si>
  <si>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</si>
  <si>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</si>
  <si>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</si>
  <si>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</si>
  <si>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</si>
  <si>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</si>
  <si>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</si>
  <si>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</si>
  <si>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</si>
  <si>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</si>
  <si>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</si>
  <si>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</si>
  <si>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</si>
  <si>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</si>
  <si>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</si>
  <si>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</si>
  <si>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</si>
  <si>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</si>
  <si>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</si>
  <si>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</si>
  <si>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</si>
  <si>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</si>
  <si>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</si>
  <si>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</si>
  <si>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</si>
  <si>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</si>
  <si>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</si>
  <si>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</si>
  <si>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</si>
  <si>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</si>
  <si>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</si>
  <si>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</si>
  <si>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</si>
  <si>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</si>
  <si>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</si>
  <si>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</si>
  <si>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</si>
  <si>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</si>
  <si>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</si>
  <si>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</si>
  <si>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</si>
  <si>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</si>
  <si>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</si>
  <si>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</si>
  <si>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</si>
  <si>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</si>
  <si>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</si>
  <si>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</si>
  <si>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</si>
  <si>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</si>
  <si>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</si>
  <si>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</si>
  <si>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</si>
  <si>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</si>
  <si>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</si>
  <si>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</si>
  <si>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</si>
  <si>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</si>
  <si>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</si>
  <si>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</si>
  <si>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</si>
  <si>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</si>
  <si>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</si>
  <si>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</si>
  <si>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</si>
  <si>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</si>
  <si>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</si>
  <si>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</si>
  <si>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</si>
  <si>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</si>
  <si>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</si>
  <si>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</si>
  <si>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</si>
  <si>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</si>
  <si>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</si>
  <si>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</si>
  <si>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</si>
  <si>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</si>
  <si>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</si>
  <si>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</si>
  <si>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</si>
  <si>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</si>
  <si>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</si>
  <si>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</si>
  <si>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</si>
  <si>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</si>
  <si>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</si>
  <si>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</si>
  <si>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</si>
  <si>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</si>
  <si>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</si>
  <si>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</si>
  <si>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</si>
  <si>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</si>
  <si>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</si>
  <si>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</si>
  <si>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</si>
  <si>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</si>
  <si>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</si>
  <si>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</si>
  <si>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</si>
  <si>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</si>
  <si>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</si>
  <si>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</si>
  <si>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</si>
  <si>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</si>
  <si>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</si>
  <si>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</si>
  <si>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</si>
  <si>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</si>
  <si>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</si>
  <si>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</si>
  <si>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</si>
  <si>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</si>
  <si>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</si>
  <si>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</si>
  <si>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</si>
  <si>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</si>
  <si>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</si>
  <si>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</si>
  <si>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</si>
  <si>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</si>
  <si>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</si>
  <si>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</si>
  <si>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</si>
  <si>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</si>
  <si>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</si>
  <si>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</si>
  <si>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</si>
  <si>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</si>
  <si>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</si>
  <si>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</si>
  <si>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</si>
  <si>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</si>
  <si>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</si>
  <si>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</si>
  <si>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</si>
  <si>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</si>
  <si>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</si>
  <si>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</si>
  <si>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</si>
  <si>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</si>
  <si>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</si>
  <si>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</si>
  <si>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</si>
  <si>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</si>
  <si>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</si>
  <si>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</si>
  <si>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</si>
  <si>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</si>
  <si>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</si>
  <si>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</si>
  <si>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</si>
  <si>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</si>
  <si>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</si>
  <si>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</si>
  <si>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</si>
  <si>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</si>
  <si>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</si>
  <si>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</si>
  <si>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</si>
  <si>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</si>
  <si>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</si>
  <si>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</si>
  <si>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</si>
  <si>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</si>
  <si>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</si>
  <si>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</si>
  <si>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</si>
  <si>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</si>
  <si>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</si>
  <si>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</si>
  <si>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</si>
  <si>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</si>
  <si>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</si>
  <si>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</si>
  <si>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</si>
  <si>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</si>
  <si>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</si>
  <si>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</si>
  <si>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</si>
  <si>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</si>
  <si>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</si>
  <si>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</si>
  <si>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</si>
  <si>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</si>
  <si>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</si>
  <si>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</si>
  <si>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</si>
  <si>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</si>
  <si>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</si>
  <si>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</si>
  <si>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</si>
  <si>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</si>
  <si>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</si>
  <si>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</si>
  <si>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</si>
  <si>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</si>
  <si>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</si>
  <si>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</si>
  <si>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</si>
  <si>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</si>
  <si>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</si>
  <si>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</si>
  <si>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</si>
  <si>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</si>
  <si>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</si>
  <si>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</si>
  <si>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</si>
  <si>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</si>
  <si>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</si>
  <si>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</si>
  <si>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</si>
  <si>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</si>
  <si>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</si>
  <si>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</si>
  <si>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</si>
  <si>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</si>
  <si>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</si>
  <si>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</si>
  <si>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</si>
  <si>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</si>
  <si>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</si>
  <si>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</si>
  <si>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</si>
  <si>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</si>
  <si>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</si>
  <si>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</si>
  <si>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</si>
  <si>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</si>
  <si>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</si>
  <si>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</si>
  <si>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</si>
  <si>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</si>
  <si>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</si>
  <si>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</si>
  <si>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</si>
  <si>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</si>
  <si>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</si>
  <si>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</si>
  <si>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</si>
  <si>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</si>
  <si>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</si>
  <si>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</si>
  <si>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</si>
  <si>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</si>
  <si>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</si>
  <si>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</si>
  <si>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</si>
  <si>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</si>
  <si>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</si>
  <si>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</si>
  <si>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</si>
  <si>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</si>
  <si>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</si>
  <si>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</si>
  <si>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</si>
  <si>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</si>
  <si>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</si>
  <si>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</si>
  <si>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</si>
  <si>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</si>
  <si>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</si>
  <si>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</si>
  <si>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</si>
  <si>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</si>
  <si>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</si>
  <si>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</si>
  <si>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</si>
  <si>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</si>
  <si>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</si>
  <si>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</si>
  <si>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</si>
  <si>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</si>
  <si>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</si>
  <si>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</si>
  <si>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</si>
  <si>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</si>
  <si>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</si>
  <si>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</si>
  <si>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</si>
  <si>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</si>
  <si>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</si>
  <si>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</si>
  <si>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</si>
  <si>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</si>
  <si>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</si>
  <si>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</si>
  <si>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</si>
  <si>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</si>
  <si>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</si>
  <si>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</si>
  <si>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</si>
  <si>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</si>
  <si>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</si>
  <si>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</si>
  <si>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</si>
  <si>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</si>
  <si>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</si>
  <si>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</si>
  <si>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</si>
  <si>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</si>
  <si>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</si>
  <si>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</si>
  <si>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</si>
  <si>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</si>
  <si>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</si>
  <si>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</si>
  <si>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</si>
  <si>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</si>
  <si>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</si>
  <si>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</si>
  <si>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</si>
  <si>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</si>
  <si>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</si>
  <si>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</si>
  <si>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</si>
  <si>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</si>
  <si>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</si>
  <si>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</si>
  <si>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</si>
  <si>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</si>
  <si>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</si>
  <si>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</si>
  <si>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</si>
  <si>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</si>
  <si>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</si>
  <si>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</si>
  <si>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</si>
  <si>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</si>
  <si>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</si>
  <si>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</si>
  <si>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</si>
  <si>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</si>
  <si>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</si>
  <si>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</si>
  <si>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</si>
  <si>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</si>
  <si>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</si>
  <si>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</si>
  <si>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</si>
  <si>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</si>
  <si>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</si>
  <si>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</si>
  <si>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</si>
  <si>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</si>
  <si>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</si>
  <si>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</si>
  <si>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</si>
  <si>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</si>
  <si>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</si>
  <si>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</si>
  <si>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</si>
  <si>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</si>
  <si>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</si>
  <si>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</si>
  <si>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</si>
  <si>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</si>
  <si>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</si>
  <si>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</si>
  <si>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</si>
  <si>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</si>
  <si>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</si>
  <si>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</si>
  <si>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</si>
  <si>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</si>
  <si>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</si>
  <si>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</si>
  <si>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</si>
  <si>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</si>
  <si>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</si>
  <si>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</si>
  <si>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</si>
  <si>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</si>
  <si>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</si>
  <si>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</si>
  <si>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</si>
  <si>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</si>
  <si>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</si>
  <si>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</si>
  <si>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</si>
  <si>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</si>
  <si>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</si>
  <si>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</si>
  <si>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</si>
  <si>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</si>
  <si>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</si>
  <si>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</si>
  <si>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</si>
  <si>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</si>
  <si>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</si>
  <si>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</si>
  <si>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</si>
  <si>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</si>
  <si>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</si>
  <si>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</si>
  <si>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</si>
  <si>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</si>
  <si>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</si>
  <si>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</si>
  <si>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</si>
  <si>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</si>
  <si>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</si>
  <si>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</si>
  <si>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</si>
  <si>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</si>
  <si>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</si>
  <si>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</si>
  <si>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</si>
  <si>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</si>
  <si>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</si>
  <si>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</si>
  <si>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</si>
  <si>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</si>
  <si>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</si>
  <si>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</si>
  <si>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</si>
  <si>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</si>
  <si>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</si>
  <si>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</si>
  <si>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</si>
  <si>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</si>
  <si>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</si>
  <si>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</si>
  <si>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</si>
  <si>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</si>
  <si>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</si>
  <si>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</si>
  <si>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</si>
  <si>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</si>
  <si>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</si>
  <si>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</si>
  <si>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</si>
  <si>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</si>
  <si>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</si>
  <si>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</si>
  <si>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</si>
  <si>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</si>
  <si>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</si>
  <si>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</si>
  <si>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</si>
  <si>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</si>
  <si>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</si>
  <si>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</si>
  <si>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</si>
  <si>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</si>
  <si>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</si>
  <si>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</si>
  <si>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</si>
  <si>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</si>
  <si>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</si>
  <si>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</si>
  <si>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</si>
  <si>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</si>
  <si>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</si>
  <si>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</si>
  <si>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</si>
  <si>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</si>
  <si>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</si>
  <si>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</si>
  <si>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</si>
  <si>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</si>
  <si>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</si>
  <si>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</si>
  <si>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</si>
  <si>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</si>
  <si>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</si>
  <si>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</si>
  <si>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</si>
  <si>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</si>
  <si>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</si>
  <si>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</si>
  <si>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</si>
  <si>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</si>
  <si>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</si>
  <si>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</si>
  <si>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</si>
  <si>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</si>
  <si>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</si>
  <si>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</si>
  <si>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</si>
  <si>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</si>
  <si>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</si>
  <si>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</si>
  <si>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</si>
  <si>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</si>
  <si>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</si>
  <si>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</si>
  <si>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</si>
  <si>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</si>
  <si>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</si>
  <si>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</si>
  <si>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</si>
  <si>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</si>
  <si>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</si>
  <si>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</si>
  <si>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</si>
  <si>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</si>
  <si>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</si>
  <si>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</si>
  <si>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</si>
  <si>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</si>
  <si>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</si>
  <si>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</si>
  <si>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</si>
  <si>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</si>
  <si>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</si>
  <si>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</si>
  <si>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</si>
  <si>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</si>
  <si>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</si>
  <si>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</si>
  <si>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</si>
  <si>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</si>
  <si>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</si>
  <si>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</si>
  <si>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</si>
  <si>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</si>
  <si>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</si>
  <si>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</si>
  <si>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</si>
  <si>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</si>
  <si>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</si>
  <si>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</si>
  <si>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</si>
  <si>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</si>
  <si>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</si>
  <si>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</si>
  <si>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</si>
  <si>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</si>
  <si>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</si>
  <si>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</si>
  <si>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</si>
  <si>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</si>
  <si>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</si>
  <si>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</si>
  <si>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</si>
  <si>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</si>
  <si>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</si>
  <si>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</si>
  <si>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</si>
  <si>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</si>
  <si>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</si>
  <si>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</si>
  <si>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</si>
  <si>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</si>
  <si>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</si>
  <si>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</si>
  <si>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</si>
  <si>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</si>
  <si>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</si>
  <si>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</si>
  <si>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</si>
  <si>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</si>
  <si>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</si>
  <si>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</si>
  <si>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</si>
  <si>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</si>
  <si>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</si>
  <si>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</si>
  <si>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</si>
  <si>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</si>
  <si>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</si>
  <si>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</si>
  <si>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</si>
  <si>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</si>
  <si>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</si>
  <si>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</si>
  <si>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</si>
  <si>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</si>
  <si>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</si>
  <si>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</si>
  <si>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</si>
  <si>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</si>
  <si>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</si>
  <si>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</si>
  <si>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</si>
  <si>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</si>
  <si>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</si>
  <si>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</si>
  <si>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</si>
  <si>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</si>
  <si>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</si>
  <si>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</si>
  <si>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</si>
  <si>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</si>
  <si>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</si>
  <si>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</si>
  <si>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</si>
  <si>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</si>
  <si>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</si>
  <si>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</si>
  <si>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</si>
  <si>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</si>
  <si>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</si>
  <si>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</si>
  <si>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</si>
  <si>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</si>
  <si>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</si>
  <si>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</si>
  <si>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</si>
  <si>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</si>
  <si>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</si>
  <si>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</si>
  <si>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</si>
  <si>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</si>
  <si>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</si>
  <si>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</si>
  <si>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</si>
  <si>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</si>
  <si>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</si>
  <si>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</si>
  <si>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</si>
  <si>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</si>
  <si>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</si>
  <si>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</si>
  <si>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</si>
  <si>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</si>
  <si>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</si>
  <si>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</si>
  <si>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</si>
  <si>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</si>
  <si>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</si>
  <si>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</si>
  <si>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</si>
  <si>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</si>
  <si>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</si>
  <si>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</si>
  <si>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</si>
  <si>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</si>
  <si>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</si>
  <si>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</si>
  <si>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</si>
  <si>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</si>
  <si>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</si>
  <si>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</si>
  <si>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</si>
  <si>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</si>
  <si>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</si>
  <si>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</si>
  <si>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</si>
  <si>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</si>
  <si>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</si>
  <si>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</si>
  <si>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</si>
  <si>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</si>
  <si>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</si>
  <si>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</si>
  <si>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</si>
  <si>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</si>
  <si>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</si>
  <si>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</si>
  <si>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</si>
  <si>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</si>
  <si>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</si>
  <si>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</si>
  <si>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</si>
  <si>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</si>
  <si>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</si>
  <si>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</si>
  <si>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</si>
  <si>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</si>
  <si>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</si>
  <si>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</si>
  <si>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</si>
  <si>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</si>
  <si>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</si>
  <si>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</si>
  <si>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</si>
  <si>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</si>
  <si>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</si>
  <si>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</si>
  <si>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</si>
  <si>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</si>
  <si>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</si>
  <si>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</si>
  <si>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</si>
  <si>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</si>
  <si>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</si>
  <si>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</si>
  <si>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</si>
  <si>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</si>
  <si>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</si>
  <si>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</si>
  <si>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</si>
  <si>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</si>
  <si>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</si>
  <si>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</si>
  <si>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</si>
  <si>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</si>
  <si>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</si>
  <si>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</si>
  <si>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</si>
  <si>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</si>
  <si>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</si>
  <si>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</si>
  <si>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</si>
  <si>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</si>
  <si>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</si>
  <si>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</si>
  <si>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</si>
  <si>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</si>
  <si>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</si>
  <si>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</si>
  <si>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</si>
  <si>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</si>
  <si>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</si>
  <si>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</si>
  <si>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</si>
  <si>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</si>
  <si>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</si>
  <si>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</si>
  <si>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</si>
  <si>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</si>
  <si>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</si>
  <si>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</si>
  <si>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</si>
  <si>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</si>
  <si>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</si>
  <si>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</si>
  <si>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</si>
  <si>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</si>
  <si>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</si>
  <si>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</si>
  <si>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</si>
  <si>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</si>
  <si>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</si>
  <si>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</si>
  <si>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</si>
  <si>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</si>
  <si>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</si>
  <si>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</si>
  <si>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</si>
  <si>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</si>
  <si>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</si>
  <si>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</si>
  <si>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</si>
  <si>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</si>
  <si>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</si>
  <si>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</si>
  <si>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</si>
  <si>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</si>
  <si>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</si>
  <si>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</si>
  <si>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</si>
  <si>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</si>
  <si>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</si>
  <si>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</si>
  <si>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</si>
  <si>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</si>
  <si>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</si>
  <si>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</si>
  <si>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</si>
  <si>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</si>
  <si>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</si>
  <si>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</si>
  <si>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</si>
  <si>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</si>
  <si>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</si>
  <si>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</si>
  <si>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</si>
  <si>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</si>
  <si>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</si>
  <si>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</si>
  <si>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</si>
  <si>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</si>
  <si>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</si>
  <si>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</si>
  <si>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</si>
  <si>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</si>
  <si>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</si>
  <si>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</si>
  <si>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</si>
  <si>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</si>
  <si>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</si>
  <si>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</si>
  <si>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</si>
  <si>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</si>
  <si>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</si>
  <si>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</si>
  <si>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</si>
  <si>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</si>
  <si>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</si>
  <si>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</si>
  <si>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</si>
  <si>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</si>
  <si>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</si>
  <si>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</si>
  <si>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</si>
  <si>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</si>
  <si>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</si>
  <si>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</si>
  <si>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</si>
  <si>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</si>
  <si>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</si>
  <si>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</si>
  <si>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</si>
  <si>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</si>
  <si>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</si>
  <si>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</si>
  <si>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</si>
  <si>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</si>
  <si>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</si>
  <si>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</si>
  <si>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</si>
  <si>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</si>
  <si>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</si>
  <si>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</si>
  <si>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</si>
  <si>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</si>
  <si>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</si>
  <si>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</si>
  <si>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</si>
  <si>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</si>
  <si>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</si>
  <si>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</si>
  <si>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</si>
  <si>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</si>
  <si>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</si>
  <si>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</si>
  <si>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</si>
  <si>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</si>
  <si>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</si>
  <si>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</si>
  <si>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</si>
  <si>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</si>
  <si>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</si>
  <si>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</si>
  <si>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</si>
  <si>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</si>
  <si>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</si>
  <si>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</si>
  <si>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</si>
  <si>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</si>
  <si>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</si>
  <si>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</si>
  <si>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</si>
  <si>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</si>
  <si>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</si>
  <si>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</si>
  <si>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</si>
  <si>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</si>
  <si>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</si>
  <si>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</si>
  <si>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</si>
  <si>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</si>
  <si>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</si>
  <si>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</si>
  <si>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</si>
  <si>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</si>
  <si>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</si>
  <si>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</si>
  <si>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</si>
  <si>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</si>
  <si>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</si>
  <si>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</si>
  <si>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</si>
  <si>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</si>
  <si>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</si>
  <si>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</si>
  <si>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</si>
  <si>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</si>
  <si>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</si>
  <si>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</si>
  <si>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</si>
  <si>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</si>
  <si>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</si>
  <si>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</si>
  <si>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</si>
  <si>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</si>
  <si>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</si>
  <si>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</si>
  <si>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</si>
  <si>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</si>
  <si>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</si>
  <si>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</si>
  <si>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</si>
  <si>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</si>
  <si>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</si>
  <si>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</si>
  <si>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</si>
  <si>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</si>
  <si>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</si>
  <si>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</si>
  <si>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</si>
  <si>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</si>
  <si>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</si>
  <si>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</si>
  <si>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</si>
  <si>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</si>
  <si>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</si>
  <si>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</si>
  <si>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</si>
  <si>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</si>
  <si>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</si>
  <si>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</si>
  <si>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</si>
  <si>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</si>
  <si>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</si>
  <si>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</si>
  <si>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</si>
  <si>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</si>
  <si>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</si>
  <si>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</si>
  <si>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</si>
  <si>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</si>
  <si>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</si>
  <si>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</si>
  <si>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</si>
  <si>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</si>
  <si>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</si>
  <si>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</si>
  <si>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</si>
  <si>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</si>
  <si>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</si>
  <si>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</si>
  <si>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</si>
  <si>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</si>
  <si>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</si>
  <si>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</si>
  <si>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</si>
  <si>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</si>
  <si>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</si>
  <si>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</si>
  <si>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</si>
  <si>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</si>
  <si>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</si>
  <si>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</si>
  <si>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</si>
  <si>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</si>
  <si>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</si>
  <si>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</si>
  <si>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</si>
  <si>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</si>
  <si>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</si>
  <si>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</si>
  <si>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</si>
  <si>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</si>
  <si>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</si>
  <si>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</si>
  <si>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</si>
  <si>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</si>
  <si>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</si>
  <si>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</si>
  <si>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</si>
  <si>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</si>
  <si>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</si>
  <si>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</si>
  <si>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</si>
  <si>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</si>
  <si>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</si>
  <si>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</si>
  <si>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</si>
  <si>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</si>
  <si>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</si>
  <si>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</si>
  <si>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</si>
  <si>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</si>
  <si>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</si>
  <si>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</si>
  <si>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</si>
  <si>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</si>
  <si>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</si>
  <si>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</si>
  <si>
    <t>SARDAEN</t>
  </si>
  <si>
    <t>FSL</t>
  </si>
  <si>
    <t>SOLARINDS</t>
  </si>
  <si>
    <t>niftybees+bajajhfl+anantraj+amrutastocks</t>
  </si>
  <si>
    <t>amruta tata</t>
  </si>
  <si>
    <t>amruta absl</t>
  </si>
  <si>
    <t>INDHOTEL</t>
  </si>
  <si>
    <t>Current</t>
  </si>
  <si>
    <t>Replacement</t>
  </si>
  <si>
    <t>ERIS</t>
  </si>
  <si>
    <t>Invested 4.19L. Gave 60K extra due to mistake. Total 4.79L. 0.2332 BTC</t>
  </si>
  <si>
    <t>BDL</t>
  </si>
  <si>
    <t>Visa</t>
  </si>
  <si>
    <t>Pune to Bangkok</t>
  </si>
  <si>
    <t>Hotel in Bangkok</t>
  </si>
  <si>
    <t>Safari world</t>
  </si>
  <si>
    <t>Sea Life</t>
  </si>
  <si>
    <t>Wat Aru pa</t>
  </si>
  <si>
    <t>Chatachauk Market</t>
  </si>
  <si>
    <t>Platinum Mall</t>
  </si>
  <si>
    <t>Day</t>
  </si>
  <si>
    <t>Night</t>
  </si>
  <si>
    <t>Chao Phraya Dinner cruise</t>
  </si>
  <si>
    <t>Bangkok</t>
  </si>
  <si>
    <t>Bangkok to Pattaya</t>
  </si>
  <si>
    <t>ALL TRAVEL</t>
  </si>
  <si>
    <t>ALL TICKETS</t>
  </si>
  <si>
    <t>Pattaya</t>
  </si>
  <si>
    <t>Elephant safari</t>
  </si>
  <si>
    <t>Tiger park</t>
  </si>
  <si>
    <t>Noch noch</t>
  </si>
  <si>
    <t>Santuary of Truth</t>
  </si>
  <si>
    <t>Island</t>
  </si>
  <si>
    <t>Travel</t>
  </si>
  <si>
    <t>Stay</t>
  </si>
  <si>
    <t>Hotel In Pattaya</t>
  </si>
  <si>
    <t>Common</t>
  </si>
  <si>
    <t>Floating Market</t>
  </si>
  <si>
    <t>International Raming</t>
  </si>
  <si>
    <t>Bangkok To Pune</t>
  </si>
  <si>
    <t>Home to airport</t>
  </si>
  <si>
    <t>Airport to home</t>
  </si>
  <si>
    <t>KPRMILL</t>
  </si>
  <si>
    <t>CEATLTD</t>
  </si>
  <si>
    <t>Total Exempt</t>
  </si>
  <si>
    <t>✅ Comparison With and Without Indexation</t>
  </si>
  <si>
    <t>Basis</t>
  </si>
  <si>
    <t>Capital Gain</t>
  </si>
  <si>
    <t>Exemption (Sec 54)</t>
  </si>
  <si>
    <t>Taxable Gain</t>
  </si>
  <si>
    <t>Tax (with cess)</t>
  </si>
  <si>
    <t>With Indexation</t>
  </si>
  <si>
    <t>₹4,14,024 ✅</t>
  </si>
  <si>
    <t>Without Indexation</t>
  </si>
  <si>
    <t>₹3,71,400 ✅</t>
  </si>
  <si>
    <t>Option</t>
  </si>
  <si>
    <t>Maturity Amount (5 Years)</t>
  </si>
  <si>
    <t>54EC Bonds (5.25%, 20% tax)</t>
  </si>
  <si>
    <t>₹24,20,000 ✅</t>
  </si>
  <si>
    <t>Net Advantage of 54EC Bonds</t>
  </si>
  <si>
    <t>Invest 20 Lakhs in 54EC bonds</t>
  </si>
  <si>
    <t>FD at 6.90% after paying LTCG tax</t>
  </si>
  <si>
    <t>54EC Bonds @ 5.25% for 5 Years (Simple Interest)</t>
  </si>
  <si>
    <t>Annual interest: ₹1,39,701</t>
  </si>
  <si>
    <t>Total 5-year interest: ₹6,98,507</t>
  </si>
  <si>
    <t>Tax @20%: ₹1,39,701</t>
  </si>
  <si>
    <t>Post-tax interest: ₹5,58,806</t>
  </si>
  <si>
    <t>Maturity = ₹26,60,957 + ₹5,58,806 = ₹32,19,763</t>
  </si>
  <si>
    <t>Flat ₹1.31 Cr + Land ₹41.02L = ₹1,72,02,000 Reinvested</t>
  </si>
  <si>
    <t>Exemption=₹1,90,92,500×(1,72,02,0002,00,00,000)=₹1,90,92,500×0.8601≈₹1,64,31,543\text{Exemption} = ₹1,90,92,500 × \left( \frac{1,72,02,000}{2,00,00,000} \right) = ₹1,90,92,500 × 0.8601 ≈ ₹1,64,31,543Exemption=₹1,90,92,500×(2,00,00,0001,72,02,000​)=₹1,90,92,500×0.8601≈₹1,64,31,543</t>
  </si>
  <si>
    <t>Taxable LTCG = ₹1,90,92,500 – ₹1,64,31,543 = ₹26,60,957</t>
  </si>
  <si>
    <t>54EC investment = ₹26,60,957</t>
  </si>
  <si>
    <t>Flat ₹1.28 Cr + Land ₹41.02L = ₹1.69 cr Reinvested</t>
  </si>
  <si>
    <t>Exemption=₹1,90,92,500×(2,00,00,0001,69,02,000​)≈₹1,90,92,500×0.8451≈₹1,61,28,947</t>
  </si>
  <si>
    <t>Taxable LTCG = ₹1,90,92,500 – ₹1,61,28,947 = ₹29,63,553</t>
  </si>
  <si>
    <t>54EC investment = ₹29,63,553</t>
  </si>
  <si>
    <t>54EC Bond Return (₹29,63,553 @ 5.25% Simple Interest)</t>
  </si>
  <si>
    <t>Annual interest: ₹29,63,553 × 5.25% = ₹1,55,836</t>
  </si>
  <si>
    <t>5-year interest = ₹7,79,180</t>
  </si>
  <si>
    <t>Tax @ 20% on interest = ₹1,55,836</t>
  </si>
  <si>
    <t>Post-tax interest = ₹6,23,344</t>
  </si>
  <si>
    <t>Maturity = ₹29,63,553 + ₹6,23,344 = ₹35,86,897</t>
  </si>
  <si>
    <t>54EC Bonds</t>
  </si>
  <si>
    <t>FD (post-tax)</t>
  </si>
  <si>
    <t>Maturity</t>
  </si>
  <si>
    <t>₹26.75L</t>
  </si>
  <si>
    <t>₹32.37L</t>
  </si>
  <si>
    <t>₹29.86L</t>
  </si>
  <si>
    <t>₹29.80L</t>
  </si>
  <si>
    <t>₹36.06L</t>
  </si>
  <si>
    <t>₹33.28L</t>
  </si>
  <si>
    <t>Difference</t>
  </si>
  <si>
    <t>2.5L</t>
  </si>
  <si>
    <t>2.78L</t>
  </si>
  <si>
    <t>CAPITAL GAIN BONDS COMPARISON WITH FD</t>
  </si>
  <si>
    <t>FD at 6.90% interest not taxable, but have to pay initial tax. Bonds have no initial tax but will have 20% tax as per slab on 5.25% interest</t>
  </si>
  <si>
    <t>Flat</t>
  </si>
  <si>
    <t>Proportion</t>
  </si>
  <si>
    <t>20% with indexation</t>
  </si>
  <si>
    <t>Invest in Bonds</t>
  </si>
  <si>
    <t>Interest 5.25% for 5 years</t>
  </si>
  <si>
    <t>Tax 20%</t>
  </si>
  <si>
    <t>Net Interest</t>
  </si>
  <si>
    <t>Total Value</t>
  </si>
  <si>
    <t>FD after tax</t>
  </si>
  <si>
    <t>Interest 6.9% for 5 years</t>
  </si>
  <si>
    <t>Difference Bonds vs FD</t>
  </si>
  <si>
    <t>12.5% without indexation</t>
  </si>
  <si>
    <t>% of AV</t>
  </si>
  <si>
    <t>Total Amount</t>
  </si>
  <si>
    <t>AV</t>
  </si>
  <si>
    <t>To be paid currently</t>
  </si>
  <si>
    <t>SD</t>
  </si>
  <si>
    <t>tax</t>
  </si>
  <si>
    <t>salary</t>
  </si>
  <si>
    <t>26AS:</t>
  </si>
  <si>
    <t>salary before tax</t>
  </si>
  <si>
    <t>net tax</t>
  </si>
  <si>
    <t>tax till 15 lakhs</t>
  </si>
  <si>
    <t>above 15 lakhs</t>
  </si>
  <si>
    <t>expected tax</t>
  </si>
  <si>
    <t>excess tax paid</t>
  </si>
  <si>
    <t>total salary</t>
  </si>
  <si>
    <t>expected CG tax</t>
  </si>
  <si>
    <t>remaining tax</t>
  </si>
  <si>
    <t>Tax 0%</t>
  </si>
  <si>
    <t>Simple Interest 6.9% for 5 years</t>
  </si>
  <si>
    <t>Compound Interest 6.9% for 5 years</t>
  </si>
  <si>
    <t>4% 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</si>
</sst>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  <numFmt numFmtId="169" formatCode="#,##0.0000"/>
    <numFmt numFmtId="170" formatCode="#,##0.00000"/>
    <numFmt numFmtId="171" formatCode="0.000"/>
  </numFmts>
  <fonts count="40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2"/>
      <color theme="5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28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3" fontId="0" fillId="2" borderId="0" xfId="0" applyNumberForma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  <xf numFmtId="0" fontId="4" fillId="0" borderId="0" xfId="0" applyFont="1" applyAlignment="1">
      <alignment horizontal="center" vertical="center"/>
    </xf>
    <xf numFmtId="0" fontId="37" fillId="0" borderId="0" xfId="0" applyFont="1"/>
    <xf numFmtId="0" fontId="38" fillId="0" borderId="0" xfId="0" applyFont="1"/>
    <xf numFmtId="0" fontId="0" fillId="0" borderId="22" xfId="0" applyBorder="1"/>
    <xf numFmtId="0" fontId="0" fillId="0" borderId="24" xfId="0" applyBorder="1"/>
    <xf numFmtId="0" fontId="0" fillId="0" borderId="25" xfId="0" applyBorder="1"/>
    <xf numFmtId="3" fontId="0" fillId="0" borderId="26" xfId="0" applyNumberFormat="1" applyBorder="1"/>
    <xf numFmtId="1" fontId="0" fillId="0" borderId="26" xfId="0" applyNumberFormat="1" applyBorder="1"/>
    <xf numFmtId="3" fontId="4" fillId="0" borderId="26" xfId="0" applyNumberFormat="1" applyFont="1" applyBorder="1"/>
    <xf numFmtId="0" fontId="0" fillId="0" borderId="26" xfId="0" applyBorder="1"/>
    <xf numFmtId="0" fontId="0" fillId="0" borderId="27" xfId="0" applyBorder="1"/>
    <xf numFmtId="1" fontId="4" fillId="0" borderId="29" xfId="0" applyNumberFormat="1" applyFont="1" applyBorder="1"/>
    <xf numFmtId="1" fontId="39" fillId="0" borderId="29" xfId="0" applyNumberFormat="1" applyFont="1" applyBorder="1"/>
    <xf numFmtId="164" fontId="0" fillId="17" borderId="0" xfId="0" applyNumberForma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54</xdr:row>
      <xdr:rowOff>134822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53</xdr:row>
      <xdr:rowOff>115316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  <xdr:twoCellAnchor editAs="oneCell">
    <xdr:from>
      <xdr:col>63</xdr:col>
      <xdr:colOff>762000</xdr:colOff>
      <xdr:row>27</xdr:row>
      <xdr:rowOff>76200</xdr:rowOff>
    </xdr:from>
    <xdr:to>
      <xdr:col>73</xdr:col>
      <xdr:colOff>279400</xdr:colOff>
      <xdr:row>51</xdr:row>
      <xdr:rowOff>83872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74BF1F-3BFC-9DC7-2B4D-E4FA89C99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89400" y="5664200"/>
          <a:ext cx="7772400" cy="5024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workbookViewId="0">
      <selection activeCell="AJ25" sqref="AJ25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  <col min="35" max="35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  <c r="AH1" s="20">
        <v>45779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  <c r="AH2" t="s">
        <v>15</v>
      </c>
      <c r="AI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  <c r="AH3" t="s">
        <v>987</v>
      </c>
      <c r="AI3" s="12">
        <v>1069730.49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3566</v>
      </c>
      <c r="AF4" s="12">
        <v>0</v>
      </c>
      <c r="AG4" s="12"/>
      <c r="AH4" t="s">
        <v>3566</v>
      </c>
      <c r="AI4" s="12">
        <v>1006035.5</v>
      </c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3567</v>
      </c>
      <c r="AF5" s="12">
        <v>0</v>
      </c>
      <c r="AH5" t="s">
        <v>3567</v>
      </c>
      <c r="AI5" s="12">
        <v>504576.06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  <c r="AH6" t="s">
        <v>10</v>
      </c>
      <c r="AI6" s="12">
        <v>3747212.53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  <c r="AH7" t="s">
        <v>11</v>
      </c>
      <c r="AI7" s="12">
        <v>4457128.4400000004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  <c r="AH8" t="s">
        <v>30</v>
      </c>
      <c r="AI8" s="12">
        <v>2706097.13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  <c r="AH9" t="s">
        <v>7</v>
      </c>
      <c r="AI9" s="12">
        <f>SUM(AI2:AI8)</f>
        <v>14356104.149999999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  <c r="AH11" t="s">
        <v>1221</v>
      </c>
      <c r="AI11" s="12">
        <f>AI12+AI13+AI14</f>
        <v>10758561.530000001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  <c r="AH12" t="s">
        <v>3571</v>
      </c>
      <c r="AI12" s="24">
        <f>1828679.9+969341</f>
        <v>2798020.9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  <c r="AH13" t="s">
        <v>180</v>
      </c>
      <c r="AI13" s="24">
        <v>4283437.75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  <c r="AH14" t="s">
        <v>181</v>
      </c>
      <c r="AI14" s="24">
        <v>3677102.88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  <c r="AH15" t="s">
        <v>4</v>
      </c>
      <c r="AI15" s="12">
        <v>413934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  <c r="AH16" t="s">
        <v>2</v>
      </c>
      <c r="AI16" s="12">
        <v>400936</v>
      </c>
    </row>
    <row r="17" spans="1:35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  <c r="AH17" t="s">
        <v>6</v>
      </c>
      <c r="AI17" s="12">
        <v>6287</v>
      </c>
    </row>
    <row r="18" spans="1:35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  <c r="AH18" t="s">
        <v>986</v>
      </c>
      <c r="AI18" s="12">
        <v>102475</v>
      </c>
    </row>
    <row r="19" spans="1:35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  <c r="AH19" t="s">
        <v>3</v>
      </c>
      <c r="AI19" s="12">
        <v>0</v>
      </c>
    </row>
    <row r="20" spans="1:35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  <c r="AH20" t="s">
        <v>1116</v>
      </c>
      <c r="AI20" s="12">
        <f>8075000+70000+3700000+1550000-2000000-1550000</f>
        <v>9845000</v>
      </c>
    </row>
    <row r="21" spans="1:35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  <c r="AH21" t="s">
        <v>13</v>
      </c>
      <c r="AI21" s="12">
        <f>SUM(AI9:AI19)-AI20-AI12-AI13-AI14</f>
        <v>16193297.680000003</v>
      </c>
    </row>
    <row r="23" spans="1:35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  <c r="AH23" t="s">
        <v>5</v>
      </c>
      <c r="AI23" s="12">
        <f>AI11</f>
        <v>10758561.530000001</v>
      </c>
    </row>
    <row r="24" spans="1:35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  <c r="AH24" t="s">
        <v>1223</v>
      </c>
      <c r="AI24" s="12">
        <f>AI9-AI20</f>
        <v>4511104.1499999985</v>
      </c>
    </row>
    <row r="25" spans="1:35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  <c r="AH25" t="s">
        <v>1224</v>
      </c>
      <c r="AI25" s="12">
        <f>AI15+AI16+AI17+AI18</f>
        <v>923632</v>
      </c>
    </row>
    <row r="26" spans="1:35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  <c r="AH26" t="s">
        <v>1225</v>
      </c>
      <c r="AI26" s="12">
        <v>3330645</v>
      </c>
    </row>
    <row r="27" spans="1:35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  <c r="AH27" t="s">
        <v>157</v>
      </c>
      <c r="AI27" s="12">
        <f>SUM(AI23:AI26)</f>
        <v>19523942.68</v>
      </c>
    </row>
    <row r="28" spans="1:35">
      <c r="A28" t="s">
        <v>14</v>
      </c>
      <c r="B28" t="s">
        <v>7</v>
      </c>
      <c r="C28" t="s">
        <v>987</v>
      </c>
      <c r="D28" t="s">
        <v>3572</v>
      </c>
      <c r="E28" t="s">
        <v>3573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5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5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5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5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3527</v>
      </c>
      <c r="Q40" t="s">
        <v>3528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3536</v>
      </c>
      <c r="N41">
        <v>300000</v>
      </c>
      <c r="P41" t="s">
        <v>3529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3537</v>
      </c>
      <c r="N42" s="3">
        <f>(N40-2400000)*30/100</f>
        <v>256963.8</v>
      </c>
      <c r="P42" t="s">
        <v>3530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3531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3539</v>
      </c>
      <c r="N44" s="3">
        <f>N40-N43</f>
        <v>2699582.2</v>
      </c>
      <c r="P44" t="s">
        <v>3532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3538</v>
      </c>
      <c r="N45" s="3">
        <f>N44/12</f>
        <v>224965.18333333335</v>
      </c>
      <c r="P45" t="s">
        <v>3533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3534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3535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4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4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4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4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4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4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4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4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4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4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4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4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4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4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4">
      <c r="A63" s="9">
        <v>45779</v>
      </c>
      <c r="B63">
        <f t="shared" si="5"/>
        <v>13490780.149999999</v>
      </c>
      <c r="C63" s="12">
        <v>1069730.49</v>
      </c>
      <c r="D63" s="12">
        <v>1006035.5</v>
      </c>
      <c r="E63" s="12">
        <v>504576.06</v>
      </c>
      <c r="F63" s="12">
        <v>3747212.53</v>
      </c>
      <c r="G63" s="12">
        <v>4457128.4400000004</v>
      </c>
      <c r="H63" s="12">
        <v>2706097.13</v>
      </c>
      <c r="I63" s="3">
        <f t="shared" si="3"/>
        <v>51333.740645161262</v>
      </c>
      <c r="J63">
        <f t="shared" si="4"/>
        <v>1591345.959999999</v>
      </c>
      <c r="L63" s="12"/>
    </row>
    <row r="64" spans="1:14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>
        <f t="shared" si="3"/>
        <v>27.218173267218567</v>
      </c>
      <c r="J64">
        <f t="shared" si="4"/>
        <v>-1246020.7539999988</v>
      </c>
      <c r="L64" s="12"/>
      <c r="N64" s="12"/>
    </row>
    <row r="65" spans="2:14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  <c r="N65" s="12"/>
    </row>
    <row r="66" spans="2:14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  <c r="N66" s="12"/>
    </row>
    <row r="67" spans="2:14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  <c r="N67" s="12"/>
    </row>
    <row r="68" spans="2:14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  <c r="N68" s="12"/>
    </row>
    <row r="69" spans="2:14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  <c r="N69" s="12"/>
    </row>
    <row r="77" spans="2:14">
      <c r="C77" s="12"/>
      <c r="D77" s="12"/>
      <c r="E77" s="12"/>
      <c r="F77" s="12"/>
      <c r="G77" s="12"/>
    </row>
    <row r="78" spans="2:14">
      <c r="C78" s="12"/>
      <c r="D78" s="12"/>
      <c r="E78" s="12"/>
      <c r="F78" s="12"/>
      <c r="G78" s="12"/>
    </row>
    <row r="79" spans="2:14">
      <c r="C79" s="12"/>
      <c r="D79" s="12"/>
      <c r="E79" s="12"/>
      <c r="F79" s="12"/>
      <c r="G79" s="12"/>
    </row>
    <row r="80" spans="2:14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tabSelected="1" topLeftCell="A30" workbookViewId="0">
      <selection activeCell="J16" sqref="J16"/>
    </sheetView>
  </sheetViews>
  <sheetFormatPr baseColWidth="10" defaultRowHeight="16"/>
  <cols>
    <col min="1" max="1" width="12.5" customWidth="1"/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81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161000</v>
      </c>
      <c r="L2" s="181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81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81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81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81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81"/>
      <c r="C3">
        <v>25900</v>
      </c>
      <c r="D3" s="17">
        <f>C3*100/D$1</f>
        <v>0.12333333333333334</v>
      </c>
      <c r="G3" t="s">
        <v>22</v>
      </c>
      <c r="H3">
        <v>170000</v>
      </c>
      <c r="L3" s="181"/>
      <c r="N3" s="17">
        <f>M3*100/N$1</f>
        <v>0</v>
      </c>
      <c r="Q3" t="s">
        <v>22</v>
      </c>
      <c r="R3">
        <v>86000</v>
      </c>
      <c r="V3" s="181"/>
      <c r="X3" s="17">
        <f>W3*100/X$1</f>
        <v>0</v>
      </c>
      <c r="AA3" t="s">
        <v>22</v>
      </c>
      <c r="AB3">
        <v>86000</v>
      </c>
      <c r="AG3" s="181"/>
      <c r="AI3" s="17">
        <f>AH3*100/AI$1</f>
        <v>0</v>
      </c>
      <c r="AL3" t="s">
        <v>22</v>
      </c>
      <c r="AM3">
        <v>86000</v>
      </c>
      <c r="AQ3" s="181"/>
      <c r="AS3" s="17">
        <f>AR3*100/AS$1</f>
        <v>0</v>
      </c>
      <c r="AV3" t="s">
        <v>22</v>
      </c>
      <c r="AW3">
        <v>86000</v>
      </c>
      <c r="BA3" s="181"/>
      <c r="BC3" s="17">
        <f>BB3*100/BC$1</f>
        <v>0</v>
      </c>
      <c r="BF3" t="s">
        <v>22</v>
      </c>
      <c r="BG3">
        <v>86000</v>
      </c>
    </row>
    <row r="4" spans="2:61">
      <c r="B4" s="181"/>
      <c r="D4" s="17">
        <f t="shared" ref="D4" si="0">C4*100/D$1</f>
        <v>0</v>
      </c>
      <c r="G4" t="s">
        <v>26</v>
      </c>
      <c r="H4">
        <f>C29</f>
        <v>-633525</v>
      </c>
      <c r="L4" s="181"/>
      <c r="N4" s="17">
        <f t="shared" ref="N4" si="1">M4*100/N$1</f>
        <v>0</v>
      </c>
      <c r="Q4" t="s">
        <v>26</v>
      </c>
      <c r="R4">
        <f>M29</f>
        <v>0</v>
      </c>
      <c r="V4" s="181"/>
      <c r="X4" s="17">
        <f t="shared" ref="X4" si="2">W4*100/X$1</f>
        <v>0</v>
      </c>
      <c r="AA4" t="s">
        <v>26</v>
      </c>
      <c r="AB4">
        <f>W29</f>
        <v>0</v>
      </c>
      <c r="AG4" s="181"/>
      <c r="AI4" s="17">
        <f t="shared" ref="AI4" si="3">AH4*100/AI$1</f>
        <v>0</v>
      </c>
      <c r="AL4" t="s">
        <v>26</v>
      </c>
      <c r="AM4">
        <f>AH29</f>
        <v>0</v>
      </c>
      <c r="AQ4" s="181"/>
      <c r="AS4" s="17">
        <f t="shared" ref="AS4" si="4">AR4*100/AS$1</f>
        <v>0</v>
      </c>
      <c r="AV4" t="s">
        <v>26</v>
      </c>
      <c r="AW4">
        <f>AR29</f>
        <v>0</v>
      </c>
      <c r="BA4" s="181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81"/>
      <c r="C5">
        <v>16878</v>
      </c>
      <c r="D5" s="17">
        <f>C5*100/D$1</f>
        <v>8.0371428571428566E-2</v>
      </c>
      <c r="G5" t="s">
        <v>178</v>
      </c>
      <c r="H5">
        <f>0</f>
        <v>0</v>
      </c>
      <c r="L5" s="181"/>
      <c r="N5" s="17">
        <f>M5*100/N$1</f>
        <v>0</v>
      </c>
      <c r="Q5" t="s">
        <v>178</v>
      </c>
      <c r="R5">
        <v>0</v>
      </c>
      <c r="V5" s="181"/>
      <c r="X5" s="17">
        <f>W5*100/X$1</f>
        <v>0</v>
      </c>
      <c r="AA5" t="s">
        <v>178</v>
      </c>
      <c r="AB5">
        <v>0</v>
      </c>
      <c r="AG5" s="181"/>
      <c r="AI5" s="17">
        <f>AH5*100/AI$1</f>
        <v>0</v>
      </c>
      <c r="AL5" t="s">
        <v>178</v>
      </c>
      <c r="AM5">
        <v>0</v>
      </c>
      <c r="AQ5" s="181"/>
      <c r="AS5" s="17">
        <f>AR5*100/AS$1</f>
        <v>0</v>
      </c>
      <c r="AV5" t="s">
        <v>178</v>
      </c>
      <c r="AW5">
        <v>0</v>
      </c>
      <c r="BA5" s="181"/>
      <c r="BC5" s="17">
        <f>BB5*100/BC$1</f>
        <v>0</v>
      </c>
      <c r="BF5" t="s">
        <v>178</v>
      </c>
      <c r="BG5">
        <v>0</v>
      </c>
    </row>
    <row r="6" spans="2:61">
      <c r="B6" s="181"/>
      <c r="D6" s="17">
        <f t="shared" ref="D6:D26" si="6">C6*100/D$1</f>
        <v>0</v>
      </c>
      <c r="G6" t="s">
        <v>23</v>
      </c>
      <c r="H6">
        <v>80700</v>
      </c>
      <c r="I6" t="s">
        <v>128</v>
      </c>
      <c r="J6">
        <f>H4+H5+H6</f>
        <v>-552825</v>
      </c>
      <c r="L6" s="181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65000</v>
      </c>
      <c r="V6" s="181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65000</v>
      </c>
      <c r="AG6" s="181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65000</v>
      </c>
      <c r="AQ6" s="181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65000</v>
      </c>
      <c r="BA6" s="181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65000</v>
      </c>
    </row>
    <row r="7" spans="2:61">
      <c r="B7" s="181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-221825</v>
      </c>
      <c r="L7" s="181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360000</v>
      </c>
      <c r="V7" s="181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360000</v>
      </c>
      <c r="AG7" s="181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360000</v>
      </c>
      <c r="AQ7" s="181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360000</v>
      </c>
      <c r="BA7" s="181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360000</v>
      </c>
    </row>
    <row r="8" spans="2:61">
      <c r="B8" s="181"/>
      <c r="C8">
        <v>-764031</v>
      </c>
      <c r="D8" s="17">
        <f t="shared" si="6"/>
        <v>-3.6382428571428571</v>
      </c>
      <c r="H8" s="3"/>
      <c r="L8" s="181"/>
      <c r="N8" s="17">
        <f t="shared" si="7"/>
        <v>0</v>
      </c>
      <c r="R8" s="3"/>
      <c r="V8" s="181"/>
      <c r="X8" s="17">
        <f t="shared" si="8"/>
        <v>0</v>
      </c>
      <c r="AB8" s="3"/>
      <c r="AG8" s="181"/>
      <c r="AI8" s="17">
        <f t="shared" si="9"/>
        <v>0</v>
      </c>
      <c r="AM8" s="3"/>
      <c r="AQ8" s="181"/>
      <c r="AS8" s="17">
        <f t="shared" si="10"/>
        <v>0</v>
      </c>
      <c r="AW8" s="3"/>
      <c r="BA8" s="181"/>
      <c r="BC8" s="17">
        <f t="shared" si="11"/>
        <v>0</v>
      </c>
      <c r="BG8" s="3"/>
    </row>
    <row r="9" spans="2:61">
      <c r="B9" s="181"/>
      <c r="C9">
        <v>17268</v>
      </c>
      <c r="D9" s="17">
        <f t="shared" si="6"/>
        <v>8.2228571428571429E-2</v>
      </c>
      <c r="H9" s="10"/>
      <c r="L9" s="181"/>
      <c r="N9" s="17">
        <f t="shared" si="7"/>
        <v>0</v>
      </c>
      <c r="R9" s="10" t="s">
        <v>3575</v>
      </c>
      <c r="S9" t="s">
        <v>3576</v>
      </c>
      <c r="V9" s="181"/>
      <c r="X9" s="17">
        <f t="shared" si="8"/>
        <v>0</v>
      </c>
      <c r="AB9" s="10"/>
      <c r="AG9" s="181"/>
      <c r="AI9" s="17">
        <f t="shared" si="9"/>
        <v>0</v>
      </c>
      <c r="AM9" s="10"/>
      <c r="AQ9" s="181"/>
      <c r="AS9" s="17">
        <f t="shared" si="10"/>
        <v>0</v>
      </c>
      <c r="AW9" s="10"/>
      <c r="BA9" s="181"/>
      <c r="BC9" s="17">
        <f t="shared" si="11"/>
        <v>0</v>
      </c>
      <c r="BG9" s="10"/>
    </row>
    <row r="10" spans="2:61">
      <c r="B10" s="181"/>
      <c r="D10" s="17">
        <f t="shared" si="6"/>
        <v>0</v>
      </c>
      <c r="L10" s="181"/>
      <c r="N10" s="17">
        <f t="shared" si="7"/>
        <v>0</v>
      </c>
      <c r="R10" t="s">
        <v>3568</v>
      </c>
      <c r="S10" t="s">
        <v>3570</v>
      </c>
      <c r="T10">
        <v>3</v>
      </c>
      <c r="V10" s="181"/>
      <c r="X10" s="17">
        <f t="shared" si="8"/>
        <v>0</v>
      </c>
      <c r="AG10" s="181"/>
      <c r="AI10" s="17">
        <f t="shared" si="9"/>
        <v>0</v>
      </c>
      <c r="AQ10" s="181"/>
      <c r="AS10" s="17">
        <f t="shared" si="10"/>
        <v>0</v>
      </c>
      <c r="BA10" s="181"/>
      <c r="BC10" s="17">
        <f t="shared" si="11"/>
        <v>0</v>
      </c>
    </row>
    <row r="11" spans="2:61">
      <c r="B11" s="181"/>
      <c r="D11" s="17">
        <f t="shared" si="6"/>
        <v>0</v>
      </c>
      <c r="L11" s="181"/>
      <c r="N11" s="17">
        <f t="shared" si="7"/>
        <v>0</v>
      </c>
      <c r="R11" t="s">
        <v>3569</v>
      </c>
      <c r="S11" t="s">
        <v>3577</v>
      </c>
      <c r="T11">
        <v>4</v>
      </c>
      <c r="V11" s="181"/>
      <c r="X11" s="17">
        <f t="shared" si="8"/>
        <v>0</v>
      </c>
      <c r="AG11" s="181"/>
      <c r="AI11" s="17">
        <f t="shared" si="9"/>
        <v>0</v>
      </c>
      <c r="AQ11" s="181"/>
      <c r="AS11" s="17">
        <f t="shared" si="10"/>
        <v>0</v>
      </c>
      <c r="BA11" s="181"/>
      <c r="BC11" s="17">
        <f t="shared" si="11"/>
        <v>0</v>
      </c>
    </row>
    <row r="12" spans="2:61">
      <c r="B12" s="181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81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R12" t="s">
        <v>3574</v>
      </c>
      <c r="S12" t="s">
        <v>3579</v>
      </c>
      <c r="V12" s="181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81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81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81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81"/>
      <c r="C13">
        <v>18858</v>
      </c>
      <c r="D13" s="17">
        <f t="shared" si="6"/>
        <v>8.9800000000000005E-2</v>
      </c>
      <c r="L13" s="181"/>
      <c r="N13" s="17">
        <f t="shared" si="7"/>
        <v>0</v>
      </c>
      <c r="S13" t="s">
        <v>3610</v>
      </c>
      <c r="T13">
        <v>1</v>
      </c>
      <c r="V13" s="181"/>
      <c r="X13" s="17">
        <f t="shared" si="8"/>
        <v>0</v>
      </c>
      <c r="AG13" s="181"/>
      <c r="AI13" s="17">
        <f t="shared" si="9"/>
        <v>0</v>
      </c>
      <c r="AQ13" s="181"/>
      <c r="AS13" s="17">
        <f t="shared" si="10"/>
        <v>0</v>
      </c>
      <c r="BA13" s="181"/>
      <c r="BC13" s="17">
        <f t="shared" si="11"/>
        <v>0</v>
      </c>
    </row>
    <row r="14" spans="2:61">
      <c r="B14" s="181"/>
      <c r="D14" s="17">
        <f t="shared" si="6"/>
        <v>0</v>
      </c>
      <c r="L14" s="181"/>
      <c r="N14" s="17">
        <f t="shared" si="7"/>
        <v>0</v>
      </c>
      <c r="S14" t="s">
        <v>3611</v>
      </c>
      <c r="T14">
        <v>2</v>
      </c>
      <c r="V14" s="181"/>
      <c r="X14" s="17">
        <f t="shared" si="8"/>
        <v>0</v>
      </c>
      <c r="AG14" s="181"/>
      <c r="AI14" s="17">
        <f t="shared" si="9"/>
        <v>0</v>
      </c>
      <c r="AQ14" s="181"/>
      <c r="AS14" s="17">
        <f t="shared" si="10"/>
        <v>0</v>
      </c>
      <c r="BA14" s="181"/>
      <c r="BC14" s="17">
        <f t="shared" si="11"/>
        <v>0</v>
      </c>
    </row>
    <row r="15" spans="2:61">
      <c r="B15" s="181"/>
      <c r="C15">
        <v>7441</v>
      </c>
      <c r="D15" s="17">
        <f t="shared" si="6"/>
        <v>3.5433333333333331E-2</v>
      </c>
      <c r="L15" s="181"/>
      <c r="N15" s="17">
        <f t="shared" si="7"/>
        <v>0</v>
      </c>
      <c r="V15" s="181"/>
      <c r="X15" s="17">
        <f t="shared" si="8"/>
        <v>0</v>
      </c>
      <c r="AG15" s="181"/>
      <c r="AI15" s="17">
        <f t="shared" si="9"/>
        <v>0</v>
      </c>
      <c r="AQ15" s="181"/>
      <c r="AS15" s="17">
        <f t="shared" si="10"/>
        <v>0</v>
      </c>
      <c r="BA15" s="181"/>
      <c r="BC15" s="17">
        <f t="shared" si="11"/>
        <v>0</v>
      </c>
    </row>
    <row r="16" spans="2:61">
      <c r="B16" s="181"/>
      <c r="D16" s="17">
        <f t="shared" si="6"/>
        <v>0</v>
      </c>
      <c r="L16" s="181"/>
      <c r="N16" s="17">
        <f t="shared" si="7"/>
        <v>0</v>
      </c>
      <c r="V16" s="181"/>
      <c r="X16" s="17">
        <f t="shared" si="8"/>
        <v>0</v>
      </c>
      <c r="AG16" s="181"/>
      <c r="AI16" s="17">
        <f t="shared" si="9"/>
        <v>0</v>
      </c>
      <c r="AQ16" s="181"/>
      <c r="AS16" s="17">
        <f t="shared" si="10"/>
        <v>0</v>
      </c>
      <c r="BA16" s="181"/>
      <c r="BC16" s="17">
        <f t="shared" si="11"/>
        <v>0</v>
      </c>
    </row>
    <row r="17" spans="2:58">
      <c r="B17" s="181" t="s">
        <v>20</v>
      </c>
      <c r="D17" s="17">
        <f t="shared" si="6"/>
        <v>0</v>
      </c>
      <c r="E17">
        <f>SUM(C17:C21)</f>
        <v>26044</v>
      </c>
      <c r="F17" s="17">
        <f>E17*100/D1</f>
        <v>0.12401904761904763</v>
      </c>
      <c r="L17" s="181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81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81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81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81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81"/>
      <c r="C18">
        <v>10621</v>
      </c>
      <c r="D18" s="17">
        <f t="shared" si="6"/>
        <v>5.0576190476190476E-2</v>
      </c>
      <c r="L18" s="181"/>
      <c r="N18" s="17">
        <f t="shared" si="7"/>
        <v>0</v>
      </c>
      <c r="V18" s="181"/>
      <c r="X18" s="17">
        <f t="shared" si="8"/>
        <v>0</v>
      </c>
      <c r="AG18" s="181"/>
      <c r="AI18" s="17">
        <f t="shared" si="9"/>
        <v>0</v>
      </c>
      <c r="AQ18" s="181"/>
      <c r="AS18" s="17">
        <f t="shared" si="10"/>
        <v>0</v>
      </c>
      <c r="BA18" s="181"/>
      <c r="BC18" s="17">
        <f t="shared" si="11"/>
        <v>0</v>
      </c>
    </row>
    <row r="19" spans="2:58">
      <c r="B19" s="181"/>
      <c r="D19" s="17">
        <f t="shared" si="6"/>
        <v>0</v>
      </c>
      <c r="L19" s="181"/>
      <c r="N19" s="17">
        <f t="shared" si="7"/>
        <v>0</v>
      </c>
      <c r="V19" s="181"/>
      <c r="X19" s="17">
        <f t="shared" si="8"/>
        <v>0</v>
      </c>
      <c r="AG19" s="181"/>
      <c r="AI19" s="17">
        <f t="shared" si="9"/>
        <v>0</v>
      </c>
      <c r="AQ19" s="181"/>
      <c r="AS19" s="17">
        <f t="shared" si="10"/>
        <v>0</v>
      </c>
      <c r="BA19" s="181"/>
      <c r="BC19" s="17">
        <f t="shared" si="11"/>
        <v>0</v>
      </c>
    </row>
    <row r="20" spans="2:58">
      <c r="B20" s="181"/>
      <c r="C20">
        <v>15423</v>
      </c>
      <c r="D20" s="17">
        <f t="shared" si="6"/>
        <v>7.3442857142857143E-2</v>
      </c>
      <c r="L20" s="181"/>
      <c r="N20" s="17">
        <f t="shared" si="7"/>
        <v>0</v>
      </c>
      <c r="V20" s="181"/>
      <c r="X20" s="17">
        <f t="shared" si="8"/>
        <v>0</v>
      </c>
      <c r="AG20" s="181"/>
      <c r="AI20" s="17">
        <f t="shared" si="9"/>
        <v>0</v>
      </c>
      <c r="AQ20" s="181"/>
      <c r="AS20" s="17">
        <f t="shared" si="10"/>
        <v>0</v>
      </c>
      <c r="BA20" s="181"/>
      <c r="BC20" s="17">
        <f t="shared" si="11"/>
        <v>0</v>
      </c>
    </row>
    <row r="21" spans="2:58">
      <c r="B21" s="181"/>
      <c r="D21" s="17">
        <f t="shared" si="6"/>
        <v>0</v>
      </c>
      <c r="L21" s="181"/>
      <c r="N21" s="17">
        <f t="shared" si="7"/>
        <v>0</v>
      </c>
      <c r="V21" s="181"/>
      <c r="X21" s="17">
        <f t="shared" si="8"/>
        <v>0</v>
      </c>
      <c r="AG21" s="181"/>
      <c r="AI21" s="17">
        <f t="shared" si="9"/>
        <v>0</v>
      </c>
      <c r="AQ21" s="181"/>
      <c r="AS21" s="17">
        <f t="shared" si="10"/>
        <v>0</v>
      </c>
      <c r="BA21" s="181"/>
      <c r="BC21" s="17">
        <f t="shared" si="11"/>
        <v>0</v>
      </c>
    </row>
    <row r="22" spans="2:58">
      <c r="B22" s="181" t="s">
        <v>21</v>
      </c>
      <c r="D22" s="17">
        <f t="shared" si="6"/>
        <v>0</v>
      </c>
      <c r="E22">
        <f>SUM(C22:C26)</f>
        <v>18117</v>
      </c>
      <c r="F22" s="17">
        <f>E22*100/D1</f>
        <v>8.6271428571428568E-2</v>
      </c>
      <c r="L22" s="181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81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81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81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81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81"/>
      <c r="C23">
        <v>7476</v>
      </c>
      <c r="D23" s="17">
        <f t="shared" si="6"/>
        <v>3.56E-2</v>
      </c>
      <c r="L23" s="181"/>
      <c r="N23" s="17">
        <f t="shared" si="7"/>
        <v>0</v>
      </c>
      <c r="V23" s="181"/>
      <c r="X23" s="17">
        <f t="shared" si="8"/>
        <v>0</v>
      </c>
      <c r="AG23" s="181"/>
      <c r="AI23" s="17">
        <f t="shared" si="9"/>
        <v>0</v>
      </c>
      <c r="AQ23" s="181"/>
      <c r="AS23" s="17">
        <f t="shared" si="10"/>
        <v>0</v>
      </c>
      <c r="BA23" s="181"/>
      <c r="BC23" s="17">
        <f t="shared" si="11"/>
        <v>0</v>
      </c>
    </row>
    <row r="24" spans="2:58">
      <c r="B24" s="181"/>
      <c r="C24">
        <v>10641</v>
      </c>
      <c r="D24" s="17">
        <f t="shared" si="6"/>
        <v>5.0671428571428569E-2</v>
      </c>
      <c r="L24" s="181"/>
      <c r="N24" s="17">
        <f t="shared" si="7"/>
        <v>0</v>
      </c>
      <c r="V24" s="181"/>
      <c r="X24" s="17">
        <f t="shared" si="8"/>
        <v>0</v>
      </c>
      <c r="AG24" s="181"/>
      <c r="AI24" s="17">
        <f t="shared" si="9"/>
        <v>0</v>
      </c>
      <c r="AQ24" s="181"/>
      <c r="AS24" s="17">
        <f t="shared" si="10"/>
        <v>0</v>
      </c>
      <c r="BA24" s="181"/>
      <c r="BC24" s="17">
        <f t="shared" si="11"/>
        <v>0</v>
      </c>
    </row>
    <row r="25" spans="2:58">
      <c r="B25" s="181"/>
      <c r="D25" s="17">
        <f t="shared" si="6"/>
        <v>0</v>
      </c>
      <c r="L25" s="181"/>
      <c r="N25" s="17">
        <f t="shared" si="7"/>
        <v>0</v>
      </c>
      <c r="V25" s="181"/>
      <c r="X25" s="17">
        <f t="shared" si="8"/>
        <v>0</v>
      </c>
      <c r="AG25" s="181"/>
      <c r="AI25" s="17">
        <f t="shared" si="9"/>
        <v>0</v>
      </c>
      <c r="AQ25" s="181"/>
      <c r="AS25" s="17">
        <f t="shared" si="10"/>
        <v>0</v>
      </c>
      <c r="BA25" s="181"/>
      <c r="BC25" s="17">
        <f t="shared" si="11"/>
        <v>0</v>
      </c>
    </row>
    <row r="26" spans="2:58">
      <c r="B26" s="181"/>
      <c r="D26" s="17">
        <f t="shared" si="6"/>
        <v>0</v>
      </c>
      <c r="L26" s="181"/>
      <c r="N26" s="17">
        <f t="shared" si="7"/>
        <v>0</v>
      </c>
      <c r="V26" s="181"/>
      <c r="X26" s="17">
        <f t="shared" si="8"/>
        <v>0</v>
      </c>
      <c r="AG26" s="181"/>
      <c r="AI26" s="17">
        <f t="shared" si="9"/>
        <v>0</v>
      </c>
      <c r="AQ26" s="181"/>
      <c r="AS26" s="17">
        <f t="shared" si="10"/>
        <v>0</v>
      </c>
      <c r="BA26" s="181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-633525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-3.0167857142857142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-2.6324999999999998</v>
      </c>
      <c r="D31" s="17"/>
      <c r="L31" t="s">
        <v>179</v>
      </c>
      <c r="M31" s="17">
        <f>((M29*100)+(R5*100)+(R6*100))/N$1</f>
        <v>0.30952380952380953</v>
      </c>
      <c r="N31" s="17"/>
      <c r="V31" t="s">
        <v>179</v>
      </c>
      <c r="W31" s="17">
        <f>((W29*100)+(AB5*100)+(AB6*100))/X$1</f>
        <v>0.30952380952380953</v>
      </c>
      <c r="X31" s="17"/>
      <c r="AG31" t="s">
        <v>179</v>
      </c>
      <c r="AH31" s="17">
        <f>((AH29*100)+(AM5*100)+(AM6*100))/AI$1</f>
        <v>0.30952380952380953</v>
      </c>
      <c r="AI31" s="17"/>
      <c r="AQ31" t="s">
        <v>179</v>
      </c>
      <c r="AR31" s="17">
        <f>((AR29*100)+(AW5*100)+(AW6*100))/AS$1</f>
        <v>0.30952380952380953</v>
      </c>
      <c r="AS31" s="17"/>
      <c r="BA31" t="s">
        <v>179</v>
      </c>
      <c r="BB31" s="17">
        <f>((BB29*100)+(BG5*100)+(BG6*100))/BC$1</f>
        <v>0.30952380952380953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81" t="s">
        <v>17</v>
      </c>
      <c r="D34" s="17">
        <f>C34*100/D$33</f>
        <v>0</v>
      </c>
      <c r="E34">
        <f>SUM(C34:C38)</f>
        <v>23308</v>
      </c>
      <c r="F34" s="17">
        <f>E34*100/D33</f>
        <v>0.11099047619047619</v>
      </c>
      <c r="G34" t="s">
        <v>25</v>
      </c>
      <c r="H34">
        <v>194000</v>
      </c>
      <c r="L34" s="181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81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81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81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81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81"/>
      <c r="C35">
        <v>10308</v>
      </c>
      <c r="D35" s="17">
        <f t="shared" ref="D35:D58" si="12">C35*100/D$33</f>
        <v>4.9085714285714288E-2</v>
      </c>
      <c r="G35" t="s">
        <v>22</v>
      </c>
      <c r="H35">
        <v>83000</v>
      </c>
      <c r="L35" s="181"/>
      <c r="N35" s="17">
        <f t="shared" ref="N35:N58" si="13">M35*100/N$33</f>
        <v>0</v>
      </c>
      <c r="Q35" t="s">
        <v>22</v>
      </c>
      <c r="R35">
        <v>83000</v>
      </c>
      <c r="V35" s="181"/>
      <c r="X35" s="17">
        <f t="shared" ref="X35:X58" si="14">W35*100/X$33</f>
        <v>0</v>
      </c>
      <c r="AA35" t="s">
        <v>22</v>
      </c>
      <c r="AB35">
        <v>83000</v>
      </c>
      <c r="AG35" s="181"/>
      <c r="AI35" s="17">
        <f t="shared" ref="AI35:AI58" si="15">AH35*100/AI$33</f>
        <v>0</v>
      </c>
      <c r="AL35" t="s">
        <v>22</v>
      </c>
      <c r="AM35">
        <v>83000</v>
      </c>
      <c r="AQ35" s="181"/>
      <c r="AS35" s="17">
        <f t="shared" ref="AS35:AS58" si="16">AR35*100/AS$33</f>
        <v>0</v>
      </c>
      <c r="AV35" t="s">
        <v>22</v>
      </c>
      <c r="AW35">
        <v>83000</v>
      </c>
      <c r="BA35" s="181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81"/>
      <c r="D36" s="17">
        <f t="shared" si="12"/>
        <v>0</v>
      </c>
      <c r="G36" t="s">
        <v>26</v>
      </c>
      <c r="H36">
        <f>C61</f>
        <v>83819</v>
      </c>
      <c r="L36" s="181"/>
      <c r="N36" s="17">
        <f t="shared" si="13"/>
        <v>0</v>
      </c>
      <c r="Q36" t="s">
        <v>26</v>
      </c>
      <c r="R36">
        <f>M61</f>
        <v>0</v>
      </c>
      <c r="V36" s="181"/>
      <c r="X36" s="17">
        <f t="shared" si="14"/>
        <v>0</v>
      </c>
      <c r="AA36" t="s">
        <v>26</v>
      </c>
      <c r="AB36">
        <f>W61</f>
        <v>0</v>
      </c>
      <c r="AG36" s="181"/>
      <c r="AI36" s="17">
        <f t="shared" si="15"/>
        <v>0</v>
      </c>
      <c r="AL36" t="s">
        <v>26</v>
      </c>
      <c r="AM36">
        <f>AH61</f>
        <v>0</v>
      </c>
      <c r="AQ36" s="181"/>
      <c r="AS36" s="17">
        <f t="shared" si="16"/>
        <v>0</v>
      </c>
      <c r="AV36" t="s">
        <v>26</v>
      </c>
      <c r="AW36">
        <f>AR61</f>
        <v>0</v>
      </c>
      <c r="BA36" s="181"/>
      <c r="BC36" s="17">
        <f t="shared" si="17"/>
        <v>0</v>
      </c>
      <c r="BF36" t="s">
        <v>26</v>
      </c>
      <c r="BG36">
        <f>BB61</f>
        <v>0</v>
      </c>
    </row>
    <row r="37" spans="2:61">
      <c r="B37" s="181"/>
      <c r="C37">
        <v>13000</v>
      </c>
      <c r="D37" s="17">
        <f t="shared" si="12"/>
        <v>6.1904761904761907E-2</v>
      </c>
      <c r="G37" t="s">
        <v>178</v>
      </c>
      <c r="H37">
        <v>-16113</v>
      </c>
      <c r="L37" s="181"/>
      <c r="N37" s="17">
        <f t="shared" si="13"/>
        <v>0</v>
      </c>
      <c r="Q37" t="s">
        <v>178</v>
      </c>
      <c r="R37">
        <v>0</v>
      </c>
      <c r="V37" s="181"/>
      <c r="X37" s="17">
        <f t="shared" si="14"/>
        <v>0</v>
      </c>
      <c r="AA37" t="s">
        <v>178</v>
      </c>
      <c r="AB37">
        <v>0</v>
      </c>
      <c r="AG37" s="181"/>
      <c r="AI37" s="17">
        <f t="shared" si="15"/>
        <v>0</v>
      </c>
      <c r="AL37" t="s">
        <v>178</v>
      </c>
      <c r="AM37">
        <v>0</v>
      </c>
      <c r="AQ37" s="181"/>
      <c r="AS37" s="17">
        <f t="shared" si="16"/>
        <v>0</v>
      </c>
      <c r="AV37" t="s">
        <v>178</v>
      </c>
      <c r="AW37">
        <v>0</v>
      </c>
      <c r="BA37" s="181"/>
      <c r="BC37" s="17">
        <f t="shared" si="17"/>
        <v>0</v>
      </c>
      <c r="BF37" t="s">
        <v>178</v>
      </c>
      <c r="BG37">
        <v>0</v>
      </c>
    </row>
    <row r="38" spans="2:61">
      <c r="B38" s="181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128706</v>
      </c>
      <c r="L38" s="181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81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81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81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81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81" t="s">
        <v>18</v>
      </c>
      <c r="D39" s="17">
        <f t="shared" si="12"/>
        <v>0</v>
      </c>
      <c r="E39">
        <f>SUM(C39:C43)</f>
        <v>9695</v>
      </c>
      <c r="F39" s="17">
        <f>E39*100/D33</f>
        <v>4.6166666666666668E-2</v>
      </c>
      <c r="G39" t="s">
        <v>24</v>
      </c>
      <c r="H39">
        <f>SUM(H34:H38)</f>
        <v>405706</v>
      </c>
      <c r="L39" s="181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81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81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81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81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81"/>
      <c r="C40">
        <v>10990</v>
      </c>
      <c r="D40" s="17">
        <f t="shared" si="12"/>
        <v>5.2333333333333336E-2</v>
      </c>
      <c r="L40" s="181"/>
      <c r="N40" s="17">
        <f t="shared" si="13"/>
        <v>0</v>
      </c>
      <c r="V40" s="181"/>
      <c r="X40" s="17">
        <f t="shared" si="14"/>
        <v>0</v>
      </c>
      <c r="AG40" s="181"/>
      <c r="AI40" s="17">
        <f t="shared" si="15"/>
        <v>0</v>
      </c>
      <c r="AQ40" s="181"/>
      <c r="AS40" s="17">
        <f t="shared" si="16"/>
        <v>0</v>
      </c>
      <c r="BA40" s="181"/>
      <c r="BC40" s="17">
        <f t="shared" si="17"/>
        <v>0</v>
      </c>
    </row>
    <row r="41" spans="2:61">
      <c r="B41" s="181"/>
      <c r="D41" s="17">
        <f t="shared" si="12"/>
        <v>0</v>
      </c>
      <c r="H41" s="10"/>
      <c r="L41" s="181"/>
      <c r="N41" s="17">
        <f t="shared" si="13"/>
        <v>0</v>
      </c>
      <c r="R41" s="10"/>
      <c r="V41" s="181"/>
      <c r="X41" s="17">
        <f t="shared" si="14"/>
        <v>0</v>
      </c>
      <c r="AB41" s="10"/>
      <c r="AG41" s="181"/>
      <c r="AI41" s="17">
        <f t="shared" si="15"/>
        <v>0</v>
      </c>
      <c r="AM41" s="10"/>
      <c r="AQ41" s="181"/>
      <c r="AS41" s="17">
        <f t="shared" si="16"/>
        <v>0</v>
      </c>
      <c r="AW41" s="10"/>
      <c r="BA41" s="181"/>
      <c r="BC41" s="17">
        <f t="shared" si="17"/>
        <v>0</v>
      </c>
      <c r="BG41" s="10"/>
    </row>
    <row r="42" spans="2:61">
      <c r="B42" s="181"/>
      <c r="C42">
        <v>-1295</v>
      </c>
      <c r="D42" s="17">
        <f t="shared" si="12"/>
        <v>-6.1666666666666667E-3</v>
      </c>
      <c r="L42" s="181"/>
      <c r="N42" s="17">
        <f t="shared" si="13"/>
        <v>0</v>
      </c>
      <c r="V42" s="181"/>
      <c r="X42" s="17">
        <f t="shared" si="14"/>
        <v>0</v>
      </c>
      <c r="AG42" s="181"/>
      <c r="AI42" s="17">
        <f t="shared" si="15"/>
        <v>0</v>
      </c>
      <c r="AQ42" s="181"/>
      <c r="AS42" s="17">
        <f t="shared" si="16"/>
        <v>0</v>
      </c>
      <c r="BA42" s="181"/>
      <c r="BC42" s="17">
        <f t="shared" si="17"/>
        <v>0</v>
      </c>
    </row>
    <row r="43" spans="2:61">
      <c r="B43" s="181"/>
      <c r="D43" s="17">
        <f t="shared" si="12"/>
        <v>0</v>
      </c>
      <c r="L43" s="181"/>
      <c r="N43" s="17">
        <f t="shared" si="13"/>
        <v>0</v>
      </c>
      <c r="V43" s="181"/>
      <c r="X43" s="17">
        <f t="shared" si="14"/>
        <v>0</v>
      </c>
      <c r="AG43" s="181"/>
      <c r="AI43" s="17">
        <f t="shared" si="15"/>
        <v>0</v>
      </c>
      <c r="AQ43" s="181"/>
      <c r="AS43" s="17">
        <f t="shared" si="16"/>
        <v>0</v>
      </c>
      <c r="BA43" s="181"/>
      <c r="BC43" s="17">
        <f t="shared" si="17"/>
        <v>0</v>
      </c>
    </row>
    <row r="44" spans="2:61">
      <c r="B44" s="181" t="s">
        <v>19</v>
      </c>
      <c r="C44">
        <v>9082</v>
      </c>
      <c r="D44" s="17">
        <f t="shared" si="12"/>
        <v>4.3247619047619049E-2</v>
      </c>
      <c r="E44">
        <f>SUM(C44:C48)</f>
        <v>50816</v>
      </c>
      <c r="F44" s="17">
        <f>E44*100/D33</f>
        <v>0.24198095238095238</v>
      </c>
      <c r="L44" s="181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81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81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81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81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81"/>
      <c r="C45">
        <v>11041</v>
      </c>
      <c r="D45" s="17">
        <f t="shared" si="12"/>
        <v>5.2576190476190478E-2</v>
      </c>
      <c r="L45" s="181"/>
      <c r="N45" s="17">
        <f t="shared" si="13"/>
        <v>0</v>
      </c>
      <c r="V45" s="181"/>
      <c r="X45" s="17">
        <f t="shared" si="14"/>
        <v>0</v>
      </c>
      <c r="AG45" s="181"/>
      <c r="AI45" s="17">
        <f t="shared" si="15"/>
        <v>0</v>
      </c>
      <c r="AQ45" s="181"/>
      <c r="AS45" s="17">
        <f t="shared" si="16"/>
        <v>0</v>
      </c>
      <c r="BA45" s="181"/>
      <c r="BC45" s="17">
        <f t="shared" si="17"/>
        <v>0</v>
      </c>
    </row>
    <row r="46" spans="2:61">
      <c r="B46" s="181"/>
      <c r="C46">
        <v>11227</v>
      </c>
      <c r="D46" s="17">
        <f t="shared" si="12"/>
        <v>5.3461904761904759E-2</v>
      </c>
      <c r="L46" s="181"/>
      <c r="N46" s="17">
        <f t="shared" si="13"/>
        <v>0</v>
      </c>
      <c r="V46" s="181"/>
      <c r="X46" s="17">
        <f t="shared" si="14"/>
        <v>0</v>
      </c>
      <c r="AG46" s="181"/>
      <c r="AI46" s="17">
        <f t="shared" si="15"/>
        <v>0</v>
      </c>
      <c r="AQ46" s="181"/>
      <c r="AS46" s="17">
        <f t="shared" si="16"/>
        <v>0</v>
      </c>
      <c r="BA46" s="181"/>
      <c r="BC46" s="17">
        <f t="shared" si="17"/>
        <v>0</v>
      </c>
    </row>
    <row r="47" spans="2:61">
      <c r="B47" s="181"/>
      <c r="C47">
        <v>19466</v>
      </c>
      <c r="D47" s="17">
        <f t="shared" si="12"/>
        <v>9.2695238095238094E-2</v>
      </c>
      <c r="L47" s="181"/>
      <c r="N47" s="17">
        <f t="shared" si="13"/>
        <v>0</v>
      </c>
      <c r="V47" s="181"/>
      <c r="X47" s="17">
        <f t="shared" si="14"/>
        <v>0</v>
      </c>
      <c r="AG47" s="181"/>
      <c r="AI47" s="17">
        <f t="shared" si="15"/>
        <v>0</v>
      </c>
      <c r="AQ47" s="181"/>
      <c r="AS47" s="17">
        <f t="shared" si="16"/>
        <v>0</v>
      </c>
      <c r="BA47" s="181"/>
      <c r="BC47" s="17">
        <f t="shared" si="17"/>
        <v>0</v>
      </c>
    </row>
    <row r="48" spans="2:61">
      <c r="B48" s="181"/>
      <c r="D48" s="17">
        <f t="shared" si="12"/>
        <v>0</v>
      </c>
      <c r="L48" s="181"/>
      <c r="N48" s="17">
        <f t="shared" si="13"/>
        <v>0</v>
      </c>
      <c r="V48" s="181"/>
      <c r="X48" s="17">
        <f t="shared" si="14"/>
        <v>0</v>
      </c>
      <c r="AG48" s="181"/>
      <c r="AI48" s="17">
        <f t="shared" si="15"/>
        <v>0</v>
      </c>
      <c r="AQ48" s="181"/>
      <c r="AS48" s="17">
        <f t="shared" si="16"/>
        <v>0</v>
      </c>
      <c r="BA48" s="181"/>
      <c r="BC48" s="17">
        <f t="shared" si="17"/>
        <v>0</v>
      </c>
    </row>
    <row r="49" spans="2:58">
      <c r="B49" s="181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81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81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81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81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81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81"/>
      <c r="D50" s="17">
        <f t="shared" si="12"/>
        <v>0</v>
      </c>
      <c r="L50" s="181"/>
      <c r="N50" s="17">
        <f t="shared" si="13"/>
        <v>0</v>
      </c>
      <c r="V50" s="181"/>
      <c r="X50" s="17">
        <f t="shared" si="14"/>
        <v>0</v>
      </c>
      <c r="AG50" s="181"/>
      <c r="AI50" s="17">
        <f t="shared" si="15"/>
        <v>0</v>
      </c>
      <c r="AQ50" s="181"/>
      <c r="AS50" s="17">
        <f t="shared" si="16"/>
        <v>0</v>
      </c>
      <c r="BA50" s="181"/>
      <c r="BC50" s="17">
        <f t="shared" si="17"/>
        <v>0</v>
      </c>
    </row>
    <row r="51" spans="2:58">
      <c r="B51" s="181"/>
      <c r="D51" s="17">
        <f t="shared" si="12"/>
        <v>0</v>
      </c>
      <c r="L51" s="181"/>
      <c r="N51" s="17">
        <f t="shared" si="13"/>
        <v>0</v>
      </c>
      <c r="V51" s="181"/>
      <c r="X51" s="17">
        <f t="shared" si="14"/>
        <v>0</v>
      </c>
      <c r="AG51" s="181"/>
      <c r="AI51" s="17">
        <f t="shared" si="15"/>
        <v>0</v>
      </c>
      <c r="AQ51" s="181"/>
      <c r="AS51" s="17">
        <f t="shared" si="16"/>
        <v>0</v>
      </c>
      <c r="BA51" s="181"/>
      <c r="BC51" s="17">
        <f t="shared" si="17"/>
        <v>0</v>
      </c>
    </row>
    <row r="52" spans="2:58">
      <c r="B52" s="181"/>
      <c r="D52" s="17">
        <f t="shared" si="12"/>
        <v>0</v>
      </c>
      <c r="L52" s="181"/>
      <c r="N52" s="17">
        <f t="shared" si="13"/>
        <v>0</v>
      </c>
      <c r="V52" s="181"/>
      <c r="X52" s="17">
        <f t="shared" si="14"/>
        <v>0</v>
      </c>
      <c r="AG52" s="181"/>
      <c r="AI52" s="17">
        <f t="shared" si="15"/>
        <v>0</v>
      </c>
      <c r="AQ52" s="181"/>
      <c r="AS52" s="17">
        <f t="shared" si="16"/>
        <v>0</v>
      </c>
      <c r="BA52" s="181"/>
      <c r="BC52" s="17">
        <f t="shared" si="17"/>
        <v>0</v>
      </c>
    </row>
    <row r="53" spans="2:58">
      <c r="B53" s="181"/>
      <c r="D53" s="17">
        <f t="shared" si="12"/>
        <v>0</v>
      </c>
      <c r="L53" s="181"/>
      <c r="N53" s="17">
        <f t="shared" si="13"/>
        <v>0</v>
      </c>
      <c r="V53" s="181"/>
      <c r="X53" s="17">
        <f t="shared" si="14"/>
        <v>0</v>
      </c>
      <c r="AG53" s="181"/>
      <c r="AI53" s="17">
        <f t="shared" si="15"/>
        <v>0</v>
      </c>
      <c r="AQ53" s="181"/>
      <c r="AS53" s="17">
        <f t="shared" si="16"/>
        <v>0</v>
      </c>
      <c r="BA53" s="181"/>
      <c r="BC53" s="17">
        <f t="shared" si="17"/>
        <v>0</v>
      </c>
    </row>
    <row r="54" spans="2:58">
      <c r="B54" s="181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81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81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81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81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81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81"/>
      <c r="D55" s="17">
        <f t="shared" si="12"/>
        <v>0</v>
      </c>
      <c r="L55" s="181"/>
      <c r="N55" s="17">
        <f t="shared" si="13"/>
        <v>0</v>
      </c>
      <c r="V55" s="181"/>
      <c r="X55" s="17">
        <f t="shared" si="14"/>
        <v>0</v>
      </c>
      <c r="AG55" s="181"/>
      <c r="AI55" s="17">
        <f t="shared" si="15"/>
        <v>0</v>
      </c>
      <c r="AQ55" s="181"/>
      <c r="AS55" s="17">
        <f t="shared" si="16"/>
        <v>0</v>
      </c>
      <c r="BA55" s="181"/>
      <c r="BC55" s="17">
        <f t="shared" si="17"/>
        <v>0</v>
      </c>
    </row>
    <row r="56" spans="2:58">
      <c r="B56" s="181"/>
      <c r="D56" s="17">
        <f t="shared" si="12"/>
        <v>0</v>
      </c>
      <c r="L56" s="181"/>
      <c r="N56" s="17">
        <f t="shared" si="13"/>
        <v>0</v>
      </c>
      <c r="V56" s="181"/>
      <c r="X56" s="17">
        <f t="shared" si="14"/>
        <v>0</v>
      </c>
      <c r="AG56" s="181"/>
      <c r="AI56" s="17">
        <f t="shared" si="15"/>
        <v>0</v>
      </c>
      <c r="AQ56" s="181"/>
      <c r="AS56" s="17">
        <f t="shared" si="16"/>
        <v>0</v>
      </c>
      <c r="BA56" s="181"/>
      <c r="BC56" s="17">
        <f t="shared" si="17"/>
        <v>0</v>
      </c>
    </row>
    <row r="57" spans="2:58">
      <c r="B57" s="181"/>
      <c r="D57" s="17">
        <f t="shared" si="12"/>
        <v>0</v>
      </c>
      <c r="L57" s="181"/>
      <c r="N57" s="17">
        <f t="shared" si="13"/>
        <v>0</v>
      </c>
      <c r="V57" s="181"/>
      <c r="X57" s="17">
        <f t="shared" si="14"/>
        <v>0</v>
      </c>
      <c r="AG57" s="181"/>
      <c r="AI57" s="17">
        <f t="shared" si="15"/>
        <v>0</v>
      </c>
      <c r="AQ57" s="181"/>
      <c r="AS57" s="17">
        <f t="shared" si="16"/>
        <v>0</v>
      </c>
      <c r="BA57" s="181"/>
      <c r="BC57" s="17">
        <f t="shared" si="17"/>
        <v>0</v>
      </c>
    </row>
    <row r="58" spans="2:58">
      <c r="B58" s="181"/>
      <c r="D58" s="17">
        <f t="shared" si="12"/>
        <v>0</v>
      </c>
      <c r="L58" s="181"/>
      <c r="N58" s="17">
        <f t="shared" si="13"/>
        <v>0</v>
      </c>
      <c r="V58" s="181"/>
      <c r="X58" s="17">
        <f t="shared" si="14"/>
        <v>0</v>
      </c>
      <c r="AG58" s="181"/>
      <c r="AI58" s="17">
        <f t="shared" si="15"/>
        <v>0</v>
      </c>
      <c r="AQ58" s="181"/>
      <c r="AS58" s="17">
        <f t="shared" si="16"/>
        <v>0</v>
      </c>
      <c r="BA58" s="181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83819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0.39913809523809524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0.61288571428571426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81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81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81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81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81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81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81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81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81"/>
      <c r="X3" s="17">
        <f t="shared" ref="X3:X4" si="2">W3*100/X$1</f>
        <v>0</v>
      </c>
      <c r="AA3" t="s">
        <v>22</v>
      </c>
      <c r="AB3">
        <v>70000</v>
      </c>
      <c r="AG3" s="181"/>
      <c r="AH3">
        <v>32543</v>
      </c>
      <c r="AI3" s="17">
        <f>AH3*100/AI$1</f>
        <v>0.15496666666666667</v>
      </c>
      <c r="AL3" t="s">
        <v>22</v>
      </c>
      <c r="AM3">
        <v>145000</v>
      </c>
      <c r="AQ3" s="181"/>
      <c r="AS3" s="17">
        <f>AR3*100/AS$1</f>
        <v>0</v>
      </c>
      <c r="AV3" t="s">
        <v>22</v>
      </c>
      <c r="AW3">
        <v>83000</v>
      </c>
      <c r="BA3" s="181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81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81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81"/>
      <c r="X4" s="17">
        <f t="shared" si="2"/>
        <v>0</v>
      </c>
      <c r="AA4" t="s">
        <v>26</v>
      </c>
      <c r="AB4">
        <f>W29</f>
        <v>117564</v>
      </c>
      <c r="AG4" s="181"/>
      <c r="AI4" s="17">
        <f t="shared" ref="AI4:AI26" si="3">AH4*100/AI$1</f>
        <v>0</v>
      </c>
      <c r="AL4" t="s">
        <v>26</v>
      </c>
      <c r="AM4">
        <f>AH29</f>
        <v>182871</v>
      </c>
      <c r="AQ4" s="181"/>
      <c r="AS4" s="17">
        <f t="shared" ref="AS4" si="4">AR4*100/AS$1</f>
        <v>0</v>
      </c>
      <c r="AV4" t="s">
        <v>26</v>
      </c>
      <c r="AW4">
        <f>AR29</f>
        <v>108694</v>
      </c>
      <c r="BA4" s="181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81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81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81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81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81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81"/>
      <c r="BC5" s="17">
        <f>BB5*100/BC$1</f>
        <v>0</v>
      </c>
      <c r="BF5" t="s">
        <v>178</v>
      </c>
      <c r="BG5">
        <f>5250+14380</f>
        <v>19630</v>
      </c>
    </row>
    <row r="6" spans="2:61">
      <c r="B6" s="181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81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81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81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81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81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81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81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81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81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81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81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81"/>
      <c r="C8">
        <v>1135</v>
      </c>
      <c r="D8" s="17">
        <f t="shared" si="0"/>
        <v>5.1126126126126124E-3</v>
      </c>
      <c r="H8" s="3"/>
      <c r="L8" s="181"/>
      <c r="N8" s="17">
        <f t="shared" si="6"/>
        <v>0</v>
      </c>
      <c r="R8" s="3"/>
      <c r="V8" s="181"/>
      <c r="W8">
        <v>2000</v>
      </c>
      <c r="X8" s="17">
        <f t="shared" si="7"/>
        <v>9.0090090090090089E-3</v>
      </c>
      <c r="AB8" s="3"/>
      <c r="AG8" s="181"/>
      <c r="AI8" s="17">
        <f t="shared" si="3"/>
        <v>0</v>
      </c>
      <c r="AM8" s="3"/>
      <c r="AQ8" s="181"/>
      <c r="AS8" s="17">
        <f t="shared" si="8"/>
        <v>0</v>
      </c>
      <c r="AW8" s="3"/>
      <c r="BA8" s="181"/>
      <c r="BB8">
        <v>10234</v>
      </c>
      <c r="BC8" s="17">
        <f t="shared" si="9"/>
        <v>4.873333333333333E-2</v>
      </c>
      <c r="BG8" s="3"/>
    </row>
    <row r="9" spans="2:61">
      <c r="B9" s="181"/>
      <c r="C9">
        <v>27760</v>
      </c>
      <c r="D9" s="17">
        <f t="shared" si="0"/>
        <v>0.12504504504504504</v>
      </c>
      <c r="H9" s="10"/>
      <c r="L9" s="181"/>
      <c r="M9">
        <v>25562</v>
      </c>
      <c r="N9" s="17">
        <f t="shared" si="6"/>
        <v>0.11514414414414414</v>
      </c>
      <c r="R9" s="10"/>
      <c r="V9" s="181"/>
      <c r="W9">
        <v>20000</v>
      </c>
      <c r="X9" s="17">
        <f t="shared" si="7"/>
        <v>9.0090090090090086E-2</v>
      </c>
      <c r="AB9" s="10"/>
      <c r="AG9" s="181"/>
      <c r="AH9">
        <v>28330</v>
      </c>
      <c r="AI9" s="17">
        <f t="shared" si="3"/>
        <v>0.13490476190476192</v>
      </c>
      <c r="AM9" s="10"/>
      <c r="AQ9" s="181"/>
      <c r="AS9" s="17">
        <f t="shared" si="8"/>
        <v>0</v>
      </c>
      <c r="AW9" s="10"/>
      <c r="BA9" s="181"/>
      <c r="BC9" s="17">
        <f t="shared" si="9"/>
        <v>0</v>
      </c>
      <c r="BG9" s="10"/>
    </row>
    <row r="10" spans="2:61">
      <c r="B10" s="181"/>
      <c r="D10" s="17">
        <f t="shared" si="0"/>
        <v>0</v>
      </c>
      <c r="L10" s="181"/>
      <c r="N10" s="17">
        <f t="shared" si="6"/>
        <v>0</v>
      </c>
      <c r="V10" s="181"/>
      <c r="W10">
        <v>7300</v>
      </c>
      <c r="X10" s="17">
        <f t="shared" si="7"/>
        <v>3.288288288288288E-2</v>
      </c>
      <c r="AG10" s="181"/>
      <c r="AH10">
        <v>6666</v>
      </c>
      <c r="AI10" s="17">
        <f t="shared" si="3"/>
        <v>3.1742857142857142E-2</v>
      </c>
      <c r="AQ10" s="181"/>
      <c r="AR10">
        <v>33356</v>
      </c>
      <c r="AS10" s="17">
        <f t="shared" si="8"/>
        <v>0.15883809523809525</v>
      </c>
      <c r="BA10" s="181"/>
      <c r="BB10">
        <v>10806</v>
      </c>
      <c r="BC10" s="17">
        <f t="shared" si="9"/>
        <v>5.1457142857142854E-2</v>
      </c>
    </row>
    <row r="11" spans="2:61">
      <c r="B11" s="181"/>
      <c r="C11">
        <v>-85944</v>
      </c>
      <c r="D11" s="17">
        <f t="shared" si="0"/>
        <v>-0.38713513513513514</v>
      </c>
      <c r="L11" s="181"/>
      <c r="N11" s="17">
        <f t="shared" si="6"/>
        <v>0</v>
      </c>
      <c r="V11" s="181"/>
      <c r="W11">
        <v>-1400</v>
      </c>
      <c r="X11" s="17">
        <f t="shared" si="7"/>
        <v>-6.3063063063063061E-3</v>
      </c>
      <c r="AG11" s="181"/>
      <c r="AH11">
        <v>7917</v>
      </c>
      <c r="AI11" s="17">
        <f t="shared" si="3"/>
        <v>3.7699999999999997E-2</v>
      </c>
      <c r="AQ11" s="181"/>
      <c r="AR11">
        <v>1985</v>
      </c>
      <c r="AS11" s="17">
        <f t="shared" si="8"/>
        <v>9.4523809523809517E-3</v>
      </c>
      <c r="BA11" s="181"/>
      <c r="BC11" s="17">
        <f t="shared" si="9"/>
        <v>0</v>
      </c>
    </row>
    <row r="12" spans="2:61">
      <c r="B12" s="181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81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81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81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81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81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81"/>
      <c r="C13">
        <v>18486</v>
      </c>
      <c r="D13" s="17">
        <f t="shared" si="0"/>
        <v>8.3270270270270272E-2</v>
      </c>
      <c r="L13" s="181"/>
      <c r="M13">
        <v>16088</v>
      </c>
      <c r="N13" s="17">
        <f t="shared" si="6"/>
        <v>7.2468468468468467E-2</v>
      </c>
      <c r="V13" s="181"/>
      <c r="W13">
        <v>1000</v>
      </c>
      <c r="X13" s="17">
        <f t="shared" si="7"/>
        <v>4.5045045045045045E-3</v>
      </c>
      <c r="AG13" s="181"/>
      <c r="AH13">
        <v>5576</v>
      </c>
      <c r="AI13" s="17">
        <f t="shared" si="3"/>
        <v>2.6552380952380952E-2</v>
      </c>
      <c r="AQ13" s="181"/>
      <c r="AS13" s="17">
        <f t="shared" si="8"/>
        <v>0</v>
      </c>
      <c r="BA13" s="181"/>
      <c r="BB13">
        <v>12700</v>
      </c>
      <c r="BC13" s="17">
        <f t="shared" si="9"/>
        <v>6.0476190476190475E-2</v>
      </c>
    </row>
    <row r="14" spans="2:61">
      <c r="B14" s="181"/>
      <c r="D14" s="17">
        <f t="shared" si="0"/>
        <v>0</v>
      </c>
      <c r="L14" s="181"/>
      <c r="M14">
        <v>4952</v>
      </c>
      <c r="N14" s="17">
        <f t="shared" si="6"/>
        <v>2.2306306306306305E-2</v>
      </c>
      <c r="V14" s="181"/>
      <c r="W14">
        <v>17124</v>
      </c>
      <c r="X14" s="17">
        <f t="shared" si="7"/>
        <v>7.7135135135135133E-2</v>
      </c>
      <c r="AG14" s="181"/>
      <c r="AH14">
        <v>3261</v>
      </c>
      <c r="AI14" s="17">
        <f t="shared" si="3"/>
        <v>1.5528571428571428E-2</v>
      </c>
      <c r="AQ14" s="181"/>
      <c r="AS14" s="17">
        <f t="shared" si="8"/>
        <v>0</v>
      </c>
      <c r="BA14" s="181"/>
      <c r="BC14" s="17">
        <f t="shared" si="9"/>
        <v>0</v>
      </c>
    </row>
    <row r="15" spans="2:61">
      <c r="B15" s="181"/>
      <c r="C15">
        <v>-7607</v>
      </c>
      <c r="D15" s="17">
        <f t="shared" si="0"/>
        <v>-3.4265765765765767E-2</v>
      </c>
      <c r="L15" s="181"/>
      <c r="M15">
        <v>6295</v>
      </c>
      <c r="N15" s="17">
        <f t="shared" si="6"/>
        <v>2.8355855855855854E-2</v>
      </c>
      <c r="V15" s="181"/>
      <c r="X15" s="17">
        <f t="shared" si="7"/>
        <v>0</v>
      </c>
      <c r="AG15" s="181"/>
      <c r="AH15">
        <v>2782</v>
      </c>
      <c r="AI15" s="17">
        <f t="shared" si="3"/>
        <v>1.3247619047619048E-2</v>
      </c>
      <c r="AQ15" s="181"/>
      <c r="AR15">
        <v>16363</v>
      </c>
      <c r="AS15" s="17">
        <f t="shared" si="8"/>
        <v>7.7919047619047624E-2</v>
      </c>
      <c r="BA15" s="181"/>
      <c r="BB15">
        <v>9388</v>
      </c>
      <c r="BC15" s="17">
        <f t="shared" si="9"/>
        <v>4.4704761904761907E-2</v>
      </c>
    </row>
    <row r="16" spans="2:61">
      <c r="B16" s="181"/>
      <c r="C16">
        <v>-284</v>
      </c>
      <c r="D16" s="17">
        <f t="shared" si="0"/>
        <v>-1.2792792792792793E-3</v>
      </c>
      <c r="L16" s="181"/>
      <c r="N16" s="17">
        <f t="shared" si="6"/>
        <v>0</v>
      </c>
      <c r="V16" s="181"/>
      <c r="X16" s="17">
        <f t="shared" si="7"/>
        <v>0</v>
      </c>
      <c r="AG16" s="181"/>
      <c r="AH16">
        <v>7502</v>
      </c>
      <c r="AI16" s="17">
        <f t="shared" si="3"/>
        <v>3.5723809523809526E-2</v>
      </c>
      <c r="AQ16" s="181"/>
      <c r="AR16">
        <v>15701</v>
      </c>
      <c r="AS16" s="17">
        <f t="shared" si="8"/>
        <v>7.4766666666666662E-2</v>
      </c>
      <c r="BA16" s="181"/>
      <c r="BC16" s="17">
        <f t="shared" si="9"/>
        <v>0</v>
      </c>
    </row>
    <row r="17" spans="2:58">
      <c r="B17" s="181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81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81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81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81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81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81"/>
      <c r="C18">
        <v>6364</v>
      </c>
      <c r="D18" s="17">
        <f t="shared" si="0"/>
        <v>2.8666666666666667E-2</v>
      </c>
      <c r="L18" s="181"/>
      <c r="N18" s="17">
        <f t="shared" si="6"/>
        <v>0</v>
      </c>
      <c r="V18" s="181"/>
      <c r="W18">
        <v>9271</v>
      </c>
      <c r="X18" s="17">
        <f t="shared" si="7"/>
        <v>4.1761261261261264E-2</v>
      </c>
      <c r="AG18" s="181"/>
      <c r="AI18" s="17">
        <f t="shared" si="3"/>
        <v>0</v>
      </c>
      <c r="AQ18" s="181"/>
      <c r="AR18">
        <v>-23032</v>
      </c>
      <c r="AS18" s="17">
        <f t="shared" si="8"/>
        <v>-0.10967619047619048</v>
      </c>
      <c r="BA18" s="181"/>
      <c r="BB18">
        <v>8900</v>
      </c>
      <c r="BC18" s="17">
        <f t="shared" si="9"/>
        <v>4.238095238095238E-2</v>
      </c>
    </row>
    <row r="19" spans="2:58">
      <c r="B19" s="181"/>
      <c r="C19">
        <v>13823</v>
      </c>
      <c r="D19" s="17">
        <f t="shared" si="0"/>
        <v>6.2265765765765764E-2</v>
      </c>
      <c r="L19" s="181"/>
      <c r="M19">
        <v>35029</v>
      </c>
      <c r="N19" s="17">
        <f t="shared" si="6"/>
        <v>0.15778828828828828</v>
      </c>
      <c r="V19" s="181"/>
      <c r="W19">
        <f>11013-5559</f>
        <v>5454</v>
      </c>
      <c r="X19" s="17">
        <f t="shared" si="7"/>
        <v>2.4567567567567568E-2</v>
      </c>
      <c r="AG19" s="181"/>
      <c r="AH19">
        <v>13273</v>
      </c>
      <c r="AI19" s="17">
        <f t="shared" si="3"/>
        <v>6.3204761904761902E-2</v>
      </c>
      <c r="AQ19" s="181"/>
      <c r="AR19">
        <v>26616</v>
      </c>
      <c r="AS19" s="17">
        <f t="shared" si="8"/>
        <v>0.12674285714285713</v>
      </c>
      <c r="BA19" s="181"/>
      <c r="BC19" s="17">
        <f t="shared" si="9"/>
        <v>0</v>
      </c>
    </row>
    <row r="20" spans="2:58">
      <c r="B20" s="181"/>
      <c r="D20" s="17">
        <f t="shared" si="0"/>
        <v>0</v>
      </c>
      <c r="L20" s="181"/>
      <c r="M20">
        <v>43096</v>
      </c>
      <c r="N20" s="17">
        <f t="shared" si="6"/>
        <v>0.19412612612612612</v>
      </c>
      <c r="V20" s="181"/>
      <c r="W20">
        <v>6955</v>
      </c>
      <c r="X20" s="17">
        <f t="shared" si="7"/>
        <v>3.1328828828828828E-2</v>
      </c>
      <c r="AG20" s="181"/>
      <c r="AH20">
        <v>6000</v>
      </c>
      <c r="AI20" s="17">
        <f t="shared" si="3"/>
        <v>2.8571428571428571E-2</v>
      </c>
      <c r="AQ20" s="181"/>
      <c r="AR20">
        <v>13771</v>
      </c>
      <c r="AS20" s="17">
        <f t="shared" si="8"/>
        <v>6.5576190476190482E-2</v>
      </c>
      <c r="BA20" s="181"/>
      <c r="BB20">
        <v>14642</v>
      </c>
      <c r="BC20" s="17">
        <f t="shared" si="9"/>
        <v>6.9723809523809521E-2</v>
      </c>
    </row>
    <row r="21" spans="2:58">
      <c r="B21" s="181"/>
      <c r="D21" s="17">
        <f t="shared" si="0"/>
        <v>0</v>
      </c>
      <c r="L21" s="181"/>
      <c r="M21">
        <v>6928</v>
      </c>
      <c r="N21" s="17">
        <f t="shared" si="6"/>
        <v>3.1207207207207207E-2</v>
      </c>
      <c r="V21" s="181"/>
      <c r="X21" s="17">
        <f t="shared" si="7"/>
        <v>0</v>
      </c>
      <c r="AG21" s="181"/>
      <c r="AH21">
        <f>3226-5862+5576</f>
        <v>2940</v>
      </c>
      <c r="AI21" s="17">
        <f t="shared" si="3"/>
        <v>1.4E-2</v>
      </c>
      <c r="AQ21" s="181"/>
      <c r="AR21">
        <v>8753</v>
      </c>
      <c r="AS21" s="17">
        <f t="shared" si="8"/>
        <v>4.1680952380952381E-2</v>
      </c>
      <c r="BA21" s="181"/>
      <c r="BC21" s="17">
        <f t="shared" si="9"/>
        <v>0</v>
      </c>
    </row>
    <row r="22" spans="2:58">
      <c r="B22" s="181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81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81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81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81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81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81"/>
      <c r="C23">
        <v>16934</v>
      </c>
      <c r="D23" s="17">
        <f t="shared" si="0"/>
        <v>7.6279279279279286E-2</v>
      </c>
      <c r="L23" s="181"/>
      <c r="M23">
        <v>-8980</v>
      </c>
      <c r="N23" s="17">
        <f t="shared" si="6"/>
        <v>-4.0450450450450454E-2</v>
      </c>
      <c r="V23" s="181"/>
      <c r="W23">
        <v>1022</v>
      </c>
      <c r="X23" s="17">
        <f t="shared" si="7"/>
        <v>4.6036036036036032E-3</v>
      </c>
      <c r="AG23" s="181"/>
      <c r="AH23">
        <v>5696</v>
      </c>
      <c r="AI23" s="17">
        <f t="shared" si="3"/>
        <v>2.7123809523809522E-2</v>
      </c>
      <c r="AQ23" s="181"/>
      <c r="AR23">
        <v>525</v>
      </c>
      <c r="AS23" s="17">
        <f t="shared" si="8"/>
        <v>2.5000000000000001E-3</v>
      </c>
      <c r="BA23" s="181"/>
      <c r="BC23" s="17">
        <f t="shared" si="9"/>
        <v>0</v>
      </c>
    </row>
    <row r="24" spans="2:58">
      <c r="B24" s="181"/>
      <c r="D24" s="17">
        <f t="shared" si="0"/>
        <v>0</v>
      </c>
      <c r="L24" s="181"/>
      <c r="N24" s="17">
        <f t="shared" si="6"/>
        <v>0</v>
      </c>
      <c r="V24" s="181"/>
      <c r="W24">
        <v>22704</v>
      </c>
      <c r="X24" s="17">
        <f t="shared" si="7"/>
        <v>0.10227027027027027</v>
      </c>
      <c r="AG24" s="181"/>
      <c r="AH24">
        <v>25309</v>
      </c>
      <c r="AI24" s="17">
        <f t="shared" si="3"/>
        <v>0.12051904761904762</v>
      </c>
      <c r="AQ24" s="181"/>
      <c r="AS24" s="17">
        <f t="shared" si="8"/>
        <v>0</v>
      </c>
      <c r="BA24" s="181"/>
      <c r="BC24" s="17">
        <f t="shared" si="9"/>
        <v>0</v>
      </c>
    </row>
    <row r="25" spans="2:58">
      <c r="B25" s="181"/>
      <c r="D25" s="17">
        <f t="shared" si="0"/>
        <v>0</v>
      </c>
      <c r="L25" s="181"/>
      <c r="N25" s="17">
        <f t="shared" si="6"/>
        <v>0</v>
      </c>
      <c r="V25" s="181"/>
      <c r="X25" s="17">
        <f t="shared" si="7"/>
        <v>0</v>
      </c>
      <c r="AG25" s="181"/>
      <c r="AH25">
        <v>7812</v>
      </c>
      <c r="AI25" s="17">
        <f t="shared" si="3"/>
        <v>3.7199999999999997E-2</v>
      </c>
      <c r="AQ25" s="181"/>
      <c r="AS25" s="17">
        <f t="shared" si="8"/>
        <v>0</v>
      </c>
      <c r="BA25" s="181"/>
      <c r="BC25" s="17">
        <f t="shared" si="9"/>
        <v>0</v>
      </c>
    </row>
    <row r="26" spans="2:58">
      <c r="B26" s="181"/>
      <c r="D26" s="17">
        <f t="shared" si="0"/>
        <v>0</v>
      </c>
      <c r="L26" s="181"/>
      <c r="N26" s="17">
        <f t="shared" si="6"/>
        <v>0</v>
      </c>
      <c r="V26" s="181"/>
      <c r="W26">
        <v>10300</v>
      </c>
      <c r="X26" s="17">
        <f t="shared" si="7"/>
        <v>4.6396396396396394E-2</v>
      </c>
      <c r="AG26" s="181"/>
      <c r="AI26" s="17">
        <f t="shared" si="3"/>
        <v>0</v>
      </c>
      <c r="AQ26" s="181"/>
      <c r="AS26" s="17">
        <f t="shared" si="8"/>
        <v>0</v>
      </c>
      <c r="BA26" s="181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81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81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81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81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81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81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81"/>
      <c r="D35" s="17">
        <f t="shared" ref="D35:D58" si="10">C35*100/D$33</f>
        <v>0</v>
      </c>
      <c r="G35" t="s">
        <v>22</v>
      </c>
      <c r="H35">
        <v>70000</v>
      </c>
      <c r="L35" s="181"/>
      <c r="N35" s="17">
        <f t="shared" ref="N35:N58" si="11">M35*100/N$33</f>
        <v>0</v>
      </c>
      <c r="Q35" t="s">
        <v>22</v>
      </c>
      <c r="R35">
        <v>130000</v>
      </c>
      <c r="V35" s="181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81"/>
      <c r="AI35" s="17">
        <f t="shared" ref="AI35:AI58" si="13">AH35*100/AI$33</f>
        <v>0</v>
      </c>
      <c r="AL35" t="s">
        <v>22</v>
      </c>
      <c r="AM35">
        <v>83000</v>
      </c>
      <c r="AQ35" s="181"/>
      <c r="AS35" s="17">
        <f t="shared" ref="AS35:AS58" si="14">AR35*100/AS$33</f>
        <v>0</v>
      </c>
      <c r="AV35" t="s">
        <v>22</v>
      </c>
      <c r="AW35">
        <v>160000</v>
      </c>
      <c r="BA35" s="181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81"/>
      <c r="D36" s="17">
        <f t="shared" si="10"/>
        <v>0</v>
      </c>
      <c r="G36" t="s">
        <v>26</v>
      </c>
      <c r="H36">
        <f>C61</f>
        <v>205902</v>
      </c>
      <c r="L36" s="181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81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81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81"/>
      <c r="AS36" s="17">
        <f t="shared" si="14"/>
        <v>0</v>
      </c>
      <c r="AV36" t="s">
        <v>26</v>
      </c>
      <c r="AW36">
        <f>AR61</f>
        <v>128348</v>
      </c>
      <c r="BA36" s="181"/>
      <c r="BC36" s="17">
        <f t="shared" si="15"/>
        <v>0</v>
      </c>
      <c r="BF36" t="s">
        <v>26</v>
      </c>
      <c r="BG36">
        <f>BB61</f>
        <v>91521</v>
      </c>
    </row>
    <row r="37" spans="2:61">
      <c r="B37" s="181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81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81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81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81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81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81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81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81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81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81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81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81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81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81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81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81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81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81"/>
      <c r="D40" s="17">
        <f t="shared" si="10"/>
        <v>0</v>
      </c>
      <c r="L40" s="181"/>
      <c r="N40" s="17">
        <f t="shared" si="11"/>
        <v>0</v>
      </c>
      <c r="V40" s="181"/>
      <c r="W40">
        <v>19421</v>
      </c>
      <c r="X40" s="17">
        <f t="shared" si="12"/>
        <v>8.7481981981981982E-2</v>
      </c>
      <c r="AG40" s="181"/>
      <c r="AI40" s="17">
        <f t="shared" si="13"/>
        <v>0</v>
      </c>
      <c r="AQ40" s="181"/>
      <c r="AR40">
        <v>15999</v>
      </c>
      <c r="AS40" s="17">
        <f t="shared" si="14"/>
        <v>7.6185714285714287E-2</v>
      </c>
      <c r="BA40" s="181"/>
      <c r="BB40">
        <v>10596</v>
      </c>
      <c r="BC40" s="17">
        <f t="shared" si="15"/>
        <v>5.045714285714286E-2</v>
      </c>
    </row>
    <row r="41" spans="2:61">
      <c r="B41" s="181"/>
      <c r="C41">
        <v>92350</v>
      </c>
      <c r="D41" s="17">
        <f t="shared" si="10"/>
        <v>0.41599099099099102</v>
      </c>
      <c r="H41" s="10"/>
      <c r="L41" s="181"/>
      <c r="M41">
        <v>32031</v>
      </c>
      <c r="N41" s="17">
        <f t="shared" si="11"/>
        <v>0.14428378378378379</v>
      </c>
      <c r="R41" s="10"/>
      <c r="V41" s="181"/>
      <c r="W41">
        <v>1918</v>
      </c>
      <c r="X41" s="17">
        <f t="shared" si="12"/>
        <v>8.6396396396396392E-3</v>
      </c>
      <c r="AB41" s="10"/>
      <c r="AG41" s="181"/>
      <c r="AH41">
        <v>15745</v>
      </c>
      <c r="AI41" s="17">
        <f t="shared" si="13"/>
        <v>7.4976190476190474E-2</v>
      </c>
      <c r="AM41" s="10"/>
      <c r="AQ41" s="181"/>
      <c r="AS41" s="17">
        <f>AR41*100/AS$33</f>
        <v>0</v>
      </c>
      <c r="AW41" s="10"/>
      <c r="BA41" s="181"/>
      <c r="BC41" s="17">
        <f t="shared" si="15"/>
        <v>0</v>
      </c>
      <c r="BG41" s="10"/>
    </row>
    <row r="42" spans="2:61">
      <c r="B42" s="181"/>
      <c r="C42">
        <v>4280</v>
      </c>
      <c r="D42" s="17">
        <f t="shared" si="10"/>
        <v>1.927927927927928E-2</v>
      </c>
      <c r="L42" s="181"/>
      <c r="N42" s="17">
        <f t="shared" si="11"/>
        <v>0</v>
      </c>
      <c r="V42" s="181"/>
      <c r="W42">
        <v>4777</v>
      </c>
      <c r="X42" s="17">
        <f t="shared" si="12"/>
        <v>2.1518018018018018E-2</v>
      </c>
      <c r="AG42" s="181"/>
      <c r="AH42">
        <v>12430</v>
      </c>
      <c r="AI42" s="17">
        <f t="shared" si="13"/>
        <v>5.9190476190476189E-2</v>
      </c>
      <c r="AQ42" s="181"/>
      <c r="AR42">
        <v>13288</v>
      </c>
      <c r="AS42" s="17">
        <f>AR42*100/AS$33</f>
        <v>6.3276190476190472E-2</v>
      </c>
      <c r="BA42" s="181"/>
      <c r="BB42">
        <v>6150</v>
      </c>
      <c r="BC42" s="17">
        <f t="shared" si="15"/>
        <v>2.9285714285714286E-2</v>
      </c>
    </row>
    <row r="43" spans="2:61">
      <c r="B43" s="181"/>
      <c r="D43" s="17">
        <f t="shared" si="10"/>
        <v>0</v>
      </c>
      <c r="L43" s="181"/>
      <c r="N43" s="17">
        <f t="shared" si="11"/>
        <v>0</v>
      </c>
      <c r="V43" s="181"/>
      <c r="W43">
        <f>14431+1090</f>
        <v>15521</v>
      </c>
      <c r="X43" s="17">
        <f t="shared" si="12"/>
        <v>6.9914414414414414E-2</v>
      </c>
      <c r="AG43" s="181"/>
      <c r="AI43" s="17">
        <f t="shared" si="13"/>
        <v>0</v>
      </c>
      <c r="AQ43" s="181"/>
      <c r="AS43" s="17">
        <f t="shared" si="14"/>
        <v>0</v>
      </c>
      <c r="BA43" s="181"/>
      <c r="BC43" s="17">
        <f t="shared" si="15"/>
        <v>0</v>
      </c>
    </row>
    <row r="44" spans="2:61">
      <c r="B44" s="181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81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81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81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81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81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81"/>
      <c r="C45">
        <v>15387</v>
      </c>
      <c r="D45" s="17">
        <f t="shared" si="10"/>
        <v>6.9310810810810808E-2</v>
      </c>
      <c r="L45" s="181"/>
      <c r="M45">
        <v>28902</v>
      </c>
      <c r="N45" s="17">
        <f>M45*100/N$33</f>
        <v>0.1301891891891892</v>
      </c>
      <c r="V45" s="181"/>
      <c r="W45">
        <v>2194</v>
      </c>
      <c r="X45" s="17">
        <f t="shared" si="12"/>
        <v>9.8828828828828822E-3</v>
      </c>
      <c r="AG45" s="181"/>
      <c r="AH45">
        <v>1210</v>
      </c>
      <c r="AI45" s="17">
        <f t="shared" si="13"/>
        <v>5.7619047619047615E-3</v>
      </c>
      <c r="AQ45" s="181"/>
      <c r="AR45">
        <v>12747</v>
      </c>
      <c r="AS45" s="17">
        <f>AR45*100/AS$33</f>
        <v>6.0699999999999997E-2</v>
      </c>
      <c r="BA45" s="181"/>
      <c r="BB45">
        <v>9678</v>
      </c>
      <c r="BC45" s="17">
        <f t="shared" si="15"/>
        <v>4.6085714285714285E-2</v>
      </c>
    </row>
    <row r="46" spans="2:61">
      <c r="B46" s="181"/>
      <c r="C46">
        <v>6591</v>
      </c>
      <c r="D46" s="17">
        <f t="shared" si="10"/>
        <v>2.968918918918919E-2</v>
      </c>
      <c r="L46" s="181"/>
      <c r="N46" s="17">
        <f>M46*100/N$33</f>
        <v>0</v>
      </c>
      <c r="V46" s="181"/>
      <c r="W46">
        <v>21380</v>
      </c>
      <c r="X46" s="17">
        <f t="shared" si="12"/>
        <v>9.6306306306306308E-2</v>
      </c>
      <c r="AG46" s="181"/>
      <c r="AI46" s="17">
        <f t="shared" si="13"/>
        <v>0</v>
      </c>
      <c r="AQ46" s="181"/>
      <c r="AS46" s="17">
        <f>AR46*100/AS$33</f>
        <v>0</v>
      </c>
      <c r="BA46" s="181"/>
      <c r="BC46" s="17">
        <f t="shared" si="15"/>
        <v>0</v>
      </c>
    </row>
    <row r="47" spans="2:61">
      <c r="B47" s="181"/>
      <c r="C47">
        <v>7649</v>
      </c>
      <c r="D47" s="17">
        <f t="shared" si="10"/>
        <v>3.4454954954954958E-2</v>
      </c>
      <c r="L47" s="181"/>
      <c r="M47">
        <v>7200</v>
      </c>
      <c r="N47" s="17">
        <f t="shared" si="11"/>
        <v>3.2432432432432434E-2</v>
      </c>
      <c r="V47" s="181"/>
      <c r="W47">
        <v>7152</v>
      </c>
      <c r="X47" s="17">
        <f t="shared" si="12"/>
        <v>3.2216216216216217E-2</v>
      </c>
      <c r="AG47" s="181"/>
      <c r="AH47">
        <v>20876</v>
      </c>
      <c r="AI47" s="17">
        <f t="shared" si="13"/>
        <v>9.9409523809523809E-2</v>
      </c>
      <c r="AQ47" s="181"/>
      <c r="AR47">
        <v>9117</v>
      </c>
      <c r="AS47" s="17">
        <f t="shared" si="14"/>
        <v>4.3414285714285718E-2</v>
      </c>
      <c r="BA47" s="181"/>
      <c r="BB47">
        <v>15000</v>
      </c>
      <c r="BC47" s="17">
        <f t="shared" si="15"/>
        <v>7.1428571428571425E-2</v>
      </c>
    </row>
    <row r="48" spans="2:61">
      <c r="B48" s="181"/>
      <c r="D48" s="17">
        <f t="shared" si="10"/>
        <v>0</v>
      </c>
      <c r="L48" s="181"/>
      <c r="M48">
        <v>5823</v>
      </c>
      <c r="N48" s="17">
        <f t="shared" si="11"/>
        <v>2.6229729729729728E-2</v>
      </c>
      <c r="V48" s="181"/>
      <c r="W48">
        <v>-24109</v>
      </c>
      <c r="X48" s="17">
        <f t="shared" si="12"/>
        <v>-0.10859909909909909</v>
      </c>
      <c r="AG48" s="181"/>
      <c r="AH48">
        <v>7775</v>
      </c>
      <c r="AI48" s="17">
        <f t="shared" si="13"/>
        <v>3.7023809523809521E-2</v>
      </c>
      <c r="AQ48" s="181"/>
      <c r="AS48" s="17">
        <f t="shared" si="14"/>
        <v>0</v>
      </c>
      <c r="BA48" s="181"/>
      <c r="BC48" s="17">
        <f t="shared" si="15"/>
        <v>0</v>
      </c>
    </row>
    <row r="49" spans="2:58">
      <c r="B49" s="181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81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81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81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81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81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81"/>
      <c r="C50">
        <v>-9964</v>
      </c>
      <c r="D50" s="17">
        <f t="shared" si="10"/>
        <v>-4.4882882882882884E-2</v>
      </c>
      <c r="L50" s="181"/>
      <c r="M50">
        <v>11981</v>
      </c>
      <c r="N50" s="17">
        <f t="shared" si="11"/>
        <v>5.3968468468468471E-2</v>
      </c>
      <c r="V50" s="181"/>
      <c r="W50">
        <v>-2194</v>
      </c>
      <c r="X50" s="17">
        <f t="shared" si="12"/>
        <v>-9.8828828828828822E-3</v>
      </c>
      <c r="AG50" s="181"/>
      <c r="AI50" s="17">
        <f t="shared" si="13"/>
        <v>0</v>
      </c>
      <c r="AQ50" s="181"/>
      <c r="AR50">
        <v>-5844</v>
      </c>
      <c r="AS50" s="17">
        <f t="shared" si="14"/>
        <v>-2.7828571428571428E-2</v>
      </c>
      <c r="BA50" s="181"/>
      <c r="BB50">
        <v>7102</v>
      </c>
      <c r="BC50" s="17">
        <f t="shared" si="15"/>
        <v>3.3819047619047617E-2</v>
      </c>
    </row>
    <row r="51" spans="2:58">
      <c r="B51" s="181"/>
      <c r="C51">
        <v>17253</v>
      </c>
      <c r="D51" s="17">
        <f t="shared" si="10"/>
        <v>7.7716216216216216E-2</v>
      </c>
      <c r="L51" s="181"/>
      <c r="M51">
        <v>27753</v>
      </c>
      <c r="N51" s="17">
        <f t="shared" si="11"/>
        <v>0.1250135135135135</v>
      </c>
      <c r="V51" s="181"/>
      <c r="W51">
        <f>44528-1973</f>
        <v>42555</v>
      </c>
      <c r="X51" s="17">
        <f t="shared" si="12"/>
        <v>0.1916891891891892</v>
      </c>
      <c r="AG51" s="181"/>
      <c r="AH51">
        <f>7146+6075</f>
        <v>13221</v>
      </c>
      <c r="AI51" s="17">
        <f t="shared" si="13"/>
        <v>6.295714285714285E-2</v>
      </c>
      <c r="AQ51" s="181"/>
      <c r="AR51">
        <v>17290</v>
      </c>
      <c r="AS51" s="17">
        <f t="shared" si="14"/>
        <v>8.2333333333333328E-2</v>
      </c>
      <c r="BA51" s="181"/>
      <c r="BC51" s="17">
        <f t="shared" si="15"/>
        <v>0</v>
      </c>
    </row>
    <row r="52" spans="2:58">
      <c r="B52" s="181"/>
      <c r="C52">
        <v>4187</v>
      </c>
      <c r="D52" s="17">
        <f t="shared" si="10"/>
        <v>1.8860360360360359E-2</v>
      </c>
      <c r="L52" s="181"/>
      <c r="M52">
        <v>15021</v>
      </c>
      <c r="N52" s="17">
        <f t="shared" si="11"/>
        <v>6.7662162162162157E-2</v>
      </c>
      <c r="V52" s="181"/>
      <c r="W52">
        <v>11270</v>
      </c>
      <c r="X52" s="17">
        <f t="shared" si="12"/>
        <v>5.0765765765765768E-2</v>
      </c>
      <c r="AG52" s="181"/>
      <c r="AH52">
        <f>5871-21771</f>
        <v>-15900</v>
      </c>
      <c r="AI52" s="17">
        <f t="shared" si="13"/>
        <v>-7.571428571428572E-2</v>
      </c>
      <c r="AQ52" s="181"/>
      <c r="AR52">
        <v>16351</v>
      </c>
      <c r="AS52" s="17">
        <f t="shared" si="14"/>
        <v>7.7861904761904757E-2</v>
      </c>
      <c r="BA52" s="181"/>
      <c r="BB52">
        <v>26370</v>
      </c>
      <c r="BC52" s="17">
        <f t="shared" si="15"/>
        <v>0.12557142857142858</v>
      </c>
    </row>
    <row r="53" spans="2:58">
      <c r="B53" s="181"/>
      <c r="D53" s="17">
        <f t="shared" si="10"/>
        <v>0</v>
      </c>
      <c r="L53" s="181"/>
      <c r="N53" s="17">
        <f t="shared" si="11"/>
        <v>0</v>
      </c>
      <c r="V53" s="181"/>
      <c r="W53">
        <v>13782</v>
      </c>
      <c r="X53" s="17">
        <f t="shared" si="12"/>
        <v>6.2081081081081083E-2</v>
      </c>
      <c r="AG53" s="181"/>
      <c r="AH53">
        <v>13064</v>
      </c>
      <c r="AI53" s="17">
        <f t="shared" si="13"/>
        <v>6.2209523809523812E-2</v>
      </c>
      <c r="AQ53" s="181"/>
      <c r="AR53">
        <v>15026</v>
      </c>
      <c r="AS53" s="17">
        <f t="shared" si="14"/>
        <v>7.1552380952380951E-2</v>
      </c>
      <c r="BA53" s="181"/>
      <c r="BC53" s="17">
        <f t="shared" si="15"/>
        <v>0</v>
      </c>
    </row>
    <row r="54" spans="2:58">
      <c r="B54" s="181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81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81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81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81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81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81"/>
      <c r="D55" s="17">
        <f t="shared" si="10"/>
        <v>0</v>
      </c>
      <c r="L55" s="181"/>
      <c r="N55" s="17">
        <f t="shared" si="11"/>
        <v>0</v>
      </c>
      <c r="V55" s="181"/>
      <c r="X55" s="17">
        <f t="shared" si="12"/>
        <v>0</v>
      </c>
      <c r="AG55" s="181"/>
      <c r="AI55" s="17">
        <f t="shared" si="13"/>
        <v>0</v>
      </c>
      <c r="AQ55" s="181"/>
      <c r="AR55">
        <v>8533</v>
      </c>
      <c r="AS55" s="17">
        <f t="shared" si="14"/>
        <v>4.0633333333333334E-2</v>
      </c>
      <c r="BA55" s="181"/>
      <c r="BC55" s="17">
        <f t="shared" si="15"/>
        <v>0</v>
      </c>
    </row>
    <row r="56" spans="2:58">
      <c r="B56" s="181"/>
      <c r="C56">
        <v>21350</v>
      </c>
      <c r="D56" s="17">
        <f t="shared" si="10"/>
        <v>9.6171171171171174E-2</v>
      </c>
      <c r="L56" s="181"/>
      <c r="M56">
        <v>20162</v>
      </c>
      <c r="N56" s="17">
        <f t="shared" si="11"/>
        <v>9.0819819819819819E-2</v>
      </c>
      <c r="V56" s="181"/>
      <c r="X56" s="17">
        <f t="shared" si="12"/>
        <v>0</v>
      </c>
      <c r="AG56" s="181"/>
      <c r="AI56" s="17">
        <f t="shared" si="13"/>
        <v>0</v>
      </c>
      <c r="AQ56" s="181"/>
      <c r="AR56">
        <v>6891</v>
      </c>
      <c r="AS56" s="17">
        <f t="shared" si="14"/>
        <v>3.2814285714285713E-2</v>
      </c>
      <c r="BA56" s="181"/>
      <c r="BC56" s="17">
        <f t="shared" si="15"/>
        <v>0</v>
      </c>
    </row>
    <row r="57" spans="2:58">
      <c r="B57" s="181"/>
      <c r="C57">
        <v>41626</v>
      </c>
      <c r="D57" s="17">
        <f t="shared" si="10"/>
        <v>0.18750450450450451</v>
      </c>
      <c r="H57" s="5"/>
      <c r="L57" s="181"/>
      <c r="N57" s="17">
        <f t="shared" si="11"/>
        <v>0</v>
      </c>
      <c r="V57" s="181"/>
      <c r="X57" s="17">
        <f t="shared" si="12"/>
        <v>0</v>
      </c>
      <c r="AG57" s="181"/>
      <c r="AI57" s="17">
        <f t="shared" si="13"/>
        <v>0</v>
      </c>
      <c r="AQ57" s="181"/>
      <c r="AR57">
        <v>18827</v>
      </c>
      <c r="AS57" s="17">
        <f t="shared" si="14"/>
        <v>8.9652380952380956E-2</v>
      </c>
      <c r="BA57" s="181"/>
      <c r="BC57" s="17">
        <f t="shared" si="15"/>
        <v>0</v>
      </c>
    </row>
    <row r="58" spans="2:58">
      <c r="B58" s="181"/>
      <c r="D58" s="17">
        <f t="shared" si="10"/>
        <v>0</v>
      </c>
      <c r="H58" s="11"/>
      <c r="L58" s="181"/>
      <c r="N58" s="17">
        <f t="shared" si="11"/>
        <v>0</v>
      </c>
      <c r="V58" s="181"/>
      <c r="X58" s="17">
        <f t="shared" si="12"/>
        <v>0</v>
      </c>
      <c r="AG58" s="181"/>
      <c r="AI58" s="17">
        <f t="shared" si="13"/>
        <v>0</v>
      </c>
      <c r="AQ58" s="181"/>
      <c r="AS58" s="17">
        <f t="shared" si="14"/>
        <v>0</v>
      </c>
      <c r="BA58" s="181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C1" workbookViewId="0">
      <selection activeCell="CF6" sqref="CF6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3516</v>
      </c>
      <c r="AZ1" t="s">
        <v>3517</v>
      </c>
      <c r="BA1" t="s">
        <v>3518</v>
      </c>
      <c r="BC1" t="s">
        <v>3509</v>
      </c>
      <c r="BD1" t="s">
        <v>3519</v>
      </c>
      <c r="BE1" t="s">
        <v>3520</v>
      </c>
      <c r="BF1" t="s">
        <v>3521</v>
      </c>
      <c r="BH1" t="s">
        <v>3512</v>
      </c>
      <c r="BI1" t="s">
        <v>3517</v>
      </c>
      <c r="BK1" t="s">
        <v>3513</v>
      </c>
      <c r="BL1" t="s">
        <v>3520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3523</v>
      </c>
      <c r="BU1" t="s">
        <v>3525</v>
      </c>
      <c r="BV1" t="s">
        <v>3515</v>
      </c>
      <c r="BX1" t="s">
        <v>3509</v>
      </c>
      <c r="BY1" t="s">
        <v>3524</v>
      </c>
      <c r="BZ1" t="s">
        <v>3526</v>
      </c>
      <c r="CA1" t="s">
        <v>3522</v>
      </c>
      <c r="CC1" t="s">
        <v>3564</v>
      </c>
      <c r="CD1" t="s">
        <v>3523</v>
      </c>
      <c r="CE1" t="s">
        <v>3565</v>
      </c>
      <c r="CF1" t="s">
        <v>3524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21" sqref="M21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3578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3540</v>
      </c>
      <c r="O4" t="s">
        <v>3541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3542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3543</v>
      </c>
      <c r="M18">
        <f>K18*O5</f>
        <v>128634.34082332761</v>
      </c>
    </row>
    <row r="19" spans="2:13">
      <c r="L19" t="s">
        <v>3544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BN86"/>
  <sheetViews>
    <sheetView workbookViewId="0">
      <selection activeCell="R10" sqref="R10"/>
    </sheetView>
  </sheetViews>
  <sheetFormatPr baseColWidth="10" defaultRowHeight="16"/>
  <cols>
    <col min="3" max="3" width="17.5" bestFit="1" customWidth="1"/>
    <col min="4" max="4" width="11.6640625" customWidth="1"/>
    <col min="25" max="25" width="15.1640625" bestFit="1" customWidth="1"/>
    <col min="38" max="38" width="19" bestFit="1" customWidth="1"/>
    <col min="39" max="39" width="17.33203125" bestFit="1" customWidth="1"/>
    <col min="42" max="42" width="12.1640625" bestFit="1" customWidth="1"/>
  </cols>
  <sheetData>
    <row r="1" spans="2:66">
      <c r="M1" t="s">
        <v>1118</v>
      </c>
      <c r="R1" t="s">
        <v>1110</v>
      </c>
      <c r="S1" t="s">
        <v>1117</v>
      </c>
      <c r="AO1" s="170" t="s">
        <v>3666</v>
      </c>
      <c r="AP1" s="171"/>
      <c r="AR1" s="170" t="s">
        <v>3675</v>
      </c>
      <c r="AS1" s="171"/>
      <c r="AU1" s="170" t="s">
        <v>3666</v>
      </c>
      <c r="AV1" s="171"/>
      <c r="AX1" s="170" t="s">
        <v>3675</v>
      </c>
      <c r="AY1" s="171"/>
      <c r="BA1" s="170" t="s">
        <v>3666</v>
      </c>
      <c r="BB1" s="171"/>
      <c r="BD1" s="170" t="s">
        <v>3675</v>
      </c>
      <c r="BE1" s="171"/>
      <c r="BJ1" s="170" t="s">
        <v>3675</v>
      </c>
      <c r="BK1" s="171"/>
      <c r="BM1" s="170" t="s">
        <v>3675</v>
      </c>
      <c r="BN1" s="171"/>
    </row>
    <row r="2" spans="2:66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3545</v>
      </c>
      <c r="R2">
        <v>143</v>
      </c>
      <c r="Z2" s="14" t="s">
        <v>941</v>
      </c>
      <c r="AA2" s="14">
        <v>8531532</v>
      </c>
      <c r="AH2" s="12"/>
      <c r="AI2" t="s">
        <v>1208</v>
      </c>
      <c r="AJ2" s="12">
        <v>19092500</v>
      </c>
      <c r="AL2" t="s">
        <v>1208</v>
      </c>
      <c r="AM2" s="12">
        <v>19092500</v>
      </c>
      <c r="AO2" s="172" t="s">
        <v>1208</v>
      </c>
      <c r="AP2" s="173">
        <v>19092500</v>
      </c>
      <c r="AR2" s="172" t="s">
        <v>1208</v>
      </c>
      <c r="AS2" s="173">
        <v>19750000</v>
      </c>
      <c r="AU2" s="172" t="s">
        <v>1208</v>
      </c>
      <c r="AV2" s="173">
        <v>19092500</v>
      </c>
      <c r="AX2" s="172" t="s">
        <v>1208</v>
      </c>
      <c r="AY2" s="173">
        <v>19750000</v>
      </c>
      <c r="BA2" s="172" t="s">
        <v>1208</v>
      </c>
      <c r="BB2" s="173">
        <v>19092500</v>
      </c>
      <c r="BD2" s="172" t="s">
        <v>1208</v>
      </c>
      <c r="BE2" s="173">
        <v>19750000</v>
      </c>
      <c r="BJ2" s="172" t="s">
        <v>1208</v>
      </c>
      <c r="BK2" s="173">
        <v>19750000</v>
      </c>
      <c r="BM2" s="172" t="s">
        <v>1208</v>
      </c>
      <c r="BN2" s="173">
        <v>19750000</v>
      </c>
    </row>
    <row r="3" spans="2:66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780</v>
      </c>
      <c r="T3" t="s">
        <v>1207</v>
      </c>
      <c r="Z3" t="s">
        <v>938</v>
      </c>
      <c r="AA3">
        <f>AA2*AB3</f>
        <v>426576.60000000003</v>
      </c>
      <c r="AB3" s="5">
        <v>0.05</v>
      </c>
      <c r="AI3" t="s">
        <v>1209</v>
      </c>
      <c r="AJ3" s="12">
        <v>13100000</v>
      </c>
      <c r="AL3" t="s">
        <v>1209</v>
      </c>
      <c r="AM3" s="12">
        <v>4102000</v>
      </c>
      <c r="AO3" s="172" t="s">
        <v>3496</v>
      </c>
      <c r="AP3" s="173">
        <v>4102000</v>
      </c>
      <c r="AR3" s="172" t="s">
        <v>3496</v>
      </c>
      <c r="AS3" s="173">
        <v>4102000</v>
      </c>
      <c r="AU3" s="172" t="s">
        <v>3496</v>
      </c>
      <c r="AV3" s="173">
        <v>4102000</v>
      </c>
      <c r="AX3" s="172" t="s">
        <v>3496</v>
      </c>
      <c r="AY3" s="173">
        <v>4102000</v>
      </c>
      <c r="BA3" s="172" t="s">
        <v>3496</v>
      </c>
      <c r="BB3" s="173">
        <v>4102000</v>
      </c>
      <c r="BD3" s="172" t="s">
        <v>3496</v>
      </c>
      <c r="BE3" s="173">
        <v>4102000</v>
      </c>
      <c r="BJ3" s="172" t="s">
        <v>3496</v>
      </c>
      <c r="BK3" s="173">
        <v>4102400</v>
      </c>
      <c r="BM3" s="172" t="s">
        <v>3496</v>
      </c>
      <c r="BN3" s="173">
        <v>4102400</v>
      </c>
    </row>
    <row r="4" spans="2:66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1380</v>
      </c>
      <c r="Z4" t="s">
        <v>939</v>
      </c>
      <c r="AA4">
        <f>AA2*AB4</f>
        <v>511891.92</v>
      </c>
      <c r="AB4" s="5">
        <v>0.06</v>
      </c>
      <c r="AD4" t="s">
        <v>1213</v>
      </c>
      <c r="AI4" t="s">
        <v>1212</v>
      </c>
      <c r="AJ4" s="12">
        <v>20000000</v>
      </c>
      <c r="AL4" t="s">
        <v>1212</v>
      </c>
      <c r="AM4" s="12">
        <v>20000000</v>
      </c>
      <c r="AO4" s="172" t="s">
        <v>3664</v>
      </c>
      <c r="AP4" s="175">
        <v>13100000</v>
      </c>
      <c r="AR4" s="172" t="s">
        <v>3664</v>
      </c>
      <c r="AS4" s="175">
        <v>13100000</v>
      </c>
      <c r="AU4" s="172" t="s">
        <v>3664</v>
      </c>
      <c r="AV4" s="175">
        <v>12811000</v>
      </c>
      <c r="AX4" s="172" t="s">
        <v>3664</v>
      </c>
      <c r="AY4" s="175">
        <v>12811000</v>
      </c>
      <c r="BA4" s="172" t="s">
        <v>3664</v>
      </c>
      <c r="BB4" s="175">
        <v>14500000</v>
      </c>
      <c r="BD4" s="172" t="s">
        <v>3664</v>
      </c>
      <c r="BE4" s="175">
        <v>14500000</v>
      </c>
      <c r="BJ4" s="172" t="s">
        <v>3664</v>
      </c>
      <c r="BK4" s="175">
        <v>12811000</v>
      </c>
      <c r="BM4" s="172" t="s">
        <v>3664</v>
      </c>
      <c r="BN4" s="175">
        <v>12811000</v>
      </c>
    </row>
    <row r="5" spans="2:66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330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  <c r="AI5" t="s">
        <v>1210</v>
      </c>
      <c r="AJ5" s="12">
        <f>AJ2*AJ3/AJ4</f>
        <v>12505587.5</v>
      </c>
      <c r="AL5" t="s">
        <v>1210</v>
      </c>
      <c r="AM5" s="12">
        <f>AM2*AM3/AM4</f>
        <v>3915871.75</v>
      </c>
      <c r="AO5" s="172" t="s">
        <v>144</v>
      </c>
      <c r="AP5" s="173">
        <f>AP4+AP3</f>
        <v>17202000</v>
      </c>
      <c r="AR5" s="172" t="s">
        <v>144</v>
      </c>
      <c r="AS5" s="173">
        <f>AS4+AS3</f>
        <v>17202000</v>
      </c>
      <c r="AU5" s="172" t="s">
        <v>144</v>
      </c>
      <c r="AV5" s="173">
        <f>AV4+AV3</f>
        <v>16913000</v>
      </c>
      <c r="AX5" s="172" t="s">
        <v>144</v>
      </c>
      <c r="AY5" s="173">
        <f>AY4+AY3</f>
        <v>16913000</v>
      </c>
      <c r="BA5" s="172" t="s">
        <v>144</v>
      </c>
      <c r="BB5" s="173">
        <f>BB4+BB3</f>
        <v>18602000</v>
      </c>
      <c r="BD5" s="172" t="s">
        <v>144</v>
      </c>
      <c r="BE5" s="173">
        <f>BE4+BE3</f>
        <v>18602000</v>
      </c>
      <c r="BJ5" s="172" t="s">
        <v>3665</v>
      </c>
      <c r="BK5" s="174">
        <f>BK2*BK4/20000000</f>
        <v>12650862.5</v>
      </c>
      <c r="BM5" s="172" t="s">
        <v>3665</v>
      </c>
      <c r="BN5" s="174">
        <f>BN2*BN4/20000000</f>
        <v>12650862.5</v>
      </c>
    </row>
    <row r="6" spans="2:66">
      <c r="C6" t="s">
        <v>157</v>
      </c>
      <c r="D6">
        <f>SUM(D2:D5)</f>
        <v>9500000</v>
      </c>
      <c r="J6">
        <v>16000</v>
      </c>
      <c r="P6">
        <v>215276</v>
      </c>
      <c r="R6">
        <v>670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  <c r="AJ6" s="12"/>
      <c r="AO6" s="172" t="s">
        <v>3665</v>
      </c>
      <c r="AP6" s="174">
        <f>AP2*AP5/20000000</f>
        <v>16421459.25</v>
      </c>
      <c r="AR6" s="172" t="s">
        <v>3665</v>
      </c>
      <c r="AS6" s="174">
        <f>AS2*AS5/20000000</f>
        <v>16986975</v>
      </c>
      <c r="AU6" s="172" t="s">
        <v>3665</v>
      </c>
      <c r="AV6" s="174">
        <f>AV2*AV5/20000000</f>
        <v>16145572.625</v>
      </c>
      <c r="AX6" s="172" t="s">
        <v>3665</v>
      </c>
      <c r="AY6" s="174">
        <f>AY2*AY5/20000000</f>
        <v>16701587.5</v>
      </c>
      <c r="BA6" s="172" t="s">
        <v>3665</v>
      </c>
      <c r="BB6" s="174">
        <f>BB2*BB5/20000000</f>
        <v>17757934.25</v>
      </c>
      <c r="BD6" s="172" t="s">
        <v>3665</v>
      </c>
      <c r="BE6" s="174">
        <f>BE2*BE5/20000000</f>
        <v>18369475</v>
      </c>
      <c r="BJ6" s="172" t="s">
        <v>144</v>
      </c>
      <c r="BK6" s="3">
        <f>BK5+BK3</f>
        <v>16753262.5</v>
      </c>
      <c r="BM6" s="172" t="s">
        <v>144</v>
      </c>
      <c r="BN6" s="3">
        <f>BN5+BN3</f>
        <v>16753262.5</v>
      </c>
    </row>
    <row r="7" spans="2:66">
      <c r="J7">
        <v>85316</v>
      </c>
      <c r="N7" s="12">
        <f>SUM(N2:N5)</f>
        <v>52700</v>
      </c>
      <c r="P7">
        <v>257852</v>
      </c>
      <c r="R7">
        <v>1120</v>
      </c>
      <c r="T7" t="s">
        <v>1212</v>
      </c>
      <c r="U7" s="12">
        <v>20000000</v>
      </c>
      <c r="W7" t="s">
        <v>1212</v>
      </c>
      <c r="X7" s="12">
        <v>20000000</v>
      </c>
      <c r="AI7" t="s">
        <v>3612</v>
      </c>
      <c r="AJ7" s="12">
        <f>AJ5+AM5</f>
        <v>16421459.25</v>
      </c>
      <c r="AO7" s="172" t="s">
        <v>892</v>
      </c>
      <c r="AP7" s="175">
        <f>AP2-AP6</f>
        <v>2671040.75</v>
      </c>
      <c r="AR7" s="172" t="s">
        <v>892</v>
      </c>
      <c r="AS7" s="175">
        <f>AS2-AS6</f>
        <v>2763025</v>
      </c>
      <c r="AU7" s="172" t="s">
        <v>892</v>
      </c>
      <c r="AV7" s="175">
        <f>AV2-AV6</f>
        <v>2946927.375</v>
      </c>
      <c r="AX7" s="172" t="s">
        <v>892</v>
      </c>
      <c r="AY7" s="175">
        <f>AY2-AY6</f>
        <v>3048412.5</v>
      </c>
      <c r="BA7" s="172" t="s">
        <v>892</v>
      </c>
      <c r="BB7" s="175">
        <f>BB2-BB6</f>
        <v>1334565.75</v>
      </c>
      <c r="BD7" s="172" t="s">
        <v>892</v>
      </c>
      <c r="BE7" s="175">
        <f>BE2-BE6</f>
        <v>1380525</v>
      </c>
      <c r="BJ7" s="172" t="s">
        <v>892</v>
      </c>
      <c r="BK7" s="175">
        <f>BK2-BK6</f>
        <v>2996737.5</v>
      </c>
      <c r="BM7" s="172" t="s">
        <v>892</v>
      </c>
      <c r="BN7" s="175">
        <f>BN2-BN6</f>
        <v>2996737.5</v>
      </c>
    </row>
    <row r="8" spans="2:66">
      <c r="C8" t="s">
        <v>988</v>
      </c>
      <c r="D8">
        <v>16000</v>
      </c>
      <c r="F8" s="5"/>
      <c r="P8">
        <v>289324</v>
      </c>
      <c r="R8">
        <v>200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  <c r="AI8" t="s">
        <v>892</v>
      </c>
      <c r="AJ8" s="12">
        <f>AJ2-AJ7</f>
        <v>2671040.75</v>
      </c>
      <c r="AO8" s="172" t="s">
        <v>1132</v>
      </c>
      <c r="AP8" s="174">
        <f>AP7*20%</f>
        <v>534208.15</v>
      </c>
      <c r="AR8" s="172" t="s">
        <v>1132</v>
      </c>
      <c r="AS8" s="174">
        <f>AS7*12.5%</f>
        <v>345378.125</v>
      </c>
      <c r="AU8" s="172" t="s">
        <v>1132</v>
      </c>
      <c r="AV8" s="174">
        <f>AV7*20%</f>
        <v>589385.47499999998</v>
      </c>
      <c r="AX8" s="172" t="s">
        <v>1132</v>
      </c>
      <c r="AY8" s="174">
        <f>AY7*12.5%</f>
        <v>381051.5625</v>
      </c>
      <c r="BA8" s="172" t="s">
        <v>1132</v>
      </c>
      <c r="BB8" s="174">
        <f>BB7*20%</f>
        <v>266913.15000000002</v>
      </c>
      <c r="BD8" s="172" t="s">
        <v>1132</v>
      </c>
      <c r="BE8" s="174">
        <f>BE7*12.5%</f>
        <v>172565.625</v>
      </c>
      <c r="BJ8" s="172" t="s">
        <v>1132</v>
      </c>
      <c r="BK8" s="174">
        <f>BK7*12.5%</f>
        <v>374592.1875</v>
      </c>
      <c r="BM8" s="172" t="s">
        <v>1132</v>
      </c>
      <c r="BN8" s="174">
        <f>BN7*12.5%</f>
        <v>374592.1875</v>
      </c>
    </row>
    <row r="9" spans="2:66">
      <c r="E9" s="5"/>
      <c r="F9" s="5"/>
      <c r="P9">
        <v>2080</v>
      </c>
      <c r="R9">
        <v>20856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  <c r="AL9" s="12">
        <f>19750000-AJ7</f>
        <v>3328540.75</v>
      </c>
      <c r="AO9" s="172"/>
      <c r="AP9" s="176"/>
      <c r="AR9" s="172"/>
      <c r="AS9" s="176"/>
      <c r="AU9" s="172"/>
      <c r="AV9" s="176"/>
      <c r="AX9" s="172"/>
      <c r="AY9" s="176"/>
      <c r="BA9" s="172"/>
      <c r="BB9" s="176"/>
      <c r="BD9" s="172"/>
      <c r="BE9" s="176"/>
      <c r="BJ9" s="172"/>
      <c r="BK9" s="176"/>
      <c r="BM9" s="172"/>
      <c r="BN9" s="176"/>
    </row>
    <row r="10" spans="2:66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  <c r="AL10">
        <f>AJ8*20%</f>
        <v>534208.15</v>
      </c>
      <c r="AO10" s="172" t="s">
        <v>3667</v>
      </c>
      <c r="AP10" s="176">
        <v>2675000</v>
      </c>
      <c r="AR10" s="172" t="s">
        <v>3667</v>
      </c>
      <c r="AS10" s="176">
        <v>2770000</v>
      </c>
      <c r="AU10" s="172" t="s">
        <v>3667</v>
      </c>
      <c r="AV10" s="176">
        <v>2960000</v>
      </c>
      <c r="AX10" s="172" t="s">
        <v>3667</v>
      </c>
      <c r="AY10" s="176">
        <v>3065000</v>
      </c>
      <c r="BA10" s="172" t="s">
        <v>3667</v>
      </c>
      <c r="BB10" s="176">
        <v>1340000</v>
      </c>
      <c r="BD10" s="172" t="s">
        <v>3667</v>
      </c>
      <c r="BE10" s="176">
        <v>1390000</v>
      </c>
      <c r="BJ10" s="172" t="s">
        <v>3667</v>
      </c>
      <c r="BK10" s="174">
        <v>2996737.5</v>
      </c>
      <c r="BM10" s="172" t="s">
        <v>3667</v>
      </c>
      <c r="BN10" s="174">
        <v>2996737.5</v>
      </c>
    </row>
    <row r="11" spans="2:66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  <c r="AL11">
        <f>AL9*12.5%</f>
        <v>416067.59375</v>
      </c>
      <c r="AO11" s="172" t="s">
        <v>3668</v>
      </c>
      <c r="AP11" s="174">
        <f>AP10*5.25%*5</f>
        <v>702187.5</v>
      </c>
      <c r="AR11" s="172" t="s">
        <v>3668</v>
      </c>
      <c r="AS11" s="174">
        <f>AS10*5.25%*5</f>
        <v>727125</v>
      </c>
      <c r="AU11" s="172" t="s">
        <v>3668</v>
      </c>
      <c r="AV11" s="174">
        <f>AV10*5.25%*5</f>
        <v>777000</v>
      </c>
      <c r="AX11" s="172" t="s">
        <v>3668</v>
      </c>
      <c r="AY11" s="174">
        <f>AY10*5.25%*5</f>
        <v>804562.5</v>
      </c>
      <c r="BA11" s="172" t="s">
        <v>3668</v>
      </c>
      <c r="BB11" s="174">
        <f>BB10*5.25%*5</f>
        <v>351750</v>
      </c>
      <c r="BD11" s="172" t="s">
        <v>3668</v>
      </c>
      <c r="BE11" s="174">
        <f>BE10*5.25%*5</f>
        <v>364875</v>
      </c>
      <c r="BJ11" s="172" t="s">
        <v>3668</v>
      </c>
      <c r="BK11" s="174">
        <f>BK10*5.25%*5</f>
        <v>786643.59375</v>
      </c>
      <c r="BM11" s="172" t="s">
        <v>3668</v>
      </c>
      <c r="BN11" s="174">
        <f>BN10*5.25%*5</f>
        <v>786643.59375</v>
      </c>
    </row>
    <row r="12" spans="2:66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  <c r="AO12" s="172" t="s">
        <v>3669</v>
      </c>
      <c r="AP12" s="174">
        <f>AP11*20%</f>
        <v>140437.5</v>
      </c>
      <c r="AR12" s="172" t="s">
        <v>3669</v>
      </c>
      <c r="AS12" s="174">
        <f>AS11*20%</f>
        <v>145425</v>
      </c>
      <c r="AU12" s="172" t="s">
        <v>3669</v>
      </c>
      <c r="AV12" s="174">
        <f>AV11*20%</f>
        <v>155400</v>
      </c>
      <c r="AX12" s="172" t="s">
        <v>3669</v>
      </c>
      <c r="AY12" s="174">
        <f>AY11*20%</f>
        <v>160912.5</v>
      </c>
      <c r="BA12" s="172" t="s">
        <v>3669</v>
      </c>
      <c r="BB12" s="174">
        <f>BB11*20%</f>
        <v>70350</v>
      </c>
      <c r="BD12" s="172" t="s">
        <v>3669</v>
      </c>
      <c r="BE12" s="174">
        <f>BE11*20%</f>
        <v>72975</v>
      </c>
      <c r="BJ12" s="172" t="s">
        <v>3669</v>
      </c>
      <c r="BK12" s="174">
        <f>BK11*20%</f>
        <v>157328.71875</v>
      </c>
      <c r="BM12" s="172" t="s">
        <v>3669</v>
      </c>
      <c r="BN12" s="174">
        <f>BN11*20%</f>
        <v>157328.71875</v>
      </c>
    </row>
    <row r="13" spans="2:66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  <c r="AO13" s="172" t="s">
        <v>3670</v>
      </c>
      <c r="AP13" s="174">
        <f>AP11-AP12</f>
        <v>561750</v>
      </c>
      <c r="AR13" s="172" t="s">
        <v>3670</v>
      </c>
      <c r="AS13" s="174">
        <f>AS11-AS12</f>
        <v>581700</v>
      </c>
      <c r="AU13" s="172" t="s">
        <v>3670</v>
      </c>
      <c r="AV13" s="174">
        <f>AV11-AV12</f>
        <v>621600</v>
      </c>
      <c r="AX13" s="172" t="s">
        <v>3670</v>
      </c>
      <c r="AY13" s="174">
        <f>AY11-AY12</f>
        <v>643650</v>
      </c>
      <c r="BA13" s="172" t="s">
        <v>3670</v>
      </c>
      <c r="BB13" s="174">
        <f>BB11-BB12</f>
        <v>281400</v>
      </c>
      <c r="BD13" s="172" t="s">
        <v>3670</v>
      </c>
      <c r="BE13" s="174">
        <f>BE11-BE12</f>
        <v>291900</v>
      </c>
      <c r="BJ13" s="172" t="s">
        <v>3670</v>
      </c>
      <c r="BK13" s="174">
        <f>BK11-BK12</f>
        <v>629314.875</v>
      </c>
      <c r="BM13" s="172" t="s">
        <v>3670</v>
      </c>
      <c r="BN13" s="174">
        <f>BN11-BN12</f>
        <v>629314.875</v>
      </c>
    </row>
    <row r="14" spans="2:66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  <c r="AO14" s="172" t="s">
        <v>3671</v>
      </c>
      <c r="AP14" s="174">
        <f>AP10+AP13</f>
        <v>3236750</v>
      </c>
      <c r="AR14" s="172" t="s">
        <v>3671</v>
      </c>
      <c r="AS14" s="174">
        <f>AS10+AS13</f>
        <v>3351700</v>
      </c>
      <c r="AU14" s="172" t="s">
        <v>3671</v>
      </c>
      <c r="AV14" s="174">
        <f>AV10+AV13</f>
        <v>3581600</v>
      </c>
      <c r="AX14" s="172" t="s">
        <v>3671</v>
      </c>
      <c r="AY14" s="174">
        <f>AY10+AY13</f>
        <v>3708650</v>
      </c>
      <c r="BA14" s="172" t="s">
        <v>3671</v>
      </c>
      <c r="BB14" s="174">
        <f>BB10+BB13</f>
        <v>1621400</v>
      </c>
      <c r="BD14" s="172" t="s">
        <v>3671</v>
      </c>
      <c r="BE14" s="174">
        <f>BE10+BE13</f>
        <v>1681900</v>
      </c>
      <c r="BJ14" s="172" t="s">
        <v>3671</v>
      </c>
      <c r="BK14" s="174">
        <f>BK10+BK13</f>
        <v>3626052.375</v>
      </c>
      <c r="BM14" s="172" t="s">
        <v>3671</v>
      </c>
      <c r="BN14" s="174">
        <f>BN10+BN13</f>
        <v>3626052.375</v>
      </c>
    </row>
    <row r="15" spans="2:66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  <c r="AO15" s="172"/>
      <c r="AP15" s="176"/>
      <c r="AR15" s="172"/>
      <c r="AS15" s="176"/>
      <c r="AU15" s="172"/>
      <c r="AV15" s="176"/>
      <c r="AX15" s="172"/>
      <c r="AY15" s="176"/>
      <c r="BA15" s="172"/>
      <c r="BB15" s="176"/>
      <c r="BD15" s="172"/>
      <c r="BE15" s="176"/>
      <c r="BJ15" s="172"/>
      <c r="BK15" s="176"/>
      <c r="BM15" s="172"/>
      <c r="BN15" s="176"/>
    </row>
    <row r="16" spans="2:66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  <c r="AO16" s="172" t="s">
        <v>3672</v>
      </c>
      <c r="AP16" s="173">
        <f>AP7-AP8</f>
        <v>2136832.6</v>
      </c>
      <c r="AR16" s="172" t="s">
        <v>3672</v>
      </c>
      <c r="AS16" s="173">
        <f>AS7-AS8</f>
        <v>2417646.875</v>
      </c>
      <c r="AU16" s="172" t="s">
        <v>3672</v>
      </c>
      <c r="AV16" s="173">
        <f>AV7-AV8</f>
        <v>2357541.9</v>
      </c>
      <c r="AX16" s="172" t="s">
        <v>3672</v>
      </c>
      <c r="AY16" s="173">
        <f>AY7-AY8</f>
        <v>2667360.9375</v>
      </c>
      <c r="BA16" s="172" t="s">
        <v>3672</v>
      </c>
      <c r="BB16" s="173">
        <f>BB7-BB8</f>
        <v>1067652.6000000001</v>
      </c>
      <c r="BD16" s="172" t="s">
        <v>3672</v>
      </c>
      <c r="BE16" s="173">
        <f>BE7-BE8</f>
        <v>1207959.375</v>
      </c>
      <c r="BJ16" s="172" t="s">
        <v>3672</v>
      </c>
      <c r="BK16" s="173">
        <f>BK7-BK8</f>
        <v>2622145.3125</v>
      </c>
      <c r="BM16" s="172" t="s">
        <v>3672</v>
      </c>
      <c r="BN16" s="173">
        <f>BN7-BN8</f>
        <v>2622145.3125</v>
      </c>
    </row>
    <row r="17" spans="1:66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  <c r="AO17" s="172" t="s">
        <v>3673</v>
      </c>
      <c r="AP17" s="174">
        <f>AP16*6.9%*5</f>
        <v>737207.24700000009</v>
      </c>
      <c r="AR17" s="172" t="s">
        <v>3673</v>
      </c>
      <c r="AS17" s="174">
        <f>AS16*6.9%*5</f>
        <v>834088.17187500012</v>
      </c>
      <c r="AU17" s="172" t="s">
        <v>3673</v>
      </c>
      <c r="AV17" s="174">
        <f>AV16*6.9%*5</f>
        <v>813351.95550000004</v>
      </c>
      <c r="AX17" s="172" t="s">
        <v>3673</v>
      </c>
      <c r="AY17" s="174">
        <f>AY16*6.9%*5</f>
        <v>920239.5234375</v>
      </c>
      <c r="BA17" s="172" t="s">
        <v>3673</v>
      </c>
      <c r="BB17" s="174">
        <f>BB16*6.9%*5</f>
        <v>368340.14700000006</v>
      </c>
      <c r="BD17" s="172" t="s">
        <v>3673</v>
      </c>
      <c r="BE17" s="174">
        <f>BE16*6.9%*5</f>
        <v>416745.98437500006</v>
      </c>
      <c r="BJ17" s="172" t="s">
        <v>3694</v>
      </c>
      <c r="BK17" s="174">
        <f>BK16*6.9%*5</f>
        <v>904640.13281250012</v>
      </c>
      <c r="BM17" s="172" t="s">
        <v>3695</v>
      </c>
      <c r="BN17" s="174"/>
    </row>
    <row r="18" spans="1:66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  <c r="AO18" s="172" t="s">
        <v>3671</v>
      </c>
      <c r="AP18" s="173">
        <f>AP16+AP17</f>
        <v>2874039.8470000001</v>
      </c>
      <c r="AR18" s="172" t="s">
        <v>3671</v>
      </c>
      <c r="AS18" s="173">
        <f>AS16+AS17</f>
        <v>3251735.046875</v>
      </c>
      <c r="AU18" s="172" t="s">
        <v>3671</v>
      </c>
      <c r="AV18" s="173">
        <f>AV16+AV17</f>
        <v>3170893.8555000001</v>
      </c>
      <c r="AX18" s="172" t="s">
        <v>3671</v>
      </c>
      <c r="AY18" s="173">
        <f>AY16+AY17</f>
        <v>3587600.4609375</v>
      </c>
      <c r="BA18" s="172" t="s">
        <v>3671</v>
      </c>
      <c r="BB18" s="173">
        <f>BB16+BB17</f>
        <v>1435992.7470000002</v>
      </c>
      <c r="BD18" s="172" t="s">
        <v>3671</v>
      </c>
      <c r="BE18" s="173">
        <f>BE16+BE17</f>
        <v>1624705.359375</v>
      </c>
      <c r="BJ18" s="172" t="s">
        <v>3693</v>
      </c>
      <c r="BK18" s="174">
        <f>BK17*0%</f>
        <v>0</v>
      </c>
      <c r="BM18" s="172" t="s">
        <v>3693</v>
      </c>
      <c r="BN18" s="174">
        <f>BN17*0%</f>
        <v>0</v>
      </c>
    </row>
    <row r="19" spans="1:66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163">
        <f>31*4.5%</f>
        <v>1.395</v>
      </c>
      <c r="Z19" t="s">
        <v>157</v>
      </c>
      <c r="AA19">
        <f>AA16+AA17</f>
        <v>3044950.1741999998</v>
      </c>
      <c r="AO19" s="172"/>
      <c r="AP19" s="176"/>
      <c r="AR19" s="172"/>
      <c r="AS19" s="176"/>
      <c r="AU19" s="172"/>
      <c r="AV19" s="176"/>
      <c r="AX19" s="172"/>
      <c r="AY19" s="176"/>
      <c r="BA19" s="172"/>
      <c r="BB19" s="176"/>
      <c r="BD19" s="172"/>
      <c r="BE19" s="176"/>
      <c r="BJ19" s="172" t="s">
        <v>3670</v>
      </c>
      <c r="BK19" s="174">
        <f>BK17-BK18</f>
        <v>904640.13281250012</v>
      </c>
      <c r="BM19" s="172" t="s">
        <v>3670</v>
      </c>
      <c r="BN19" s="174">
        <f>BN17-BN18</f>
        <v>0</v>
      </c>
    </row>
    <row r="20" spans="1:66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162">
        <f>5.25*15%</f>
        <v>0.78749999999999998</v>
      </c>
      <c r="AO20" s="177" t="s">
        <v>3674</v>
      </c>
      <c r="AP20" s="178">
        <f>AP14-AP18</f>
        <v>362710.15299999993</v>
      </c>
      <c r="AR20" s="177" t="s">
        <v>3674</v>
      </c>
      <c r="AS20" s="179">
        <f>AS14-AS18</f>
        <v>99964.953125</v>
      </c>
      <c r="AU20" s="177" t="s">
        <v>3674</v>
      </c>
      <c r="AV20" s="178">
        <f>AV14-AV18</f>
        <v>410706.14449999994</v>
      </c>
      <c r="AX20" s="177" t="s">
        <v>3674</v>
      </c>
      <c r="AY20" s="179">
        <f>AY14-AY18</f>
        <v>121049.5390625</v>
      </c>
      <c r="BA20" s="177" t="s">
        <v>3674</v>
      </c>
      <c r="BB20" s="178">
        <f>BB14-BB18</f>
        <v>185407.25299999979</v>
      </c>
      <c r="BD20" s="177" t="s">
        <v>3674</v>
      </c>
      <c r="BE20" s="178">
        <f>BE14-BE18</f>
        <v>57194.640625</v>
      </c>
      <c r="BJ20" s="172" t="s">
        <v>3671</v>
      </c>
      <c r="BK20" s="174">
        <f>BK16+BK19</f>
        <v>3526785.4453125</v>
      </c>
      <c r="BM20" s="172" t="s">
        <v>3671</v>
      </c>
      <c r="BN20" s="174">
        <v>3660540</v>
      </c>
    </row>
    <row r="21" spans="1:66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161">
        <f>9620000+5000000+4000000</f>
        <v>18620000</v>
      </c>
      <c r="BJ21" s="172"/>
      <c r="BK21" s="176"/>
      <c r="BM21" s="172"/>
      <c r="BN21" s="176"/>
    </row>
    <row r="22" spans="1:66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  <c r="AS22" s="12"/>
      <c r="BJ22" s="177" t="s">
        <v>3674</v>
      </c>
      <c r="BK22" s="179">
        <f>BK14-BK20</f>
        <v>99266.9296875</v>
      </c>
      <c r="BM22" s="177" t="s">
        <v>3674</v>
      </c>
      <c r="BN22" s="179">
        <f>BN14-BN20</f>
        <v>-34487.625</v>
      </c>
    </row>
    <row r="23" spans="1:66" ht="24">
      <c r="A23" s="159" t="s">
        <v>3500</v>
      </c>
      <c r="B23" s="158"/>
      <c r="C23" s="158"/>
      <c r="S23">
        <f>SUM(S2:S22)</f>
        <v>0</v>
      </c>
      <c r="T23" s="14" t="s">
        <v>1208</v>
      </c>
      <c r="U23" s="160">
        <v>19850000</v>
      </c>
      <c r="W23" s="14" t="s">
        <v>1208</v>
      </c>
      <c r="X23" s="160">
        <v>19850000</v>
      </c>
      <c r="AK23" s="168" t="s">
        <v>3613</v>
      </c>
    </row>
    <row r="24" spans="1:66">
      <c r="L24">
        <f>15779000+1104600+30000</f>
        <v>16913600</v>
      </c>
      <c r="M24">
        <f>13822321+967600+30000</f>
        <v>14819921</v>
      </c>
      <c r="R24">
        <f>SUM(R2:R23)</f>
        <v>25479</v>
      </c>
      <c r="S24">
        <f>R24+S23</f>
        <v>25479</v>
      </c>
      <c r="T24" s="14" t="s">
        <v>1209</v>
      </c>
      <c r="U24" s="160">
        <v>4102000</v>
      </c>
      <c r="W24" s="14" t="s">
        <v>1209</v>
      </c>
      <c r="X24" s="160">
        <v>13000000</v>
      </c>
    </row>
    <row r="25" spans="1:66">
      <c r="T25" s="14" t="s">
        <v>1212</v>
      </c>
      <c r="U25" s="160">
        <v>20000000</v>
      </c>
      <c r="W25" s="14" t="s">
        <v>1212</v>
      </c>
      <c r="X25" s="160">
        <v>20000000</v>
      </c>
      <c r="AK25" s="7" t="s">
        <v>3614</v>
      </c>
      <c r="AL25" s="7" t="s">
        <v>3615</v>
      </c>
      <c r="AM25" s="7" t="s">
        <v>3616</v>
      </c>
      <c r="AN25" s="7" t="s">
        <v>3617</v>
      </c>
      <c r="AO25" s="7" t="s">
        <v>1287</v>
      </c>
      <c r="AP25" s="7" t="s">
        <v>3618</v>
      </c>
    </row>
    <row r="26" spans="1:66">
      <c r="L26">
        <f>16008000+1120600+30000</f>
        <v>17158600</v>
      </c>
      <c r="T26" s="14" t="s">
        <v>1210</v>
      </c>
      <c r="U26" s="160">
        <f>U23*U24/U25</f>
        <v>4071235</v>
      </c>
      <c r="W26" s="14" t="s">
        <v>1210</v>
      </c>
      <c r="X26" s="160">
        <f>X23*X24/X25</f>
        <v>12902500</v>
      </c>
      <c r="AK26" s="7" t="s">
        <v>3619</v>
      </c>
      <c r="AL26" s="30">
        <v>19092500</v>
      </c>
      <c r="AM26" s="30">
        <v>17102000</v>
      </c>
      <c r="AN26" s="30">
        <v>1990500</v>
      </c>
      <c r="AO26" s="5">
        <v>0.2</v>
      </c>
      <c r="AP26" t="s">
        <v>3620</v>
      </c>
    </row>
    <row r="27" spans="1:66">
      <c r="T27" s="14" t="s">
        <v>1211</v>
      </c>
      <c r="U27" s="160">
        <f>U25-U26</f>
        <v>15928765</v>
      </c>
      <c r="W27" s="14" t="s">
        <v>1211</v>
      </c>
      <c r="X27" s="160">
        <f>X25-X26</f>
        <v>7097500</v>
      </c>
      <c r="AK27" s="7" t="s">
        <v>3621</v>
      </c>
      <c r="AL27" s="30">
        <v>19750000</v>
      </c>
      <c r="AM27" s="30">
        <v>17102000</v>
      </c>
      <c r="AN27" s="30">
        <v>2648000</v>
      </c>
      <c r="AO27" s="11">
        <v>0.125</v>
      </c>
      <c r="AP27" t="s">
        <v>3622</v>
      </c>
    </row>
    <row r="29" spans="1:66">
      <c r="BI29" t="s">
        <v>3682</v>
      </c>
    </row>
    <row r="30" spans="1:66">
      <c r="AK30" s="7" t="s">
        <v>3628</v>
      </c>
      <c r="BI30">
        <v>215696</v>
      </c>
    </row>
    <row r="31" spans="1:66">
      <c r="AK31" s="7" t="s">
        <v>3623</v>
      </c>
      <c r="AL31" s="7" t="s">
        <v>3624</v>
      </c>
      <c r="BI31">
        <v>218696</v>
      </c>
    </row>
    <row r="32" spans="1:66">
      <c r="AK32" s="7" t="s">
        <v>3625</v>
      </c>
      <c r="AL32" t="s">
        <v>3626</v>
      </c>
      <c r="BI32">
        <v>213296</v>
      </c>
    </row>
    <row r="33" spans="37:63">
      <c r="AK33" s="7" t="s">
        <v>3629</v>
      </c>
      <c r="AL33" s="30">
        <v>2209132</v>
      </c>
      <c r="BI33">
        <v>215276</v>
      </c>
    </row>
    <row r="34" spans="37:63">
      <c r="AK34" s="7" t="s">
        <v>3627</v>
      </c>
      <c r="AL34" s="30">
        <v>210868</v>
      </c>
      <c r="BI34">
        <v>257852</v>
      </c>
    </row>
    <row r="35" spans="37:63">
      <c r="BI35">
        <v>289324</v>
      </c>
    </row>
    <row r="36" spans="37:63">
      <c r="BI36">
        <v>19512</v>
      </c>
    </row>
    <row r="37" spans="37:63">
      <c r="BH37" t="s">
        <v>3690</v>
      </c>
      <c r="BI37">
        <f>SUM(BI30:BI36)</f>
        <v>1429652</v>
      </c>
    </row>
    <row r="38" spans="37:63" ht="24">
      <c r="AK38" s="168" t="s">
        <v>3636</v>
      </c>
    </row>
    <row r="39" spans="37:63">
      <c r="BI39" t="s">
        <v>3683</v>
      </c>
    </row>
    <row r="40" spans="37:63">
      <c r="AK40" t="s">
        <v>3637</v>
      </c>
      <c r="BI40" t="s">
        <v>3684</v>
      </c>
      <c r="BJ40" t="s">
        <v>3681</v>
      </c>
      <c r="BK40" t="s">
        <v>3685</v>
      </c>
    </row>
    <row r="41" spans="37:63">
      <c r="BI41">
        <v>1962230</v>
      </c>
      <c r="BJ41">
        <v>426000</v>
      </c>
      <c r="BK41">
        <f>1962230-426000</f>
        <v>1536230</v>
      </c>
    </row>
    <row r="42" spans="37:63">
      <c r="AK42" s="7" t="s">
        <v>3638</v>
      </c>
    </row>
    <row r="43" spans="37:63">
      <c r="BI43" t="s">
        <v>3686</v>
      </c>
      <c r="BJ43">
        <v>140000</v>
      </c>
    </row>
    <row r="44" spans="37:63">
      <c r="AK44" s="7" t="s">
        <v>3639</v>
      </c>
      <c r="BI44" t="s">
        <v>3687</v>
      </c>
      <c r="BJ44">
        <f>BI41-1500000</f>
        <v>462230</v>
      </c>
    </row>
    <row r="45" spans="37:63">
      <c r="BI45" s="5">
        <v>0.3</v>
      </c>
      <c r="BJ45">
        <f>BJ44*30%</f>
        <v>138669</v>
      </c>
    </row>
    <row r="46" spans="37:63" ht="19">
      <c r="AK46" s="169" t="s">
        <v>3630</v>
      </c>
      <c r="BI46" t="s">
        <v>3688</v>
      </c>
      <c r="BJ46">
        <f>BJ43+BJ45</f>
        <v>278669</v>
      </c>
    </row>
    <row r="47" spans="37:63">
      <c r="BI47" t="s">
        <v>3689</v>
      </c>
      <c r="BJ47" s="45">
        <f>BJ41-BJ46</f>
        <v>147331</v>
      </c>
    </row>
    <row r="48" spans="37:63">
      <c r="AK48" t="s">
        <v>3631</v>
      </c>
    </row>
    <row r="49" spans="1:62">
      <c r="BI49" t="s">
        <v>3691</v>
      </c>
      <c r="BJ49">
        <f>375000</f>
        <v>375000</v>
      </c>
    </row>
    <row r="50" spans="1:62">
      <c r="AK50" t="s">
        <v>3632</v>
      </c>
      <c r="BI50" t="s">
        <v>3692</v>
      </c>
      <c r="BJ50">
        <f>BJ49-BJ47</f>
        <v>227669</v>
      </c>
    </row>
    <row r="51" spans="1:62">
      <c r="BI51" t="s">
        <v>3696</v>
      </c>
      <c r="BJ51">
        <f>BJ50*4%</f>
        <v>9106.76</v>
      </c>
    </row>
    <row r="52" spans="1:62">
      <c r="AK52" t="s">
        <v>3633</v>
      </c>
    </row>
    <row r="54" spans="1:62">
      <c r="AK54" t="s">
        <v>3634</v>
      </c>
    </row>
    <row r="56" spans="1:62">
      <c r="AK56" s="7" t="s">
        <v>3635</v>
      </c>
    </row>
    <row r="57" spans="1:62">
      <c r="C57" s="5">
        <v>0.05</v>
      </c>
      <c r="D57" s="5">
        <v>0.01</v>
      </c>
    </row>
    <row r="58" spans="1:62">
      <c r="A58" t="s">
        <v>3676</v>
      </c>
      <c r="B58" t="s">
        <v>989</v>
      </c>
      <c r="C58" t="s">
        <v>938</v>
      </c>
      <c r="D58" t="s">
        <v>942</v>
      </c>
      <c r="E58" t="s">
        <v>3677</v>
      </c>
      <c r="G58" t="s">
        <v>3678</v>
      </c>
      <c r="H58">
        <v>11514414</v>
      </c>
    </row>
    <row r="59" spans="1:62" ht="24">
      <c r="A59" s="5">
        <v>0.1</v>
      </c>
      <c r="B59" s="6">
        <f>$H$58*A59</f>
        <v>1151441.4000000001</v>
      </c>
      <c r="C59">
        <f>B59*C$57</f>
        <v>57572.070000000007</v>
      </c>
      <c r="D59">
        <f>B59*D$57</f>
        <v>11514.414000000002</v>
      </c>
      <c r="E59" s="6">
        <f>B59+C59</f>
        <v>1209013.4700000002</v>
      </c>
      <c r="F59" t="s">
        <v>3680</v>
      </c>
      <c r="G59" s="5">
        <v>0.06</v>
      </c>
      <c r="H59">
        <f>H58*G59</f>
        <v>690864.84</v>
      </c>
      <c r="AK59" s="168" t="s">
        <v>3640</v>
      </c>
    </row>
    <row r="60" spans="1:62">
      <c r="A60" s="5">
        <v>0.2</v>
      </c>
      <c r="B60" s="6">
        <f t="shared" ref="B60" si="0">$H$58*A60</f>
        <v>2302882.8000000003</v>
      </c>
      <c r="C60">
        <f t="shared" ref="C60" si="1">B60*C$57</f>
        <v>115144.14000000001</v>
      </c>
      <c r="D60">
        <f t="shared" ref="D60" si="2">B60*D$57</f>
        <v>23028.828000000005</v>
      </c>
      <c r="E60" s="6">
        <f t="shared" ref="E60" si="3">B60+C60</f>
        <v>2418026.9400000004</v>
      </c>
      <c r="F60" t="s">
        <v>938</v>
      </c>
      <c r="G60" s="5">
        <v>0.05</v>
      </c>
      <c r="H60">
        <f>H58*G60</f>
        <v>575720.70000000007</v>
      </c>
    </row>
    <row r="61" spans="1:62">
      <c r="A61" s="5"/>
      <c r="B61" s="6"/>
      <c r="E61" s="6"/>
      <c r="H61">
        <v>30000</v>
      </c>
      <c r="AK61" t="s">
        <v>3641</v>
      </c>
    </row>
    <row r="62" spans="1:62">
      <c r="A62" s="5"/>
      <c r="B62" s="6"/>
      <c r="E62" s="6">
        <f>SUM(E59:E61)</f>
        <v>3627040.4100000006</v>
      </c>
      <c r="H62">
        <f>SUM(H58:H61)</f>
        <v>12810999.539999999</v>
      </c>
    </row>
    <row r="63" spans="1:62">
      <c r="C63" t="s">
        <v>3679</v>
      </c>
      <c r="E63" s="180">
        <f>E62+H59+H61+15000</f>
        <v>4362905.2500000009</v>
      </c>
      <c r="K63" s="5"/>
      <c r="O63" s="5"/>
      <c r="AK63" s="7" t="s">
        <v>3642</v>
      </c>
    </row>
    <row r="64" spans="1:62">
      <c r="K64" s="5"/>
      <c r="O64" s="5"/>
    </row>
    <row r="65" spans="1:37">
      <c r="K65" s="5"/>
      <c r="O65" s="5"/>
      <c r="AK65" s="7" t="s">
        <v>3643</v>
      </c>
    </row>
    <row r="66" spans="1:37">
      <c r="K66" s="5"/>
      <c r="O66" s="5"/>
    </row>
    <row r="67" spans="1:37" ht="19">
      <c r="K67" s="5"/>
      <c r="O67" s="5"/>
      <c r="AK67" s="169" t="s">
        <v>3644</v>
      </c>
    </row>
    <row r="68" spans="1:37">
      <c r="C68" s="5">
        <v>0.05</v>
      </c>
      <c r="D68" s="5">
        <v>0.01</v>
      </c>
      <c r="K68" s="5"/>
      <c r="O68" s="5"/>
    </row>
    <row r="69" spans="1:37">
      <c r="A69" t="s">
        <v>3676</v>
      </c>
      <c r="B69" t="s">
        <v>989</v>
      </c>
      <c r="C69" t="s">
        <v>938</v>
      </c>
      <c r="D69" t="s">
        <v>942</v>
      </c>
      <c r="E69" t="s">
        <v>3677</v>
      </c>
      <c r="K69" s="5"/>
      <c r="O69" s="5"/>
      <c r="AK69" t="s">
        <v>3645</v>
      </c>
    </row>
    <row r="70" spans="1:37">
      <c r="A70" s="5">
        <v>0.1</v>
      </c>
      <c r="B70" s="6">
        <f>$H$58*A70</f>
        <v>1151441.4000000001</v>
      </c>
      <c r="C70">
        <f>B70*C$57</f>
        <v>57572.070000000007</v>
      </c>
      <c r="D70">
        <f>B70*D$57</f>
        <v>11514.414000000002</v>
      </c>
      <c r="E70" s="6">
        <f>B70+C70</f>
        <v>1209013.4700000002</v>
      </c>
      <c r="G70" s="5"/>
      <c r="K70" s="5"/>
      <c r="O70" s="5"/>
    </row>
    <row r="71" spans="1:37">
      <c r="A71" s="5"/>
      <c r="B71" s="6"/>
      <c r="E71" s="6">
        <f>E70-300000</f>
        <v>909013.4700000002</v>
      </c>
      <c r="F71">
        <f>851442+C70</f>
        <v>909014.07000000007</v>
      </c>
      <c r="G71" s="5"/>
      <c r="K71" s="5"/>
      <c r="O71" s="5"/>
      <c r="AK71" t="s">
        <v>3646</v>
      </c>
    </row>
    <row r="72" spans="1:37">
      <c r="A72" s="5"/>
      <c r="B72" s="6"/>
      <c r="E72" s="6"/>
      <c r="K72" s="5"/>
      <c r="O72" s="5"/>
    </row>
    <row r="73" spans="1:37">
      <c r="A73" s="5"/>
      <c r="B73" s="6"/>
      <c r="E73" s="6"/>
      <c r="K73" s="5"/>
      <c r="O73" s="5"/>
      <c r="AK73" t="s">
        <v>3647</v>
      </c>
    </row>
    <row r="74" spans="1:37">
      <c r="K74" s="5"/>
      <c r="O74" s="5"/>
    </row>
    <row r="75" spans="1:37">
      <c r="K75" s="5"/>
      <c r="O75" s="5"/>
      <c r="AK75" t="s">
        <v>3648</v>
      </c>
    </row>
    <row r="76" spans="1:37">
      <c r="K76" s="5"/>
    </row>
    <row r="77" spans="1:37">
      <c r="AK77" s="7" t="s">
        <v>3649</v>
      </c>
    </row>
    <row r="80" spans="1:37" ht="19">
      <c r="AK80" s="169" t="s">
        <v>3662</v>
      </c>
    </row>
    <row r="81" spans="37:40">
      <c r="AK81" t="s">
        <v>3663</v>
      </c>
    </row>
    <row r="82" spans="37:40">
      <c r="AK82" s="7" t="s">
        <v>1209</v>
      </c>
      <c r="AL82" s="7" t="s">
        <v>3623</v>
      </c>
      <c r="AM82" s="7" t="s">
        <v>3652</v>
      </c>
      <c r="AN82" s="7" t="s">
        <v>3659</v>
      </c>
    </row>
    <row r="83" spans="37:40">
      <c r="AK83" t="s">
        <v>3653</v>
      </c>
      <c r="AL83" t="s">
        <v>3650</v>
      </c>
      <c r="AM83" t="s">
        <v>3654</v>
      </c>
      <c r="AN83" t="s">
        <v>3660</v>
      </c>
    </row>
    <row r="84" spans="37:40">
      <c r="AL84" t="s">
        <v>3651</v>
      </c>
      <c r="AM84" t="s">
        <v>3655</v>
      </c>
    </row>
    <row r="85" spans="37:40">
      <c r="AK85" t="s">
        <v>3656</v>
      </c>
      <c r="AL85" t="s">
        <v>3650</v>
      </c>
      <c r="AM85" t="s">
        <v>3657</v>
      </c>
      <c r="AN85" t="s">
        <v>3661</v>
      </c>
    </row>
    <row r="86" spans="37:40">
      <c r="AL86" t="s">
        <v>3651</v>
      </c>
      <c r="AM86" t="s">
        <v>3658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W24" sqref="W24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3563</v>
      </c>
      <c r="W1" t="s">
        <v>3559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3558</v>
      </c>
    </row>
    <row r="3" spans="1:30">
      <c r="Q3" s="38" t="s">
        <v>3546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3547</v>
      </c>
      <c r="T5" s="38" t="s">
        <v>3548</v>
      </c>
      <c r="U5" s="38" t="s">
        <v>3549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3550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3551</v>
      </c>
      <c r="T12" s="38" t="s">
        <v>3552</v>
      </c>
      <c r="U12" s="38" t="s">
        <v>1003</v>
      </c>
      <c r="V12" s="38" t="s">
        <v>3547</v>
      </c>
      <c r="W12" s="38" t="s">
        <v>3548</v>
      </c>
      <c r="X12" s="38" t="s">
        <v>1035</v>
      </c>
      <c r="Y12" s="38" t="s">
        <v>3553</v>
      </c>
      <c r="Z12" s="38" t="s">
        <v>3554</v>
      </c>
      <c r="AA12" s="38" t="s">
        <v>3555</v>
      </c>
      <c r="AB12" s="38" t="s">
        <v>3556</v>
      </c>
      <c r="AC12" s="38" t="s">
        <v>3557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3560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3560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3560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3560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3560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3561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3561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3561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3561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164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3560</v>
      </c>
      <c r="R24" s="14">
        <f>O10+O17</f>
        <v>332313.05000320019</v>
      </c>
      <c r="S24" s="14" t="s">
        <v>3561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165">
        <v>0.125</v>
      </c>
      <c r="S25" s="14" t="s">
        <v>1287</v>
      </c>
      <c r="T25" s="166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3562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3" sqref="N23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-103880.55000200003</v>
      </c>
      <c r="N2" s="28">
        <f>M2+P14</f>
        <v>1059968.2575796</v>
      </c>
      <c r="O2" s="3">
        <f>SUM(G2:G15)</f>
        <v>8030307.5612299005</v>
      </c>
      <c r="P2" s="3">
        <f>P6*R6+P7*R7+P8*R8</f>
        <v>9193697.8331216015</v>
      </c>
      <c r="Q2" s="2">
        <f>N2/O2</f>
        <v>0.1319959726943831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234.50139999999999</v>
      </c>
      <c r="S6" s="3">
        <f>(R6-Q6)*P6</f>
        <v>483640.16000999982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253.4676</v>
      </c>
      <c r="S7" s="3">
        <f t="shared" ref="S7:S8" si="5">(R7-Q7)*P7</f>
        <v>437066.84757160005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272.10000000000002</v>
      </c>
      <c r="S8" s="3">
        <f t="shared" si="5"/>
        <v>243141.80000000016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483640.16000999982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437066.84757160005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243141.80000000016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1163848.8075816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I21" s="155">
        <v>45779</v>
      </c>
      <c r="J21" s="135">
        <v>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I22" s="155">
        <v>45796</v>
      </c>
      <c r="J22" s="135">
        <v>-16113</v>
      </c>
      <c r="L22" s="3">
        <f t="shared" si="1"/>
        <v>-16113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U38" sqref="U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86" t="s">
        <v>1226</v>
      </c>
      <c r="D1" s="187"/>
      <c r="E1" s="187"/>
      <c r="F1" s="187"/>
      <c r="G1" s="188"/>
      <c r="I1" s="47" t="s">
        <v>1227</v>
      </c>
    </row>
    <row r="2" spans="3:25" ht="27" customHeight="1" thickBot="1">
      <c r="C2" s="189"/>
      <c r="D2" s="183"/>
      <c r="E2" s="183"/>
      <c r="F2" s="183"/>
      <c r="G2" s="185"/>
      <c r="I2" s="48" t="s">
        <v>1228</v>
      </c>
    </row>
    <row r="3" spans="3:25" ht="15">
      <c r="C3" s="190" t="s">
        <v>1229</v>
      </c>
      <c r="D3" s="191"/>
      <c r="E3" s="191"/>
      <c r="F3" s="191"/>
      <c r="G3" s="192"/>
      <c r="I3" s="193" t="s">
        <v>1230</v>
      </c>
      <c r="J3" s="194"/>
      <c r="K3" s="194"/>
      <c r="L3" s="195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96"/>
      <c r="J4" s="197"/>
      <c r="K4" s="197"/>
      <c r="L4" s="198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96"/>
      <c r="J5" s="197"/>
      <c r="K5" s="197"/>
      <c r="L5" s="198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96"/>
      <c r="J6" s="197"/>
      <c r="K6" s="197"/>
      <c r="L6" s="198"/>
    </row>
    <row r="7" spans="3:25" ht="15" customHeight="1">
      <c r="C7" s="60" t="s">
        <v>1236</v>
      </c>
      <c r="D7" s="56"/>
      <c r="E7" s="58"/>
      <c r="F7" s="58"/>
      <c r="G7" s="59"/>
      <c r="I7" s="196"/>
      <c r="J7" s="197"/>
      <c r="K7" s="197"/>
      <c r="L7" s="198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99"/>
      <c r="J8" s="200"/>
      <c r="K8" s="200"/>
      <c r="L8" s="201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93" t="s">
        <v>1240</v>
      </c>
      <c r="J10" s="194"/>
      <c r="K10" s="194"/>
      <c r="L10" s="195"/>
    </row>
    <row r="11" spans="3:25" ht="15">
      <c r="C11" s="60" t="s">
        <v>1241</v>
      </c>
      <c r="D11" s="56"/>
      <c r="E11" s="61">
        <v>0</v>
      </c>
      <c r="F11" s="58"/>
      <c r="G11" s="62"/>
      <c r="I11" s="196"/>
      <c r="J11" s="197"/>
      <c r="K11" s="197"/>
      <c r="L11" s="198"/>
    </row>
    <row r="12" spans="3:25" ht="15">
      <c r="C12" s="60" t="s">
        <v>1242</v>
      </c>
      <c r="D12" s="56"/>
      <c r="E12" s="61">
        <v>50000</v>
      </c>
      <c r="F12" s="58"/>
      <c r="G12" s="59"/>
      <c r="I12" s="196"/>
      <c r="J12" s="197"/>
      <c r="K12" s="197"/>
      <c r="L12" s="198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96"/>
      <c r="J13" s="197"/>
      <c r="K13" s="197"/>
      <c r="L13" s="198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96"/>
      <c r="J14" s="197"/>
      <c r="K14" s="197"/>
      <c r="L14" s="198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99"/>
      <c r="J15" s="200"/>
      <c r="K15" s="200"/>
      <c r="L15" s="201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202" t="s">
        <v>1248</v>
      </c>
      <c r="J17" s="194"/>
      <c r="K17" s="194"/>
      <c r="L17" s="195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96"/>
      <c r="J18" s="197"/>
      <c r="K18" s="197"/>
      <c r="L18" s="198"/>
    </row>
    <row r="19" spans="2:16" ht="5.25" customHeight="1">
      <c r="C19" s="66"/>
      <c r="D19" s="67"/>
      <c r="E19" s="68"/>
      <c r="F19" s="68"/>
      <c r="G19" s="69"/>
      <c r="I19" s="196"/>
      <c r="J19" s="197"/>
      <c r="K19" s="197"/>
      <c r="L19" s="198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96"/>
      <c r="J20" s="197"/>
      <c r="K20" s="197"/>
      <c r="L20" s="198"/>
    </row>
    <row r="21" spans="2:16" ht="8.25" customHeight="1">
      <c r="C21" s="60"/>
      <c r="D21" s="56"/>
      <c r="E21" s="58"/>
      <c r="F21" s="58"/>
      <c r="G21" s="59"/>
      <c r="I21" s="196"/>
      <c r="J21" s="197"/>
      <c r="K21" s="197"/>
      <c r="L21" s="198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99"/>
      <c r="J22" s="200"/>
      <c r="K22" s="200"/>
      <c r="L22" s="201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203" t="s">
        <v>1255</v>
      </c>
      <c r="J24" s="197"/>
      <c r="K24" s="197"/>
      <c r="L24" s="197"/>
      <c r="M24" s="197"/>
      <c r="N24" s="197"/>
      <c r="O24" s="197"/>
      <c r="P24" s="197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82" t="s">
        <v>1274</v>
      </c>
      <c r="D40" s="183"/>
      <c r="E40" s="184" t="str">
        <f>IF(E38&lt;G38,E4,G4) &amp;" is better by ₹" &amp;TEXT(ABS(G38-E38),"#,##0")</f>
        <v>New Tax Regime is better by ₹1,39,776</v>
      </c>
      <c r="F40" s="183"/>
      <c r="G40" s="185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208" t="s">
        <v>1275</v>
      </c>
      <c r="D1" s="209"/>
      <c r="E1" s="209"/>
      <c r="F1" s="209"/>
      <c r="G1" s="210"/>
      <c r="I1" s="91" t="s">
        <v>1276</v>
      </c>
    </row>
    <row r="2" spans="3:25" ht="15" thickBot="1">
      <c r="C2" s="211"/>
      <c r="D2" s="205"/>
      <c r="E2" s="205"/>
      <c r="F2" s="205"/>
      <c r="G2" s="207"/>
      <c r="I2" s="92" t="s">
        <v>1277</v>
      </c>
    </row>
    <row r="3" spans="3:25" ht="15">
      <c r="C3" s="212" t="s">
        <v>1229</v>
      </c>
      <c r="D3" s="213"/>
      <c r="E3" s="213"/>
      <c r="F3" s="213"/>
      <c r="G3" s="214"/>
      <c r="I3" s="215" t="s">
        <v>1230</v>
      </c>
      <c r="J3" s="216"/>
      <c r="K3" s="216"/>
      <c r="L3" s="217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218"/>
      <c r="J4" s="219"/>
      <c r="K4" s="219"/>
      <c r="L4" s="220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218"/>
      <c r="J5" s="219"/>
      <c r="K5" s="219"/>
      <c r="L5" s="220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218"/>
      <c r="J6" s="219"/>
      <c r="K6" s="219"/>
      <c r="L6" s="220"/>
    </row>
    <row r="7" spans="3:25" ht="15" customHeight="1">
      <c r="C7" s="104" t="s">
        <v>1236</v>
      </c>
      <c r="D7" s="100"/>
      <c r="E7" s="102"/>
      <c r="F7" s="102"/>
      <c r="G7" s="103"/>
      <c r="I7" s="218"/>
      <c r="J7" s="219"/>
      <c r="K7" s="219"/>
      <c r="L7" s="220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21"/>
      <c r="J8" s="222"/>
      <c r="K8" s="222"/>
      <c r="L8" s="223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215" t="s">
        <v>1240</v>
      </c>
      <c r="J10" s="216"/>
      <c r="K10" s="216"/>
      <c r="L10" s="217"/>
    </row>
    <row r="11" spans="3:25" ht="15">
      <c r="C11" s="104" t="s">
        <v>1241</v>
      </c>
      <c r="D11" s="100"/>
      <c r="E11" s="105">
        <v>0</v>
      </c>
      <c r="F11" s="102"/>
      <c r="G11" s="106"/>
      <c r="I11" s="218"/>
      <c r="J11" s="219"/>
      <c r="K11" s="219"/>
      <c r="L11" s="220"/>
    </row>
    <row r="12" spans="3:25" ht="15">
      <c r="C12" s="104" t="s">
        <v>1242</v>
      </c>
      <c r="D12" s="100"/>
      <c r="E12" s="105">
        <v>50000</v>
      </c>
      <c r="F12" s="102"/>
      <c r="G12" s="103"/>
      <c r="I12" s="218"/>
      <c r="J12" s="219"/>
      <c r="K12" s="219"/>
      <c r="L12" s="220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218"/>
      <c r="J13" s="219"/>
      <c r="K13" s="219"/>
      <c r="L13" s="220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218"/>
      <c r="J14" s="219"/>
      <c r="K14" s="219"/>
      <c r="L14" s="220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221"/>
      <c r="J15" s="222"/>
      <c r="K15" s="222"/>
      <c r="L15" s="223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24" t="s">
        <v>1248</v>
      </c>
      <c r="J17" s="216"/>
      <c r="K17" s="216"/>
      <c r="L17" s="217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218"/>
      <c r="J18" s="219"/>
      <c r="K18" s="219"/>
      <c r="L18" s="220"/>
    </row>
    <row r="19" spans="2:16" ht="5.25" customHeight="1">
      <c r="C19" s="110"/>
      <c r="D19" s="111"/>
      <c r="E19" s="112"/>
      <c r="F19" s="112"/>
      <c r="G19" s="113"/>
      <c r="I19" s="218"/>
      <c r="J19" s="219"/>
      <c r="K19" s="219"/>
      <c r="L19" s="220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218"/>
      <c r="J20" s="219"/>
      <c r="K20" s="219"/>
      <c r="L20" s="220"/>
    </row>
    <row r="21" spans="2:16" ht="8.25" customHeight="1">
      <c r="C21" s="104"/>
      <c r="D21" s="100"/>
      <c r="E21" s="102"/>
      <c r="F21" s="102"/>
      <c r="G21" s="103"/>
      <c r="I21" s="218"/>
      <c r="J21" s="219"/>
      <c r="K21" s="219"/>
      <c r="L21" s="220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21"/>
      <c r="J22" s="222"/>
      <c r="K22" s="222"/>
      <c r="L22" s="223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25" t="s">
        <v>1255</v>
      </c>
      <c r="J24" s="219"/>
      <c r="K24" s="219"/>
      <c r="L24" s="219"/>
      <c r="M24" s="219"/>
      <c r="N24" s="219"/>
      <c r="O24" s="219"/>
      <c r="P24" s="219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204" t="s">
        <v>1274</v>
      </c>
      <c r="D39" s="205"/>
      <c r="E39" s="206" t="str">
        <f>IF(E37&lt;G37,E4,G4) &amp;" is better by ₹" &amp;TEXT(ABS(G37-E37),"#,##0")</f>
        <v>New Tax Regime is better by ₹25,376</v>
      </c>
      <c r="F39" s="205"/>
      <c r="G39" s="207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7ADD-3BC0-1C46-81C3-76370D0F2987}">
  <dimension ref="A2:D29"/>
  <sheetViews>
    <sheetView workbookViewId="0">
      <selection activeCell="K27" sqref="K27"/>
    </sheetView>
  </sheetViews>
  <sheetFormatPr baseColWidth="10" defaultRowHeight="16"/>
  <cols>
    <col min="3" max="3" width="22.6640625" bestFit="1" customWidth="1"/>
    <col min="4" max="4" width="10.83203125" style="18"/>
  </cols>
  <sheetData>
    <row r="2" spans="1:4">
      <c r="B2" t="s">
        <v>3604</v>
      </c>
      <c r="C2" t="s">
        <v>3580</v>
      </c>
      <c r="D2" s="18">
        <v>10000</v>
      </c>
    </row>
    <row r="3" spans="1:4">
      <c r="C3" t="s">
        <v>3608</v>
      </c>
      <c r="D3" s="18">
        <v>500</v>
      </c>
    </row>
    <row r="4" spans="1:4">
      <c r="B4" t="s">
        <v>3601</v>
      </c>
      <c r="C4" t="s">
        <v>3581</v>
      </c>
      <c r="D4" s="18">
        <v>40000</v>
      </c>
    </row>
    <row r="5" spans="1:4">
      <c r="B5" t="s">
        <v>3604</v>
      </c>
      <c r="C5" t="s">
        <v>3606</v>
      </c>
      <c r="D5" s="18">
        <v>1000</v>
      </c>
    </row>
    <row r="7" spans="1:4">
      <c r="A7" s="226" t="s">
        <v>3591</v>
      </c>
      <c r="B7" t="s">
        <v>3602</v>
      </c>
      <c r="C7" t="s">
        <v>3582</v>
      </c>
    </row>
    <row r="8" spans="1:4">
      <c r="A8" s="226"/>
      <c r="B8" t="s">
        <v>3588</v>
      </c>
      <c r="C8" t="s">
        <v>3583</v>
      </c>
      <c r="D8" s="18">
        <v>6000</v>
      </c>
    </row>
    <row r="9" spans="1:4">
      <c r="A9" s="226"/>
      <c r="B9" t="s">
        <v>3588</v>
      </c>
      <c r="C9" t="s">
        <v>3584</v>
      </c>
    </row>
    <row r="10" spans="1:4">
      <c r="A10" s="226"/>
      <c r="B10" t="s">
        <v>3588</v>
      </c>
      <c r="C10" t="s">
        <v>3585</v>
      </c>
      <c r="D10" s="18" t="s">
        <v>1224</v>
      </c>
    </row>
    <row r="11" spans="1:4">
      <c r="A11" s="226"/>
      <c r="B11" t="s">
        <v>3589</v>
      </c>
      <c r="C11" t="s">
        <v>3586</v>
      </c>
      <c r="D11" s="18" t="s">
        <v>1224</v>
      </c>
    </row>
    <row r="12" spans="1:4">
      <c r="A12" s="226"/>
      <c r="B12" t="s">
        <v>3589</v>
      </c>
      <c r="C12" t="s">
        <v>3587</v>
      </c>
      <c r="D12" s="18" t="s">
        <v>1224</v>
      </c>
    </row>
    <row r="13" spans="1:4">
      <c r="A13" s="226"/>
      <c r="B13" t="s">
        <v>3589</v>
      </c>
      <c r="C13" t="s">
        <v>3590</v>
      </c>
      <c r="D13" s="18" t="s">
        <v>1224</v>
      </c>
    </row>
    <row r="14" spans="1:4">
      <c r="A14" s="226"/>
      <c r="B14" t="s">
        <v>3588</v>
      </c>
      <c r="C14" t="s">
        <v>3605</v>
      </c>
      <c r="D14" s="18" t="s">
        <v>1224</v>
      </c>
    </row>
    <row r="15" spans="1:4">
      <c r="A15" s="226"/>
      <c r="B15" t="s">
        <v>3604</v>
      </c>
      <c r="C15" t="s">
        <v>3593</v>
      </c>
    </row>
    <row r="16" spans="1:4">
      <c r="A16" s="226"/>
      <c r="B16" t="s">
        <v>3604</v>
      </c>
      <c r="C16" t="s">
        <v>3594</v>
      </c>
    </row>
    <row r="17" spans="1:4">
      <c r="A17" s="167"/>
    </row>
    <row r="18" spans="1:4" ht="19" customHeight="1">
      <c r="A18" s="226" t="s">
        <v>3595</v>
      </c>
      <c r="B18" t="s">
        <v>3601</v>
      </c>
      <c r="C18" t="s">
        <v>3592</v>
      </c>
    </row>
    <row r="19" spans="1:4" ht="19" customHeight="1">
      <c r="A19" s="226"/>
      <c r="B19" t="s">
        <v>3602</v>
      </c>
      <c r="C19" t="s">
        <v>3603</v>
      </c>
    </row>
    <row r="20" spans="1:4">
      <c r="A20" s="226"/>
      <c r="B20" t="s">
        <v>3588</v>
      </c>
      <c r="C20" t="s">
        <v>3596</v>
      </c>
      <c r="D20" s="18">
        <v>6000</v>
      </c>
    </row>
    <row r="21" spans="1:4">
      <c r="A21" s="226"/>
      <c r="B21" t="s">
        <v>3588</v>
      </c>
      <c r="C21" t="s">
        <v>3597</v>
      </c>
      <c r="D21" s="18">
        <v>6000</v>
      </c>
    </row>
    <row r="22" spans="1:4">
      <c r="A22" s="226"/>
      <c r="B22" t="s">
        <v>3588</v>
      </c>
      <c r="C22" t="s">
        <v>3598</v>
      </c>
      <c r="D22" s="18" t="s">
        <v>1224</v>
      </c>
    </row>
    <row r="23" spans="1:4">
      <c r="A23" s="226"/>
      <c r="B23" t="s">
        <v>3588</v>
      </c>
      <c r="C23" t="s">
        <v>3599</v>
      </c>
      <c r="D23" s="18" t="s">
        <v>1224</v>
      </c>
    </row>
    <row r="24" spans="1:4">
      <c r="A24" s="226"/>
      <c r="B24" t="s">
        <v>3588</v>
      </c>
      <c r="C24" t="s">
        <v>3600</v>
      </c>
      <c r="D24" s="18" t="s">
        <v>1224</v>
      </c>
    </row>
    <row r="25" spans="1:4">
      <c r="A25" s="226"/>
      <c r="B25" t="s">
        <v>3604</v>
      </c>
      <c r="C25" t="s">
        <v>3593</v>
      </c>
    </row>
    <row r="26" spans="1:4">
      <c r="A26" s="226"/>
      <c r="B26" t="s">
        <v>3604</v>
      </c>
      <c r="C26" t="s">
        <v>3594</v>
      </c>
    </row>
    <row r="28" spans="1:4">
      <c r="C28" t="s">
        <v>3607</v>
      </c>
      <c r="D28" s="18">
        <v>40000</v>
      </c>
    </row>
    <row r="29" spans="1:4">
      <c r="C29" t="s">
        <v>3609</v>
      </c>
      <c r="D29" s="18">
        <v>500</v>
      </c>
    </row>
  </sheetData>
  <mergeCells count="2">
    <mergeCell ref="A18:A26"/>
    <mergeCell ref="A7:A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81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81" t="s">
        <v>17</v>
      </c>
      <c r="P2">
        <f>SUM(N2:N6)</f>
        <v>78.099999999999994</v>
      </c>
      <c r="R2" t="s">
        <v>25</v>
      </c>
      <c r="S2">
        <v>172000</v>
      </c>
      <c r="W2" s="181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81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81"/>
      <c r="C3">
        <v>-6.4</v>
      </c>
      <c r="G3" t="s">
        <v>22</v>
      </c>
      <c r="H3">
        <v>66000</v>
      </c>
      <c r="M3" s="181"/>
      <c r="N3">
        <v>20.2</v>
      </c>
      <c r="R3" t="s">
        <v>22</v>
      </c>
      <c r="S3">
        <v>142000</v>
      </c>
      <c r="W3" s="181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81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81"/>
      <c r="C4">
        <v>36.9</v>
      </c>
      <c r="G4" t="s">
        <v>26</v>
      </c>
      <c r="H4">
        <f>D25</f>
        <v>306390</v>
      </c>
      <c r="M4" s="181"/>
      <c r="N4">
        <v>22.4</v>
      </c>
      <c r="R4" t="s">
        <v>26</v>
      </c>
      <c r="S4">
        <f>O28</f>
        <v>115265</v>
      </c>
      <c r="W4" s="181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81"/>
      <c r="AI4" s="17">
        <f t="shared" si="1"/>
        <v>0</v>
      </c>
      <c r="AL4" t="s">
        <v>26</v>
      </c>
      <c r="AM4">
        <f>AH29</f>
        <v>103534</v>
      </c>
    </row>
    <row r="5" spans="2:41">
      <c r="B5" s="181"/>
      <c r="C5">
        <v>4.8</v>
      </c>
      <c r="G5" t="s">
        <v>23</v>
      </c>
      <c r="H5">
        <v>58000</v>
      </c>
      <c r="M5" s="181"/>
      <c r="N5">
        <v>10.8</v>
      </c>
      <c r="R5" t="s">
        <v>23</v>
      </c>
      <c r="S5">
        <v>65000</v>
      </c>
      <c r="W5" s="181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81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81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81"/>
      <c r="N6">
        <v>24.7</v>
      </c>
      <c r="R6" t="s">
        <v>24</v>
      </c>
      <c r="S6">
        <f>SUM(S2:S5)</f>
        <v>494265</v>
      </c>
      <c r="W6" s="181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81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81"/>
      <c r="C7">
        <v>19.3</v>
      </c>
      <c r="M7" s="181" t="s">
        <v>18</v>
      </c>
      <c r="N7">
        <v>8.1</v>
      </c>
      <c r="P7">
        <f>SUM(N7:N11)</f>
        <v>53.6</v>
      </c>
      <c r="W7" s="181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81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81"/>
      <c r="C8">
        <v>22.2</v>
      </c>
      <c r="M8" s="181"/>
      <c r="N8">
        <v>-6.8</v>
      </c>
      <c r="W8" s="181"/>
      <c r="X8">
        <v>12514</v>
      </c>
      <c r="Y8" s="17">
        <f t="shared" si="0"/>
        <v>7.8212500000000004E-2</v>
      </c>
      <c r="AG8" s="181"/>
      <c r="AH8">
        <v>13989</v>
      </c>
      <c r="AI8" s="17">
        <f t="shared" si="1"/>
        <v>6.9944999999999993E-2</v>
      </c>
      <c r="AM8" s="3"/>
    </row>
    <row r="9" spans="2:41">
      <c r="B9" s="181"/>
      <c r="C9">
        <v>10.8</v>
      </c>
      <c r="M9" s="181"/>
      <c r="N9">
        <v>23.2</v>
      </c>
      <c r="S9" s="10"/>
      <c r="W9" s="181"/>
      <c r="X9">
        <v>20811</v>
      </c>
      <c r="Y9" s="17">
        <f t="shared" si="0"/>
        <v>0.13006875000000001</v>
      </c>
      <c r="AC9" s="10"/>
      <c r="AG9" s="181"/>
      <c r="AH9">
        <v>23989</v>
      </c>
      <c r="AI9" s="17">
        <f t="shared" si="1"/>
        <v>0.119945</v>
      </c>
      <c r="AM9" s="10"/>
    </row>
    <row r="10" spans="2:41">
      <c r="B10" s="181" t="s">
        <v>19</v>
      </c>
      <c r="C10">
        <v>24.2</v>
      </c>
      <c r="E10">
        <f>SUM(C10:C13)</f>
        <v>64.599999999999994</v>
      </c>
      <c r="M10" s="181"/>
      <c r="N10">
        <v>17.100000000000001</v>
      </c>
      <c r="W10" s="181"/>
      <c r="X10">
        <v>13577</v>
      </c>
      <c r="Y10" s="17">
        <f t="shared" si="0"/>
        <v>8.4856249999999994E-2</v>
      </c>
      <c r="AG10" s="181"/>
      <c r="AH10">
        <v>12000</v>
      </c>
      <c r="AI10" s="17">
        <f t="shared" si="1"/>
        <v>0.06</v>
      </c>
    </row>
    <row r="11" spans="2:41">
      <c r="B11" s="181"/>
      <c r="C11">
        <v>0.8</v>
      </c>
      <c r="M11" s="181"/>
      <c r="N11">
        <v>12</v>
      </c>
      <c r="W11" s="181"/>
      <c r="X11">
        <v>1412</v>
      </c>
      <c r="Y11" s="17">
        <f t="shared" si="0"/>
        <v>8.8249999999999995E-3</v>
      </c>
      <c r="AG11" s="181"/>
      <c r="AH11">
        <v>13391</v>
      </c>
      <c r="AI11" s="17">
        <f t="shared" si="1"/>
        <v>6.6955000000000001E-2</v>
      </c>
    </row>
    <row r="12" spans="2:41">
      <c r="B12" s="181"/>
      <c r="C12">
        <v>28.1</v>
      </c>
      <c r="M12" s="181" t="s">
        <v>19</v>
      </c>
      <c r="N12">
        <v>7.5</v>
      </c>
      <c r="P12">
        <f>SUM(N12:N16)</f>
        <v>62.6</v>
      </c>
      <c r="W12" s="181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81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81"/>
      <c r="C13">
        <v>11.5</v>
      </c>
      <c r="M13" s="181"/>
      <c r="N13">
        <v>13</v>
      </c>
      <c r="W13" s="181"/>
      <c r="X13">
        <v>9637</v>
      </c>
      <c r="Y13" s="17">
        <f t="shared" si="0"/>
        <v>6.023125E-2</v>
      </c>
      <c r="AG13" s="181"/>
      <c r="AH13">
        <v>-2716</v>
      </c>
      <c r="AI13" s="17">
        <f t="shared" si="1"/>
        <v>-1.358E-2</v>
      </c>
    </row>
    <row r="14" spans="2:41">
      <c r="B14" s="181" t="s">
        <v>20</v>
      </c>
      <c r="C14">
        <v>4.9000000000000004</v>
      </c>
      <c r="E14">
        <f>SUM(C14:C18)</f>
        <v>65.5</v>
      </c>
      <c r="M14" s="181"/>
      <c r="N14">
        <v>4.8</v>
      </c>
      <c r="W14" s="181"/>
      <c r="X14">
        <v>6542</v>
      </c>
      <c r="Y14" s="17">
        <f t="shared" si="0"/>
        <v>4.08875E-2</v>
      </c>
      <c r="AG14" s="181"/>
      <c r="AH14">
        <v>-37463</v>
      </c>
      <c r="AI14" s="17">
        <f t="shared" si="1"/>
        <v>-0.18731500000000001</v>
      </c>
    </row>
    <row r="15" spans="2:41">
      <c r="B15" s="181"/>
      <c r="C15">
        <v>43.6</v>
      </c>
      <c r="M15" s="181"/>
      <c r="N15">
        <v>10.9</v>
      </c>
      <c r="W15" s="181"/>
      <c r="X15">
        <v>8408</v>
      </c>
      <c r="Y15" s="17">
        <f t="shared" si="0"/>
        <v>5.2549999999999999E-2</v>
      </c>
      <c r="AG15" s="181"/>
      <c r="AH15">
        <v>12412</v>
      </c>
      <c r="AI15" s="17">
        <f t="shared" si="1"/>
        <v>6.2059999999999997E-2</v>
      </c>
    </row>
    <row r="16" spans="2:41">
      <c r="B16" s="181"/>
      <c r="C16">
        <v>-4.2</v>
      </c>
      <c r="M16" s="181"/>
      <c r="N16">
        <v>26.4</v>
      </c>
      <c r="W16" s="181"/>
      <c r="X16">
        <v>-6006</v>
      </c>
      <c r="Y16" s="17">
        <f t="shared" si="0"/>
        <v>-3.7537500000000001E-2</v>
      </c>
      <c r="AG16" s="181"/>
      <c r="AH16">
        <v>10060</v>
      </c>
      <c r="AI16" s="17">
        <f t="shared" si="1"/>
        <v>5.0299999999999997E-2</v>
      </c>
    </row>
    <row r="17" spans="2:38">
      <c r="B17" s="181"/>
      <c r="C17">
        <v>8.1999999999999993</v>
      </c>
      <c r="M17" s="181" t="s">
        <v>20</v>
      </c>
      <c r="N17">
        <v>-118.2</v>
      </c>
      <c r="P17">
        <f>SUM(N17:N21)</f>
        <v>-90.300000000000011</v>
      </c>
      <c r="W17" s="181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81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81"/>
      <c r="C18">
        <v>13</v>
      </c>
      <c r="M18" s="181"/>
      <c r="N18">
        <v>-4</v>
      </c>
      <c r="W18" s="181"/>
      <c r="X18">
        <v>16136</v>
      </c>
      <c r="Y18" s="17">
        <f t="shared" si="0"/>
        <v>0.10085</v>
      </c>
      <c r="AG18" s="181"/>
      <c r="AH18">
        <v>5687</v>
      </c>
      <c r="AI18" s="17">
        <f t="shared" si="1"/>
        <v>2.8434999999999998E-2</v>
      </c>
    </row>
    <row r="19" spans="2:38">
      <c r="B19" s="181" t="s">
        <v>21</v>
      </c>
      <c r="C19">
        <v>9</v>
      </c>
      <c r="E19">
        <f>SUM(C19:C23)</f>
        <v>62</v>
      </c>
      <c r="M19" s="181"/>
      <c r="N19">
        <v>16.3</v>
      </c>
      <c r="W19" s="181"/>
      <c r="Y19" s="17">
        <f t="shared" si="0"/>
        <v>0</v>
      </c>
      <c r="AG19" s="181"/>
      <c r="AH19">
        <v>21733</v>
      </c>
      <c r="AI19" s="17">
        <f t="shared" si="1"/>
        <v>0.108665</v>
      </c>
    </row>
    <row r="20" spans="2:38">
      <c r="B20" s="181"/>
      <c r="C20">
        <v>30.1</v>
      </c>
      <c r="M20" s="181"/>
      <c r="N20">
        <v>15.6</v>
      </c>
      <c r="W20" s="181"/>
      <c r="X20">
        <v>49619</v>
      </c>
      <c r="Y20" s="17">
        <f t="shared" si="0"/>
        <v>0.31011875</v>
      </c>
      <c r="AG20" s="181"/>
      <c r="AH20">
        <f>17976+3580</f>
        <v>21556</v>
      </c>
      <c r="AI20" s="17">
        <f t="shared" si="1"/>
        <v>0.10778</v>
      </c>
    </row>
    <row r="21" spans="2:38">
      <c r="B21" s="181"/>
      <c r="M21" s="181"/>
      <c r="W21" s="181"/>
      <c r="X21">
        <v>19404</v>
      </c>
      <c r="Y21" s="17">
        <f t="shared" si="0"/>
        <v>0.12127499999999999</v>
      </c>
      <c r="AG21" s="181"/>
      <c r="AH21">
        <v>10789</v>
      </c>
      <c r="AI21" s="17">
        <f t="shared" si="1"/>
        <v>5.3945E-2</v>
      </c>
    </row>
    <row r="22" spans="2:38">
      <c r="B22" s="181"/>
      <c r="C22">
        <v>22.9</v>
      </c>
      <c r="M22" s="181" t="s">
        <v>21</v>
      </c>
      <c r="N22">
        <v>-10</v>
      </c>
      <c r="P22">
        <f>SUM(N22:N26)</f>
        <v>11.2</v>
      </c>
      <c r="W22" s="181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81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81"/>
      <c r="M23" s="181"/>
      <c r="N23">
        <v>21.2</v>
      </c>
      <c r="W23" s="181"/>
      <c r="Y23" s="17">
        <f t="shared" si="0"/>
        <v>0</v>
      </c>
      <c r="AG23" s="181"/>
      <c r="AH23">
        <v>9722</v>
      </c>
      <c r="AI23" s="17">
        <f t="shared" si="1"/>
        <v>4.861E-2</v>
      </c>
    </row>
    <row r="24" spans="2:38">
      <c r="D24" t="s">
        <v>29</v>
      </c>
      <c r="M24" s="181"/>
      <c r="W24" s="181"/>
      <c r="Y24" s="17">
        <f t="shared" si="0"/>
        <v>0</v>
      </c>
      <c r="AG24" s="181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81"/>
      <c r="W25" s="181"/>
      <c r="Y25" s="17">
        <f t="shared" si="0"/>
        <v>0</v>
      </c>
      <c r="AG25" s="181"/>
      <c r="AH25">
        <f>27071+14672-7637-3380</f>
        <v>30726</v>
      </c>
      <c r="AI25" s="17">
        <f t="shared" si="1"/>
        <v>0.15362999999999999</v>
      </c>
    </row>
    <row r="26" spans="2:38">
      <c r="M26" s="181"/>
      <c r="W26" s="181"/>
      <c r="Y26" s="17">
        <f t="shared" si="0"/>
        <v>0</v>
      </c>
      <c r="AG26" s="181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27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27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27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81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27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81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27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81"/>
      <c r="N34">
        <v>27.4</v>
      </c>
      <c r="O34" s="17">
        <f t="shared" si="2"/>
        <v>0.1957142857142857</v>
      </c>
      <c r="R34" t="s">
        <v>26</v>
      </c>
      <c r="S34">
        <v>197885</v>
      </c>
      <c r="W34" s="181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81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27"/>
      <c r="C35" s="10">
        <v>4.0999999999999996</v>
      </c>
      <c r="D35" s="10"/>
      <c r="E35" s="10"/>
      <c r="F35" s="10"/>
      <c r="M35" s="181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81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81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27" t="s">
        <v>18</v>
      </c>
      <c r="C36" s="10">
        <v>10.9</v>
      </c>
      <c r="D36" s="10"/>
      <c r="E36" s="10">
        <f>SUM(C36:C40)</f>
        <v>48.900000000000006</v>
      </c>
      <c r="F36" s="10"/>
      <c r="M36" s="181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81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81"/>
      <c r="AI36" s="17">
        <f t="shared" si="4"/>
        <v>0</v>
      </c>
      <c r="AL36" t="s">
        <v>26</v>
      </c>
      <c r="AM36">
        <f>AH61</f>
        <v>176019</v>
      </c>
    </row>
    <row r="37" spans="2:41">
      <c r="B37" s="227"/>
      <c r="C37" s="10">
        <v>3.7</v>
      </c>
      <c r="D37" s="10"/>
      <c r="E37" s="10"/>
      <c r="F37" s="10"/>
      <c r="G37" s="10"/>
      <c r="H37" s="10"/>
      <c r="M37" s="181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81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81"/>
      <c r="AI37" s="17">
        <f t="shared" si="4"/>
        <v>0</v>
      </c>
      <c r="AL37" t="s">
        <v>178</v>
      </c>
      <c r="AM37">
        <v>182216</v>
      </c>
    </row>
    <row r="38" spans="2:41">
      <c r="B38" s="227"/>
      <c r="C38" s="10">
        <v>-6.2</v>
      </c>
      <c r="D38" s="10"/>
      <c r="E38" s="10"/>
      <c r="F38" s="10"/>
      <c r="G38" s="10"/>
      <c r="H38" s="10"/>
      <c r="M38" s="181"/>
      <c r="N38">
        <v>-0.9</v>
      </c>
      <c r="O38" s="17">
        <f t="shared" si="2"/>
        <v>-6.4285714285714285E-3</v>
      </c>
      <c r="W38" s="181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81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27"/>
      <c r="C39" s="10">
        <v>20.100000000000001</v>
      </c>
      <c r="D39" s="10"/>
      <c r="E39" s="10"/>
      <c r="F39" s="10"/>
      <c r="G39" s="10"/>
      <c r="H39" s="10"/>
      <c r="M39" s="181"/>
      <c r="N39">
        <v>21.3</v>
      </c>
      <c r="O39" s="17">
        <f t="shared" si="2"/>
        <v>0.15214285714285714</v>
      </c>
      <c r="S39" s="10"/>
      <c r="W39" s="181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81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27"/>
      <c r="C40" s="10">
        <v>20.399999999999999</v>
      </c>
      <c r="D40" s="10"/>
      <c r="E40" s="10"/>
      <c r="F40" s="10"/>
      <c r="M40" s="181"/>
      <c r="N40">
        <v>10.199999999999999</v>
      </c>
      <c r="O40" s="17">
        <f t="shared" si="2"/>
        <v>7.2857142857142843E-2</v>
      </c>
      <c r="W40" s="181"/>
      <c r="X40">
        <v>-33678</v>
      </c>
      <c r="Y40" s="17">
        <f t="shared" si="3"/>
        <v>-0.19810588235294119</v>
      </c>
      <c r="AG40" s="181"/>
      <c r="AH40">
        <v>21305</v>
      </c>
      <c r="AI40" s="17">
        <f t="shared" si="4"/>
        <v>9.5968468468468474E-2</v>
      </c>
    </row>
    <row r="41" spans="2:41">
      <c r="B41" s="227" t="s">
        <v>19</v>
      </c>
      <c r="C41" s="10">
        <v>18.5</v>
      </c>
      <c r="D41" s="10"/>
      <c r="E41" s="10">
        <f>SUM(C41:C45)</f>
        <v>73.8</v>
      </c>
      <c r="F41" s="10"/>
      <c r="M41" s="181"/>
      <c r="N41">
        <v>7.3</v>
      </c>
      <c r="O41" s="17">
        <f t="shared" si="2"/>
        <v>5.2142857142857144E-2</v>
      </c>
      <c r="W41" s="181"/>
      <c r="X41">
        <v>15143</v>
      </c>
      <c r="Y41" s="17">
        <f t="shared" si="3"/>
        <v>8.9076470588235299E-2</v>
      </c>
      <c r="AC41" s="10"/>
      <c r="AG41" s="181"/>
      <c r="AH41">
        <v>12952</v>
      </c>
      <c r="AI41" s="17">
        <f t="shared" si="4"/>
        <v>5.834234234234234E-2</v>
      </c>
      <c r="AM41" s="10"/>
    </row>
    <row r="42" spans="2:41">
      <c r="B42" s="227"/>
      <c r="C42" s="10"/>
      <c r="D42" s="10"/>
      <c r="E42" s="10"/>
      <c r="F42" s="10"/>
      <c r="M42" s="181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81"/>
      <c r="X42">
        <v>6921</v>
      </c>
      <c r="Y42" s="17">
        <f t="shared" si="3"/>
        <v>4.071176470588235E-2</v>
      </c>
      <c r="AG42" s="181"/>
      <c r="AH42">
        <v>13077</v>
      </c>
      <c r="AI42" s="17">
        <f t="shared" si="4"/>
        <v>5.8905405405405405E-2</v>
      </c>
    </row>
    <row r="43" spans="2:41">
      <c r="B43" s="227"/>
      <c r="C43" s="10">
        <v>34</v>
      </c>
      <c r="D43" s="10"/>
      <c r="E43" s="10"/>
      <c r="M43" s="181"/>
      <c r="O43" s="17">
        <f t="shared" si="2"/>
        <v>0</v>
      </c>
      <c r="W43" s="181"/>
      <c r="X43">
        <v>1053</v>
      </c>
      <c r="Y43" s="17">
        <f t="shared" si="3"/>
        <v>6.1941176470588239E-3</v>
      </c>
      <c r="AG43" s="181"/>
      <c r="AI43" s="17">
        <f t="shared" si="4"/>
        <v>0</v>
      </c>
    </row>
    <row r="44" spans="2:41">
      <c r="B44" s="227"/>
      <c r="C44" s="10">
        <v>13.2</v>
      </c>
      <c r="D44" s="10"/>
      <c r="E44" s="10"/>
      <c r="F44" s="10"/>
      <c r="M44" s="181"/>
      <c r="N44">
        <v>19.2</v>
      </c>
      <c r="O44" s="17">
        <f t="shared" si="2"/>
        <v>0.13714285714285715</v>
      </c>
      <c r="W44" s="181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81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27"/>
      <c r="C45" s="10">
        <v>8.1</v>
      </c>
      <c r="D45" s="10"/>
      <c r="E45" s="10"/>
      <c r="F45" s="10"/>
      <c r="M45" s="181"/>
      <c r="N45">
        <v>-1.9</v>
      </c>
      <c r="O45" s="17">
        <f t="shared" si="2"/>
        <v>-1.3571428571428571E-2</v>
      </c>
      <c r="W45" s="181"/>
      <c r="X45">
        <v>13430</v>
      </c>
      <c r="Y45" s="17">
        <f t="shared" si="3"/>
        <v>7.9000000000000001E-2</v>
      </c>
      <c r="AG45" s="181"/>
      <c r="AH45">
        <v>229</v>
      </c>
      <c r="AI45" s="17">
        <f t="shared" si="4"/>
        <v>1.0315315315315315E-3</v>
      </c>
    </row>
    <row r="46" spans="2:41">
      <c r="B46" s="227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81"/>
      <c r="N46">
        <v>22.3</v>
      </c>
      <c r="O46" s="17">
        <f t="shared" si="2"/>
        <v>0.15928571428571428</v>
      </c>
      <c r="W46" s="181"/>
      <c r="X46">
        <v>-13924</v>
      </c>
      <c r="Y46" s="17">
        <f t="shared" si="3"/>
        <v>-8.1905882352941176E-2</v>
      </c>
      <c r="AG46" s="181"/>
      <c r="AH46">
        <v>19551</v>
      </c>
      <c r="AI46" s="17">
        <f t="shared" si="4"/>
        <v>8.8067567567567562E-2</v>
      </c>
    </row>
    <row r="47" spans="2:41">
      <c r="B47" s="227"/>
      <c r="C47" s="10">
        <v>29.2</v>
      </c>
      <c r="D47" s="10"/>
      <c r="E47" s="10"/>
      <c r="F47" s="10"/>
      <c r="G47" s="10"/>
      <c r="H47" s="10"/>
      <c r="M47" s="181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81"/>
      <c r="X47">
        <v>15018</v>
      </c>
      <c r="Y47" s="17">
        <f t="shared" si="3"/>
        <v>8.8341176470588229E-2</v>
      </c>
      <c r="AG47" s="181"/>
      <c r="AH47">
        <v>16372</v>
      </c>
      <c r="AI47" s="17">
        <f t="shared" si="4"/>
        <v>7.3747747747747741E-2</v>
      </c>
    </row>
    <row r="48" spans="2:41">
      <c r="B48" s="227"/>
      <c r="C48" s="10">
        <v>6.4</v>
      </c>
      <c r="D48" s="10"/>
      <c r="E48" s="10"/>
      <c r="F48" s="10"/>
      <c r="G48" s="10"/>
      <c r="H48" s="10"/>
      <c r="M48" s="181"/>
      <c r="N48">
        <v>16.3</v>
      </c>
      <c r="O48" s="17">
        <f t="shared" si="2"/>
        <v>0.11642857142857142</v>
      </c>
      <c r="W48" s="181"/>
      <c r="X48">
        <v>13405</v>
      </c>
      <c r="Y48" s="17">
        <f t="shared" si="3"/>
        <v>7.8852941176470584E-2</v>
      </c>
      <c r="AG48" s="181"/>
      <c r="AH48">
        <v>9432</v>
      </c>
      <c r="AI48" s="17">
        <f t="shared" si="4"/>
        <v>4.2486486486486487E-2</v>
      </c>
    </row>
    <row r="49" spans="2:38">
      <c r="B49" s="227"/>
      <c r="C49" s="10">
        <v>37</v>
      </c>
      <c r="D49" s="10"/>
      <c r="E49" s="10"/>
      <c r="F49" s="10"/>
      <c r="G49" s="10"/>
      <c r="H49" s="10"/>
      <c r="M49" s="181"/>
      <c r="N49">
        <v>11.3</v>
      </c>
      <c r="O49" s="17">
        <f t="shared" si="2"/>
        <v>8.0714285714285711E-2</v>
      </c>
      <c r="W49" s="181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81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27"/>
      <c r="C50" s="10">
        <v>4</v>
      </c>
      <c r="D50" s="10"/>
      <c r="E50" s="10"/>
      <c r="F50" s="10"/>
      <c r="G50" s="10"/>
      <c r="H50" s="10"/>
      <c r="M50" s="181"/>
      <c r="N50">
        <v>7.6</v>
      </c>
      <c r="O50" s="17">
        <f t="shared" si="2"/>
        <v>5.4285714285714284E-2</v>
      </c>
      <c r="W50" s="181"/>
      <c r="X50">
        <v>-714</v>
      </c>
      <c r="Y50" s="17">
        <f t="shared" si="3"/>
        <v>-4.1999999999999997E-3</v>
      </c>
      <c r="AG50" s="181"/>
      <c r="AH50">
        <v>13468</v>
      </c>
      <c r="AI50" s="17">
        <f t="shared" si="4"/>
        <v>6.0666666666666667E-2</v>
      </c>
    </row>
    <row r="51" spans="2:38">
      <c r="B51" s="227"/>
      <c r="C51" s="10">
        <v>9.8000000000000007</v>
      </c>
      <c r="D51" s="10"/>
      <c r="E51" s="10"/>
      <c r="F51" s="10"/>
      <c r="G51" s="10"/>
      <c r="H51" s="10"/>
      <c r="M51" s="181"/>
      <c r="N51">
        <v>11.6</v>
      </c>
      <c r="O51" s="17">
        <f t="shared" si="2"/>
        <v>8.2857142857142851E-2</v>
      </c>
      <c r="W51" s="181"/>
      <c r="X51">
        <v>-450</v>
      </c>
      <c r="Y51" s="17">
        <f t="shared" si="3"/>
        <v>-2.6470588235294116E-3</v>
      </c>
      <c r="AG51" s="181"/>
      <c r="AH51">
        <v>9439</v>
      </c>
      <c r="AI51" s="17">
        <f t="shared" si="4"/>
        <v>4.2518018018018015E-2</v>
      </c>
    </row>
    <row r="52" spans="2:38">
      <c r="B52" s="227" t="s">
        <v>21</v>
      </c>
      <c r="C52" s="10"/>
      <c r="D52" s="10"/>
      <c r="E52" s="10">
        <f>SUM(C52:C56)</f>
        <v>0</v>
      </c>
      <c r="F52" s="10"/>
      <c r="G52" s="10"/>
      <c r="H52" s="10"/>
      <c r="M52" s="181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81"/>
      <c r="X52">
        <v>51238</v>
      </c>
      <c r="Y52" s="17">
        <f t="shared" si="3"/>
        <v>0.3014</v>
      </c>
      <c r="AG52" s="181"/>
      <c r="AH52">
        <v>23888</v>
      </c>
      <c r="AI52" s="17">
        <f t="shared" si="4"/>
        <v>0.1076036036036036</v>
      </c>
    </row>
    <row r="53" spans="2:38">
      <c r="B53" s="227"/>
      <c r="C53" s="10"/>
      <c r="D53" s="10"/>
      <c r="E53" s="10"/>
      <c r="F53" s="10"/>
      <c r="G53" s="10"/>
      <c r="H53" s="10"/>
      <c r="M53" s="181"/>
      <c r="O53" s="17">
        <f t="shared" si="2"/>
        <v>0</v>
      </c>
      <c r="W53" s="181"/>
      <c r="Y53" s="17">
        <f t="shared" si="3"/>
        <v>0</v>
      </c>
      <c r="AG53" s="181"/>
      <c r="AH53">
        <v>7555</v>
      </c>
      <c r="AI53" s="17">
        <f t="shared" si="4"/>
        <v>3.4031531531531531E-2</v>
      </c>
    </row>
    <row r="54" spans="2:38">
      <c r="B54" s="227"/>
      <c r="C54" s="10"/>
      <c r="D54" s="10"/>
      <c r="E54" s="10"/>
      <c r="F54" s="10"/>
      <c r="G54" s="10"/>
      <c r="H54" s="10"/>
      <c r="M54" s="181"/>
      <c r="O54" s="17">
        <f t="shared" si="2"/>
        <v>0</v>
      </c>
      <c r="W54" s="181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81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27"/>
      <c r="C55" s="10"/>
      <c r="D55" s="10"/>
      <c r="E55" s="10"/>
      <c r="F55" s="10"/>
      <c r="G55" s="10"/>
      <c r="H55" s="10"/>
      <c r="M55" s="181"/>
      <c r="O55" s="17">
        <f t="shared" si="2"/>
        <v>0</v>
      </c>
      <c r="W55" s="181"/>
      <c r="X55">
        <v>21835</v>
      </c>
      <c r="Y55" s="17">
        <f t="shared" si="3"/>
        <v>0.12844117647058823</v>
      </c>
      <c r="AG55" s="181"/>
      <c r="AH55">
        <v>14479</v>
      </c>
      <c r="AI55" s="17">
        <f t="shared" si="4"/>
        <v>6.5220720720720715E-2</v>
      </c>
    </row>
    <row r="56" spans="2:38">
      <c r="B56" s="227"/>
      <c r="C56" s="10"/>
      <c r="D56" s="10"/>
      <c r="E56" s="10"/>
      <c r="F56" s="10"/>
      <c r="G56" s="10"/>
      <c r="H56" s="10"/>
      <c r="M56" s="181"/>
      <c r="O56" s="17">
        <f t="shared" si="2"/>
        <v>0</v>
      </c>
      <c r="W56" s="181"/>
      <c r="X56">
        <v>12411</v>
      </c>
      <c r="Y56" s="17">
        <f t="shared" si="3"/>
        <v>7.300588235294117E-2</v>
      </c>
      <c r="AG56" s="181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81"/>
      <c r="Y57" s="17">
        <f t="shared" si="3"/>
        <v>0</v>
      </c>
      <c r="AG57" s="181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81"/>
      <c r="Y58" s="17">
        <f t="shared" si="3"/>
        <v>0</v>
      </c>
      <c r="AG58" s="181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Amruta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2025-05-22T11:27:09Z</dcterms:modified>
</cp:coreProperties>
</file>