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5783DCF0-21E9-F849-90B9-5B67B52DF763}" xr6:coauthVersionLast="47" xr6:coauthVersionMax="47" xr10:uidLastSave="{00000000-0000-0000-0000-000000000000}"/>
  <bookViews>
    <workbookView xWindow="0" yWindow="760" windowWidth="34560" windowHeight="20340" activeTab="7" xr2:uid="{2F6EBC25-3AA2-2041-A9CD-E7098B4FE5BF}"/>
  </bookViews>
  <sheets>
    <sheet name="total" sheetId="1" r:id="rId1"/>
    <sheet name="month wise 2024-25" sheetId="17" r:id="rId2"/>
    <sheet name="Strategic Indices" sheetId="47" r:id="rId3"/>
    <sheet name="Momentum" sheetId="49" r:id="rId4"/>
    <sheet name="Crypto" sheetId="33" r:id="rId5"/>
    <sheet name="Agreement" sheetId="32" r:id="rId6"/>
    <sheet name="Debt funds" sheetId="37" r:id="rId7"/>
    <sheet name="covered call" sheetId="41" r:id="rId8"/>
    <sheet name="tax-regime FY2025-26" sheetId="45" r:id="rId9"/>
    <sheet name="tax-regime FY2024-25" sheetId="46" r:id="rId10"/>
    <sheet name="covered call-old" sheetId="12" r:id="rId11"/>
    <sheet name="P-bfly+Call" sheetId="19" r:id="rId12"/>
    <sheet name="All Weekly Fly" sheetId="16" r:id="rId13"/>
    <sheet name="Nifty Daily Range" sheetId="23" r:id="rId14"/>
    <sheet name="NF Weekly Range" sheetId="34" r:id="rId15"/>
    <sheet name="BNF Daily Range" sheetId="24" r:id="rId16"/>
    <sheet name="NF Weekly Fly" sheetId="28" r:id="rId17"/>
    <sheet name="month wise 2023-24" sheetId="5" r:id="rId18"/>
    <sheet name="laptops" sheetId="9" r:id="rId19"/>
    <sheet name="Sheet7" sheetId="13" r:id="rId20"/>
    <sheet name="graphs 2023-24" sheetId="7" r:id="rId21"/>
    <sheet name="graphs 2024-25" sheetId="18" r:id="rId22"/>
  </sheets>
  <definedNames>
    <definedName name="_xlnm._FilterDatabase" localSheetId="7" hidden="1">'covered call'!$A$1:$AD$8</definedName>
    <definedName name="_xlnm._FilterDatabase" localSheetId="10" hidden="1">'covered call-old'!$A$1:$AQ$8</definedName>
    <definedName name="_xlnm._FilterDatabase" localSheetId="20" hidden="1">'graphs 2023-24'!$A$1:$B$100</definedName>
    <definedName name="_xlnm._FilterDatabase" localSheetId="21" hidden="1">'graphs 2024-25'!$A$1:$B$100</definedName>
    <definedName name="_xlnm._FilterDatabase" localSheetId="18" hidden="1">laptops!$A$1:$J$24</definedName>
    <definedName name="_xlnm._FilterDatabase" localSheetId="13" hidden="1">'Nifty Daily Range'!$A$1:$K$1033</definedName>
    <definedName name="_xlnm._FilterDatabase" localSheetId="2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41" l="1"/>
  <c r="BG5" i="17"/>
  <c r="N45" i="1"/>
  <c r="N44" i="1"/>
  <c r="N43" i="1"/>
  <c r="N42" i="1"/>
  <c r="S46" i="1"/>
  <c r="R43" i="1"/>
  <c r="R44" i="1"/>
  <c r="R45" i="1"/>
  <c r="R46" i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P66" i="32" l="1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K3" i="49" l="1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T3" i="37"/>
  <c r="R5" i="37"/>
  <c r="R3" i="37"/>
  <c r="O4" i="37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G5" i="45"/>
  <c r="Z25" i="1"/>
  <c r="Z20" i="1"/>
  <c r="Z23" i="1"/>
  <c r="Z9" i="1"/>
  <c r="Z24" i="1" s="1"/>
  <c r="W25" i="1"/>
  <c r="W21" i="1"/>
  <c r="W24" i="1"/>
  <c r="W23" i="1"/>
  <c r="X20" i="32"/>
  <c r="S23" i="32"/>
  <c r="U26" i="32"/>
  <c r="U27" i="32" s="1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4" i="32"/>
  <c r="U15" i="32" s="1"/>
  <c r="U8" i="32"/>
  <c r="U9" i="32" s="1"/>
  <c r="L15" i="41"/>
  <c r="AH52" i="17"/>
  <c r="AH51" i="17"/>
  <c r="C18" i="33"/>
  <c r="T20" i="1"/>
  <c r="T11" i="1"/>
  <c r="T9" i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J62" i="1"/>
  <c r="B59" i="1"/>
  <c r="B60" i="1"/>
  <c r="B61" i="1"/>
  <c r="B62" i="1"/>
  <c r="B63" i="1"/>
  <c r="I63" i="1" s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N2" i="41" s="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I7" i="37"/>
  <c r="L2" i="12"/>
  <c r="L3" i="12"/>
  <c r="L6" i="12"/>
  <c r="L7" i="12"/>
  <c r="L8" i="12"/>
  <c r="M11" i="12"/>
  <c r="AA6" i="32" l="1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G32" i="45"/>
  <c r="G30" i="45"/>
  <c r="G34" i="45"/>
  <c r="G29" i="45"/>
  <c r="G33" i="45"/>
  <c r="G28" i="45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L3" i="41"/>
  <c r="O7" i="37"/>
  <c r="O10" i="37" s="1"/>
  <c r="AK79" i="17"/>
  <c r="AM79" i="17" s="1"/>
  <c r="N21" i="1"/>
  <c r="O14" i="37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H18" i="32" l="1"/>
  <c r="H16" i="32"/>
  <c r="Q2" i="41"/>
  <c r="E36" i="45"/>
  <c r="G35" i="46"/>
  <c r="E35" i="46"/>
  <c r="G36" i="45"/>
  <c r="G36" i="46"/>
  <c r="G37" i="46"/>
  <c r="E36" i="46"/>
  <c r="E37" i="46"/>
  <c r="E39" i="46" s="1"/>
  <c r="E37" i="45"/>
  <c r="E38" i="45" s="1"/>
  <c r="G37" i="45"/>
  <c r="G38" i="45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E40" i="45" l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<sst xmlns="http://schemas.openxmlformats.org/spreadsheetml/2006/main" count="5440" uniqueCount="3542">
  <si>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</si>
  <si>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</si>
  <si>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</si>
  <si>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</si>
  <si>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</si>
  <si>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</si>
  <si>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</si>
  <si>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</si>
  <si>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</si>
  <si>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</si>
  <si>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</si>
  <si>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</si>
  <si>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</si>
  <si>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</si>
  <si>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</si>
  <si>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</si>
  <si>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</si>
  <si>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</si>
  <si>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</si>
  <si>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</si>
  <si>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</si>
  <si>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</si>
  <si>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</si>
  <si>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</si>
  <si>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</si>
  <si>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</si>
  <si>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</si>
  <si>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</si>
  <si>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</si>
  <si>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</si>
  <si>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</si>
  <si>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</si>
  <si>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</si>
  <si>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</si>
  <si>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</si>
  <si>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</si>
  <si>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</si>
  <si>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</si>
  <si>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</si>
  <si>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</si>
  <si>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</si>
  <si>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</si>
  <si>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</si>
  <si>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</si>
  <si>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</si>
  <si>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</si>
  <si>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</si>
  <si>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</si>
  <si>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</si>
  <si>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</si>
  <si>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</si>
  <si>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</si>
  <si>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</si>
  <si>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</si>
  <si>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</si>
  <si>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</si>
  <si>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</si>
  <si>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</si>
  <si>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</si>
  <si>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</si>
  <si>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</si>
  <si>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</si>
  <si>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</si>
  <si>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</si>
  <si>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</si>
  <si>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</si>
  <si>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</si>
  <si>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</si>
  <si>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</si>
  <si>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</si>
  <si>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</si>
  <si>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</si>
  <si>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</si>
  <si>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</si>
  <si>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</si>
  <si>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</si>
  <si>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</si>
  <si>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</si>
  <si>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</si>
  <si>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</si>
  <si>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</si>
  <si>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</si>
  <si>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</si>
  <si>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</si>
  <si>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</si>
  <si>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</si>
  <si>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</si>
  <si>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</si>
  <si>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</si>
  <si>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</si>
  <si>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</si>
  <si>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</si>
  <si>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</si>
  <si>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</si>
  <si>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</si>
  <si>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</si>
  <si>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</si>
  <si>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</si>
  <si>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</si>
  <si>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</si>
  <si>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</si>
  <si>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</si>
  <si>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</si>
  <si>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</si>
  <si>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</si>
  <si>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</si>
  <si>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</si>
  <si>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</si>
  <si>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</si>
  <si>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</si>
  <si>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</si>
  <si>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</si>
  <si>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</si>
  <si>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</si>
  <si>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</si>
  <si>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</si>
  <si>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</si>
  <si>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</si>
  <si>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</si>
  <si>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</si>
  <si>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</si>
  <si>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</si>
  <si>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</si>
  <si>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</si>
  <si>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</si>
  <si>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</si>
  <si>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</si>
  <si>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</si>
  <si>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</si>
  <si>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</si>
  <si>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</si>
  <si>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</si>
  <si>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</si>
  <si>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</si>
  <si>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</si>
  <si>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</si>
  <si>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</si>
  <si>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</si>
  <si>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</si>
  <si>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</si>
  <si>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</si>
  <si>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</si>
  <si>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</si>
  <si>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</si>
  <si>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</si>
  <si>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</si>
  <si>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</si>
  <si>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</si>
  <si>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</si>
  <si>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</si>
  <si>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</si>
  <si>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</si>
  <si>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</si>
  <si>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</si>
  <si>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</si>
  <si>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</si>
  <si>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</si>
  <si>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</si>
  <si>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</si>
  <si>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</si>
  <si>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</si>
  <si>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</si>
  <si>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</si>
  <si>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</si>
  <si>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</si>
  <si>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</si>
  <si>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</si>
  <si>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</si>
  <si>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</si>
  <si>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</si>
  <si>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</si>
  <si>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</si>
  <si>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</si>
  <si>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</si>
  <si>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</si>
  <si>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</si>
  <si>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</si>
  <si>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</si>
  <si>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</si>
  <si>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</si>
  <si>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</si>
  <si>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</si>
  <si>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</si>
  <si>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</si>
  <si>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</si>
  <si>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</si>
  <si>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</si>
  <si>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</si>
  <si>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</si>
  <si>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</si>
  <si>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</si>
  <si>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</si>
  <si>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</si>
  <si>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</si>
  <si>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</si>
  <si>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</si>
  <si>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</si>
  <si>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</si>
  <si>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</si>
  <si>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</si>
  <si>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</si>
  <si>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</si>
  <si>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</si>
  <si>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</si>
  <si>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</si>
  <si>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</si>
  <si>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</si>
  <si>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</si>
  <si>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</si>
  <si>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</si>
  <si>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</si>
  <si>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</si>
  <si>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</si>
  <si>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</si>
  <si>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</si>
  <si>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</si>
  <si>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</si>
  <si>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</si>
  <si>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</si>
  <si>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</si>
  <si>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</si>
  <si>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</si>
  <si>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</si>
  <si>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</si>
  <si>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</si>
  <si>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</si>
  <si>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</si>
  <si>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</si>
  <si>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</si>
  <si>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</si>
  <si>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</si>
  <si>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</si>
  <si>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</si>
  <si>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</si>
  <si>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</si>
  <si>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</si>
  <si>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</si>
  <si>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</si>
  <si>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</si>
  <si>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</si>
  <si>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</si>
  <si>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</si>
  <si>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</si>
  <si>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</si>
  <si>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</si>
  <si>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</si>
  <si>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</si>
  <si>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</si>
  <si>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</si>
  <si>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</si>
  <si>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</si>
  <si>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</si>
  <si>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</si>
  <si>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</si>
  <si>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</si>
  <si>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</si>
  <si>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</si>
  <si>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</si>
  <si>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</si>
  <si>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</si>
  <si>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</si>
  <si>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</si>
  <si>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</si>
  <si>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</si>
  <si>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</si>
  <si>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</si>
  <si>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</si>
  <si>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</si>
  <si>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</si>
  <si>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</si>
  <si>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</si>
  <si>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</si>
  <si>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</si>
  <si>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</si>
  <si>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</si>
  <si>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</si>
  <si>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</si>
  <si>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</si>
  <si>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</si>
  <si>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</si>
  <si>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</si>
  <si>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</si>
  <si>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</si>
  <si>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</si>
  <si>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</si>
  <si>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</si>
  <si>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</si>
  <si>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</si>
  <si>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</si>
  <si>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</si>
  <si>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</si>
  <si>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</si>
  <si>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</si>
  <si>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</si>
  <si>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</si>
  <si>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</si>
  <si>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</si>
  <si>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</si>
  <si>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</si>
  <si>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</si>
  <si>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</si>
  <si>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</si>
  <si>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</si>
  <si>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</si>
  <si>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</si>
  <si>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</si>
  <si>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</si>
  <si>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</si>
  <si>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</si>
  <si>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</si>
  <si>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</si>
  <si>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</si>
  <si>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</si>
  <si>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</si>
  <si>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</si>
  <si>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</si>
  <si>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</si>
  <si>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</si>
  <si>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</si>
  <si>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</si>
  <si>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</si>
  <si>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</si>
  <si>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</si>
  <si>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</si>
  <si>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</si>
  <si>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</si>
  <si>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</si>
  <si>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</si>
  <si>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</si>
  <si>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</si>
  <si>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</si>
  <si>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</si>
  <si>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</si>
  <si>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</si>
  <si>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</si>
  <si>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</si>
  <si>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</si>
  <si>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</si>
  <si>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</si>
  <si>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</si>
  <si>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</si>
  <si>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</si>
  <si>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</si>
  <si>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</si>
  <si>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</si>
  <si>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</si>
  <si>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</si>
  <si>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</si>
  <si>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</si>
  <si>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</si>
  <si>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</si>
  <si>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</si>
  <si>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</si>
  <si>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</si>
  <si>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</si>
  <si>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</si>
  <si>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</si>
  <si>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</si>
  <si>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</si>
  <si>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</si>
  <si>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</si>
  <si>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</si>
  <si>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</si>
  <si>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</si>
  <si>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</si>
  <si>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</si>
  <si>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</si>
  <si>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</si>
  <si>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</si>
  <si>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</si>
  <si>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</si>
  <si>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</si>
  <si>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</si>
  <si>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</si>
  <si>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</si>
  <si>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</si>
  <si>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</si>
  <si>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</si>
  <si>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</si>
  <si>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</si>
  <si>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</si>
  <si>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</si>
  <si>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</si>
  <si>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</si>
  <si>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</si>
  <si>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</si>
  <si>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</si>
  <si>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</si>
  <si>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</si>
  <si>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</si>
  <si>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</si>
  <si>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</si>
  <si>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</si>
  <si>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</si>
  <si>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</si>
  <si>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</si>
  <si>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</si>
  <si>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</si>
  <si>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</si>
  <si>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</si>
  <si>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</si>
  <si>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</si>
  <si>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</si>
  <si>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</si>
  <si>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</si>
  <si>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</si>
  <si>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</si>
  <si>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</si>
  <si>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</si>
  <si>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</si>
  <si>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</si>
  <si>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</si>
  <si>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</si>
  <si>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</si>
  <si>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</si>
  <si>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</si>
  <si>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</si>
  <si>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</si>
  <si>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</si>
  <si>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</si>
  <si>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</si>
  <si>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</si>
  <si>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</si>
  <si>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</si>
  <si>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</si>
  <si>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</si>
  <si>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</si>
  <si>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</si>
  <si>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</si>
  <si>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</si>
  <si>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</si>
  <si>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</si>
  <si>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</si>
  <si>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</si>
  <si>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</si>
  <si>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</si>
  <si>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</si>
  <si>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</si>
  <si>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</si>
  <si>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</si>
  <si>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</si>
  <si>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</si>
  <si>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</si>
  <si>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</si>
  <si>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</si>
  <si>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</si>
  <si>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</si>
  <si>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</si>
  <si>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</si>
  <si>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</si>
  <si>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</si>
  <si>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</si>
  <si>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</si>
  <si>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</si>
  <si>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</si>
  <si>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</si>
  <si>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</si>
  <si>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</si>
  <si>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</si>
  <si>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</si>
  <si>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</si>
  <si>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</si>
  <si>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</si>
  <si>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</si>
  <si>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</si>
  <si>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</si>
  <si>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</si>
  <si>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</si>
  <si>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</si>
  <si>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</si>
  <si>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</si>
  <si>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</si>
  <si>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</si>
  <si>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</si>
  <si>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</si>
  <si>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</si>
  <si>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</si>
  <si>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</si>
  <si>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</si>
  <si>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</si>
  <si>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</si>
  <si>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</si>
  <si>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</si>
  <si>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</si>
  <si>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</si>
  <si>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</si>
  <si>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</si>
  <si>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</si>
  <si>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</si>
  <si>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</si>
  <si>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</si>
  <si>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</si>
  <si>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</si>
  <si>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</si>
  <si>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</si>
  <si>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</si>
  <si>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</si>
  <si>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</si>
  <si>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</si>
  <si>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</si>
  <si>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</si>
  <si>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</si>
  <si>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</si>
  <si>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</si>
  <si>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</si>
  <si>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</si>
  <si>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</si>
  <si>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</si>
  <si>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</si>
  <si>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</si>
  <si>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</si>
  <si>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</si>
  <si>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</si>
  <si>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</si>
  <si>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</si>
  <si>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</si>
  <si>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</si>
  <si>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</si>
  <si>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</si>
  <si>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</si>
  <si>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</si>
  <si>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</si>
  <si>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</si>
  <si>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</si>
  <si>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</si>
  <si>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</si>
  <si>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</si>
  <si>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</si>
  <si>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</si>
  <si>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</si>
  <si>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</si>
  <si>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</si>
  <si>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</si>
  <si>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</si>
  <si>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</si>
  <si>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</si>
  <si>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</si>
  <si>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</si>
  <si>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</si>
  <si>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</si>
  <si>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</si>
  <si>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</si>
  <si>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</si>
  <si>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</si>
  <si>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</si>
  <si>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</si>
  <si>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</si>
  <si>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</si>
  <si>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</si>
  <si>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</si>
  <si>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</si>
  <si>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</si>
  <si>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</si>
  <si>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</si>
  <si>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</si>
  <si>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</si>
  <si>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</si>
  <si>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</si>
  <si>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</si>
  <si>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</si>
  <si>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</si>
  <si>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</si>
  <si>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</si>
  <si>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</si>
  <si>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</si>
  <si>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</si>
  <si>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</si>
  <si>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</si>
  <si>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</si>
  <si>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</si>
  <si>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</si>
  <si>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</si>
  <si>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</si>
  <si>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</si>
  <si>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</si>
  <si>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</si>
  <si>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</si>
  <si>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</si>
  <si>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</si>
  <si>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</si>
  <si>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</si>
  <si>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</si>
  <si>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</si>
  <si>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</si>
  <si>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</si>
  <si>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</si>
  <si>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</si>
  <si>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</si>
  <si>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</si>
  <si>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</si>
  <si>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</si>
  <si>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</si>
  <si>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</si>
  <si>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</si>
  <si>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</si>
  <si>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</si>
  <si>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</si>
  <si>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</si>
  <si>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</si>
  <si>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</si>
  <si>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</si>
  <si>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</si>
  <si>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</si>
  <si>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</si>
  <si>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</si>
  <si>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</si>
  <si>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</si>
  <si>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</si>
  <si>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</si>
  <si>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</si>
  <si>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</si>
  <si>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</si>
  <si>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</si>
  <si>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</si>
  <si>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</si>
  <si>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</si>
  <si>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</si>
  <si>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</si>
  <si>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</si>
  <si>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</si>
  <si>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</si>
  <si>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</si>
  <si>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</si>
  <si>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</si>
  <si>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</si>
  <si>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</si>
  <si>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</si>
  <si>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</si>
  <si>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</si>
  <si>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</si>
  <si>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</si>
  <si>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</si>
  <si>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</si>
  <si>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</si>
  <si>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</si>
  <si>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</si>
  <si>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</si>
  <si>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</si>
  <si>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</si>
  <si>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</si>
  <si>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</si>
  <si>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</si>
  <si>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</si>
  <si>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</si>
  <si>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</si>
  <si>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</si>
  <si>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</si>
  <si>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</si>
  <si>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</si>
  <si>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</si>
  <si>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</si>
  <si>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</si>
  <si>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</si>
  <si>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</si>
  <si>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</si>
  <si>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</si>
  <si>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</si>
  <si>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</si>
  <si>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</si>
  <si>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</si>
  <si>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</si>
  <si>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</si>
  <si>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</si>
  <si>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</si>
  <si>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</si>
  <si>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</si>
  <si>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</si>
  <si>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</si>
  <si>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</si>
  <si>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</si>
  <si>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</si>
  <si>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</si>
  <si>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</si>
  <si>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</si>
  <si>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</si>
  <si>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</si>
  <si>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</si>
  <si>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</si>
  <si>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</si>
  <si>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</si>
  <si>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</si>
  <si>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</si>
  <si>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</si>
  <si>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</si>
  <si>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</si>
  <si>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</si>
  <si>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</si>
  <si>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</si>
  <si>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</si>
  <si>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</si>
  <si>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</si>
  <si>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</si>
  <si>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</si>
  <si>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</si>
  <si>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</si>
  <si>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</si>
  <si>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</si>
  <si>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</si>
  <si>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</si>
  <si>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</si>
  <si>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</si>
  <si>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</si>
  <si>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</si>
  <si>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</si>
  <si>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</si>
  <si>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</si>
  <si>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</si>
  <si>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</si>
  <si>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</si>
  <si>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</si>
  <si>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</si>
  <si>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</si>
  <si>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</si>
  <si>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</si>
  <si>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</si>
  <si>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</si>
  <si>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</si>
  <si>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</si>
  <si>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</si>
  <si>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</si>
  <si>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</si>
  <si>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</si>
  <si>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</si>
  <si>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</si>
  <si>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</si>
  <si>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</si>
  <si>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</si>
  <si>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</si>
  <si>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</si>
  <si>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</si>
  <si>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</si>
  <si>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</si>
  <si>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</si>
  <si>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</si>
  <si>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</si>
  <si>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</si>
  <si>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</si>
  <si>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</si>
  <si>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</si>
  <si>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</si>
  <si>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</si>
  <si>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</si>
  <si>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</si>
  <si>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</si>
  <si>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</si>
  <si>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</si>
  <si>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</si>
  <si>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</si>
  <si>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</si>
  <si>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</si>
  <si>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</si>
  <si>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</si>
  <si>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</si>
  <si>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</si>
  <si>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</si>
  <si>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</si>
  <si>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</si>
  <si>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</si>
  <si>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</si>
  <si>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</si>
  <si>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</si>
  <si>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</si>
  <si>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</si>
  <si>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</si>
  <si>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</si>
  <si>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</si>
  <si>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</si>
  <si>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</si>
  <si>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</si>
  <si>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</si>
  <si>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</si>
  <si>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</si>
  <si>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</si>
  <si>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</si>
  <si>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</si>
  <si>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</si>
  <si>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</si>
  <si>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</si>
  <si>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</si>
  <si>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</si>
  <si>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</si>
  <si>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</si>
  <si>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</si>
  <si>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</si>
  <si>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</si>
  <si>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</si>
  <si>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</si>
  <si>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</si>
  <si>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</si>
  <si>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</si>
  <si>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</si>
  <si>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</si>
  <si>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</si>
  <si>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</si>
  <si>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</si>
  <si>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</si>
  <si>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</si>
  <si>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</si>
  <si>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</si>
  <si>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</si>
  <si>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</si>
  <si>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</si>
  <si>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</si>
  <si>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</si>
  <si>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</si>
  <si>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</si>
  <si>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</si>
  <si>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</si>
  <si>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</si>
  <si>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</si>
  <si>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</si>
  <si>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</si>
  <si>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</si>
  <si>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</si>
  <si>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</si>
  <si>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</si>
  <si>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</si>
  <si>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</si>
  <si>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</si>
  <si>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</si>
  <si>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</si>
  <si>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</si>
  <si>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</si>
  <si>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</si>
  <si>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</si>
  <si>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</si>
  <si>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</si>
  <si>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</si>
  <si>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</si>
  <si>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</si>
  <si>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</si>
  <si>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</si>
  <si>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</si>
  <si>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</si>
  <si>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</si>
  <si>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</si>
  <si>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</si>
  <si>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</si>
  <si>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</si>
  <si>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</si>
  <si>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</si>
  <si>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</si>
  <si>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</si>
  <si>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</si>
  <si>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</si>
  <si>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</si>
  <si>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</si>
  <si>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</si>
  <si>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</si>
  <si>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</si>
  <si>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</si>
  <si>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</si>
  <si>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</si>
  <si>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</si>
  <si>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</si>
  <si>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</si>
  <si>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</si>
  <si>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</si>
  <si>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</si>
  <si>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</si>
  <si>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</si>
  <si>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</si>
  <si>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</si>
  <si>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</si>
  <si>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</si>
  <si>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</si>
  <si>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</si>
  <si>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</si>
  <si>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</si>
  <si>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</si>
  <si>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</si>
  <si>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</si>
  <si>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</si>
  <si>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</si>
  <si>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</si>
  <si>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</si>
  <si>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</si>
  <si>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</si>
  <si>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</si>
  <si>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</si>
  <si>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</si>
  <si>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</si>
  <si>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</si>
  <si>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</si>
  <si>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</si>
  <si>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</si>
  <si>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</si>
  <si>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</si>
  <si>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</si>
  <si>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</si>
  <si>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</si>
  <si>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</si>
  <si>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</si>
  <si>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</si>
  <si>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</si>
  <si>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</si>
  <si>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</si>
  <si>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</si>
  <si>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</si>
  <si>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</si>
  <si>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</si>
  <si>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</si>
  <si>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</si>
  <si>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</si>
  <si>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</si>
  <si>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</si>
  <si>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</si>
  <si>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</si>
  <si>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</si>
  <si>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</si>
  <si>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</si>
  <si>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</si>
  <si>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</si>
  <si>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</si>
  <si>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</si>
  <si>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</si>
  <si>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</si>
  <si>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</si>
  <si>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</si>
  <si>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</si>
  <si>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</si>
  <si>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</si>
  <si>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</si>
  <si>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</si>
  <si>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</si>
  <si>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</si>
  <si>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</si>
  <si>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</si>
  <si>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</si>
  <si>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</si>
  <si>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</si>
  <si>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</si>
  <si>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</si>
  <si>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</si>
  <si>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</si>
  <si>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</si>
  <si>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</si>
  <si>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</si>
  <si>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</si>
  <si>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</si>
  <si>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</si>
  <si>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</si>
  <si>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</si>
  <si>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</si>
  <si>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</si>
  <si>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</si>
  <si>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</si>
  <si>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</si>
  <si>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</si>
  <si>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</si>
  <si>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</si>
  <si>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</si>
  <si>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</si>
  <si>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</si>
  <si>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</si>
  <si>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</si>
  <si>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</si>
  <si>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</si>
  <si>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</si>
  <si>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</si>
  <si>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</si>
  <si>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</si>
  <si>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</si>
  <si>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</si>
  <si>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</si>
  <si>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</si>
  <si>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</si>
  <si>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</si>
  <si>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</si>
  <si>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</si>
  <si>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</si>
  <si>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</si>
  <si>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</si>
  <si>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</si>
  <si>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</si>
  <si>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</si>
  <si>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</si>
  <si>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</si>
  <si>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</si>
  <si>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</si>
  <si>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</si>
  <si>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</si>
  <si>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</si>
  <si>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</si>
  <si>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</si>
  <si>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</si>
  <si>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</si>
  <si>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</si>
  <si>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</si>
  <si>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</si>
  <si>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</si>
  <si>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</si>
  <si>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</si>
  <si>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</si>
  <si>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</si>
  <si>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</si>
  <si>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</si>
  <si>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</si>
  <si>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</si>
  <si>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</si>
  <si>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</si>
  <si>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</si>
  <si>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</si>
  <si>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</si>
  <si>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</si>
  <si>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</si>
  <si>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</si>
  <si>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</si>
  <si>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</si>
  <si>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</si>
  <si>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</si>
  <si>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</si>
  <si>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</si>
  <si>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</si>
  <si>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</si>
  <si>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</si>
  <si>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</si>
  <si>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</si>
  <si>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</si>
  <si>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</si>
  <si>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</si>
  <si>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</si>
  <si>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</si>
  <si>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</si>
  <si>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</si>
  <si>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</si>
  <si>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</si>
  <si>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</si>
  <si>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</si>
  <si>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</si>
  <si>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</si>
  <si>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</si>
  <si>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</si>
  <si>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</si>
  <si>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</si>
  <si>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</si>
  <si>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</si>
  <si>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</si>
  <si>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</si>
  <si>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</si>
  <si>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</si>
  <si>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</si>
  <si>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</si>
  <si>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</si>
  <si>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</si>
  <si>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</si>
  <si>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</si>
  <si>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</si>
  <si>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</si>
  <si>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</si>
  <si>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</si>
  <si>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</si>
  <si>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</si>
  <si>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</si>
  <si>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</si>
  <si>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</si>
  <si>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</si>
  <si>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</si>
  <si>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</si>
  <si>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</si>
  <si>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</si>
  <si>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</si>
  <si>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</si>
  <si>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</si>
  <si>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</si>
  <si>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</si>
  <si>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</si>
  <si>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</si>
  <si>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</si>
  <si>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</si>
  <si>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</si>
  <si>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</si>
  <si>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</si>
  <si>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</si>
  <si>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</si>
  <si>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</si>
  <si>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</si>
  <si>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</si>
  <si>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</si>
  <si>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</si>
  <si>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</si>
  <si>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</si>
  <si>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</si>
  <si>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</si>
  <si>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</si>
  <si>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</si>
  <si>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</si>
  <si>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</si>
  <si>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</si>
  <si>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</si>
  <si>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</si>
  <si>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</si>
  <si>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</si>
  <si>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</si>
  <si>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</si>
  <si>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</si>
  <si>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</si>
  <si>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</si>
  <si>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</si>
  <si>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</si>
  <si>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</si>
  <si>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</si>
  <si>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</si>
  <si>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</si>
  <si>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</si>
  <si>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</si>
  <si>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</si>
  <si>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</si>
  <si>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</si>
  <si>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</si>
  <si>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</si>
  <si>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</si>
  <si>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</si>
  <si>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</si>
  <si>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</si>
  <si>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</si>
  <si>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</si>
  <si>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</si>
  <si>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</si>
  <si>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</si>
  <si>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</si>
  <si>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</si>
  <si>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</si>
  <si>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</si>
  <si>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</si>
  <si>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</si>
  <si>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</si>
  <si>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</si>
  <si>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</si>
  <si>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</si>
  <si>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</si>
  <si>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</si>
  <si>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</si>
  <si>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</si>
  <si>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</si>
  <si>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</si>
  <si>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</si>
  <si>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</si>
  <si>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</si>
  <si>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</si>
  <si>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</si>
  <si>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</si>
  <si>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</si>
  <si>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</si>
  <si>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</si>
  <si>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</si>
  <si>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</si>
  <si>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</si>
  <si>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</si>
  <si>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</si>
  <si>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</si>
  <si>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</si>
  <si>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</si>
  <si>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</si>
  <si>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</si>
  <si>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</si>
  <si>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</si>
  <si>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</si>
  <si>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</si>
  <si>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</si>
  <si>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</si>
  <si>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</si>
  <si>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</si>
  <si>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</si>
  <si>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</si>
  <si>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</si>
  <si>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</si>
  <si>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</si>
  <si>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</si>
  <si>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</si>
  <si>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</si>
  <si>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</si>
  <si>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</si>
  <si>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</si>
  <si>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</si>
  <si>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</si>
  <si>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</si>
  <si>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</si>
  <si>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</si>
  <si>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</si>
  <si>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</si>
  <si>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</si>
  <si>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</si>
  <si>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</si>
  <si>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</si>
  <si>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</si>
  <si>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</si>
  <si>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</si>
  <si>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</si>
  <si>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</si>
  <si>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</si>
  <si>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</si>
  <si>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</si>
  <si>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</si>
  <si>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</si>
  <si>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</si>
  <si>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</si>
  <si>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</si>
  <si>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</si>
  <si>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</si>
  <si>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</si>
  <si>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</si>
  <si>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</si>
  <si>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</si>
  <si>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</si>
  <si>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</si>
  <si>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</si>
  <si>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</si>
  <si>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</si>
  <si>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</si>
  <si>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</si>
  <si>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</si>
  <si>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</si>
  <si>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</si>
  <si>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</si>
  <si>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</si>
  <si>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</si>
  <si>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</si>
  <si>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</si>
  <si>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</si>
  <si>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</si>
  <si>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</si>
  <si>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</si>
  <si>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</si>
  <si>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</si>
  <si>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</si>
  <si>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</si>
  <si>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</si>
  <si>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</si>
  <si>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</si>
  <si>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</si>
  <si>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</si>
  <si>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</si>
  <si>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</si>
  <si>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</si>
  <si>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</si>
  <si>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</si>
  <si>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</si>
  <si>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</si>
  <si>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</si>
  <si>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</si>
  <si>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</si>
  <si>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</si>
  <si>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</si>
  <si>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</si>
  <si>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</si>
  <si>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</si>
  <si>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</si>
  <si>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</si>
  <si>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</si>
  <si>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</si>
  <si>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</si>
  <si>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</si>
  <si>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</si>
  <si>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</si>
  <si>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</si>
  <si>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</si>
  <si>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</si>
  <si>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</si>
  <si>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</si>
  <si>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</si>
  <si>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</si>
  <si>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</si>
  <si>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</si>
  <si>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</si>
  <si>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</si>
  <si>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</si>
  <si>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</si>
  <si>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</si>
  <si>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</si>
  <si>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</si>
  <si>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</si>
  <si>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</si>
  <si>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</si>
  <si>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</si>
  <si>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</si>
  <si>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</si>
  <si>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</si>
  <si>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</si>
  <si>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</si>
  <si>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</si>
  <si>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</si>
  <si>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</si>
  <si>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</si>
  <si>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</si>
  <si>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</si>
  <si>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</si>
  <si>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Total Profit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</si>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</sst>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</numFmts>
  <fonts count="34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197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469900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152400</xdr:colOff>
      <xdr:row>5</xdr:row>
      <xdr:rowOff>152400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7100" y="11684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Z90"/>
  <sheetViews>
    <sheetView workbookViewId="0">
      <selection activeCell="W25" sqref="W25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</cols>
  <sheetData>
    <row r="1" spans="1:2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</row>
    <row r="2" spans="1:2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</row>
    <row r="3" spans="1:2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</row>
    <row r="4" spans="1:2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</row>
    <row r="5" spans="1:2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</row>
    <row r="6" spans="1:2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</row>
    <row r="7" spans="1:2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</row>
    <row r="8" spans="1:2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</row>
    <row r="9" spans="1:2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</row>
    <row r="11" spans="1:2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</row>
    <row r="12" spans="1:2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</row>
    <row r="13" spans="1:2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</row>
    <row r="14" spans="1:2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</row>
    <row r="15" spans="1:2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</row>
    <row r="16" spans="1:2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</row>
    <row r="17" spans="1:26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</row>
    <row r="18" spans="1:26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</row>
    <row r="19" spans="1:26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</row>
    <row r="20" spans="1:26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</row>
    <row r="21" spans="1:26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</row>
    <row r="23" spans="1:26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</row>
    <row r="24" spans="1:26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</row>
    <row r="25" spans="1:26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</row>
    <row r="26" spans="1:26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</row>
    <row r="27" spans="1:26">
      <c r="P27" s="7"/>
      <c r="W27" s="12"/>
    </row>
    <row r="28" spans="1:26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6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</row>
    <row r="30" spans="1:26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</row>
    <row r="31" spans="1:26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</row>
    <row r="32" spans="1:26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</row>
    <row r="33" spans="1:19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9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9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</row>
    <row r="36" spans="1:19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</row>
    <row r="37" spans="1:19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19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9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19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3529</v>
      </c>
      <c r="Q40" t="s">
        <v>3530</v>
      </c>
    </row>
    <row r="41" spans="1:19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3538</v>
      </c>
      <c r="N41">
        <v>300000</v>
      </c>
      <c r="P41" t="s">
        <v>3531</v>
      </c>
      <c r="Q41">
        <v>0</v>
      </c>
    </row>
    <row r="42" spans="1:19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3539</v>
      </c>
      <c r="N42" s="3">
        <f>(N40-2400000)*30/100</f>
        <v>256963.8</v>
      </c>
      <c r="P42" t="s">
        <v>3532</v>
      </c>
      <c r="Q42">
        <v>5</v>
      </c>
      <c r="R42">
        <f>Q42*400000/100</f>
        <v>20000</v>
      </c>
    </row>
    <row r="43" spans="1:19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3533</v>
      </c>
      <c r="Q43">
        <v>10</v>
      </c>
      <c r="R43">
        <f t="shared" ref="R43:R47" si="2">Q43*400000/100</f>
        <v>40000</v>
      </c>
    </row>
    <row r="44" spans="1:19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3541</v>
      </c>
      <c r="N44" s="3">
        <f>N40-N43</f>
        <v>2699582.2</v>
      </c>
      <c r="P44" t="s">
        <v>3534</v>
      </c>
      <c r="Q44">
        <v>15</v>
      </c>
      <c r="R44">
        <f t="shared" si="2"/>
        <v>60000</v>
      </c>
    </row>
    <row r="45" spans="1:19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3540</v>
      </c>
      <c r="N45" s="3">
        <f>N44/12</f>
        <v>224965.18333333335</v>
      </c>
      <c r="P45" t="s">
        <v>3535</v>
      </c>
      <c r="Q45">
        <v>20</v>
      </c>
      <c r="R45">
        <f t="shared" si="2"/>
        <v>80000</v>
      </c>
    </row>
    <row r="46" spans="1:19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3536</v>
      </c>
      <c r="Q46">
        <v>25</v>
      </c>
      <c r="R46">
        <f t="shared" si="2"/>
        <v>100000</v>
      </c>
      <c r="S46">
        <f>R46+R45+R44+R43+R42</f>
        <v>300000</v>
      </c>
    </row>
    <row r="47" spans="1:19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3537</v>
      </c>
      <c r="Q47">
        <v>30</v>
      </c>
    </row>
    <row r="48" spans="1:19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B61">
        <f t="shared" si="5"/>
        <v>12244759.396</v>
      </c>
      <c r="C61" s="12">
        <v>1000350</v>
      </c>
      <c r="D61" s="12">
        <v>0</v>
      </c>
      <c r="E61" s="12">
        <v>0</v>
      </c>
      <c r="F61" s="12">
        <v>3530497.6170000001</v>
      </c>
      <c r="G61" s="12">
        <v>5179527.017</v>
      </c>
      <c r="H61" s="12">
        <v>2534384.7620000001</v>
      </c>
      <c r="I61" s="3">
        <f t="shared" si="3"/>
        <v>-10.923957539013777</v>
      </c>
      <c r="J61">
        <f t="shared" si="4"/>
        <v>499104.69600000046</v>
      </c>
      <c r="M61" s="12"/>
    </row>
    <row r="62" spans="1:13">
      <c r="B62">
        <f t="shared" si="5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 t="e">
        <f t="shared" si="3"/>
        <v>#DIV/0!</v>
      </c>
      <c r="J62">
        <f t="shared" si="4"/>
        <v>0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3"/>
        <v>#DIV/0!</v>
      </c>
      <c r="J63">
        <f t="shared" si="4"/>
        <v>0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opLeftCell="AO1" workbookViewId="0">
      <selection activeCell="BG5" sqref="BG5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48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48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48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48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48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48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194000</v>
      </c>
    </row>
    <row r="3" spans="2:61">
      <c r="B3" s="148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48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48"/>
      <c r="X3" s="17">
        <f t="shared" ref="X3:X4" si="2">W3*100/X$1</f>
        <v>0</v>
      </c>
      <c r="AA3" t="s">
        <v>22</v>
      </c>
      <c r="AB3">
        <v>70000</v>
      </c>
      <c r="AG3" s="148"/>
      <c r="AH3">
        <v>32543</v>
      </c>
      <c r="AI3" s="17">
        <f>AH3*100/AI$1</f>
        <v>0.15496666666666667</v>
      </c>
      <c r="AL3" t="s">
        <v>22</v>
      </c>
      <c r="AM3">
        <v>145000</v>
      </c>
      <c r="AQ3" s="148"/>
      <c r="AS3" s="17">
        <f>AR3*100/AS$1</f>
        <v>0</v>
      </c>
      <c r="AV3" t="s">
        <v>22</v>
      </c>
      <c r="AW3">
        <v>83000</v>
      </c>
      <c r="BA3" s="148"/>
      <c r="BB3">
        <v>10260</v>
      </c>
      <c r="BC3" s="17">
        <f>BB3*100/BC$1</f>
        <v>4.8857142857142856E-2</v>
      </c>
      <c r="BF3" t="s">
        <v>22</v>
      </c>
      <c r="BG3">
        <v>83000</v>
      </c>
    </row>
    <row r="4" spans="2:61">
      <c r="B4" s="148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48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48"/>
      <c r="X4" s="17">
        <f t="shared" si="2"/>
        <v>0</v>
      </c>
      <c r="AA4" t="s">
        <v>26</v>
      </c>
      <c r="AB4">
        <f>W29</f>
        <v>117564</v>
      </c>
      <c r="AG4" s="148"/>
      <c r="AI4" s="17">
        <f t="shared" ref="AI4:AI26" si="3">AH4*100/AI$1</f>
        <v>0</v>
      </c>
      <c r="AL4" t="s">
        <v>26</v>
      </c>
      <c r="AM4">
        <f>AH29</f>
        <v>182871</v>
      </c>
      <c r="AQ4" s="148"/>
      <c r="AS4" s="17">
        <f t="shared" ref="AS4" si="4">AR4*100/AS$1</f>
        <v>0</v>
      </c>
      <c r="AV4" t="s">
        <v>26</v>
      </c>
      <c r="AW4">
        <f>AR29</f>
        <v>108694</v>
      </c>
      <c r="BA4" s="148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48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48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48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48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48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48"/>
      <c r="BC5" s="17">
        <f>BB5*100/BC$1</f>
        <v>0</v>
      </c>
      <c r="BF5" t="s">
        <v>178</v>
      </c>
      <c r="BG5">
        <f>5250+14380</f>
        <v>19630</v>
      </c>
    </row>
    <row r="6" spans="2:61">
      <c r="B6" s="148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48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48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48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48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48"/>
      <c r="BC6" s="17">
        <f t="shared" ref="BC6:BC26" si="9">BB6*100/BC$1</f>
        <v>0</v>
      </c>
      <c r="BF6" t="s">
        <v>23</v>
      </c>
      <c r="BG6">
        <v>61000</v>
      </c>
      <c r="BH6" t="s">
        <v>128</v>
      </c>
      <c r="BI6">
        <f>BG4+BG5+BG6</f>
        <v>166794</v>
      </c>
    </row>
    <row r="7" spans="2:61">
      <c r="B7" s="148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48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48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48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48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48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443794</v>
      </c>
    </row>
    <row r="8" spans="2:61">
      <c r="B8" s="148"/>
      <c r="C8">
        <v>1135</v>
      </c>
      <c r="D8" s="17">
        <f t="shared" si="0"/>
        <v>5.1126126126126124E-3</v>
      </c>
      <c r="H8" s="3"/>
      <c r="L8" s="148"/>
      <c r="N8" s="17">
        <f t="shared" si="6"/>
        <v>0</v>
      </c>
      <c r="R8" s="3"/>
      <c r="V8" s="148"/>
      <c r="W8">
        <v>2000</v>
      </c>
      <c r="X8" s="17">
        <f t="shared" si="7"/>
        <v>9.0090090090090089E-3</v>
      </c>
      <c r="AB8" s="3"/>
      <c r="AG8" s="148"/>
      <c r="AI8" s="17">
        <f t="shared" si="3"/>
        <v>0</v>
      </c>
      <c r="AM8" s="3"/>
      <c r="AQ8" s="148"/>
      <c r="AS8" s="17">
        <f t="shared" si="8"/>
        <v>0</v>
      </c>
      <c r="AW8" s="3"/>
      <c r="BA8" s="148"/>
      <c r="BB8">
        <v>10234</v>
      </c>
      <c r="BC8" s="17">
        <f t="shared" si="9"/>
        <v>4.873333333333333E-2</v>
      </c>
      <c r="BG8" s="3"/>
    </row>
    <row r="9" spans="2:61">
      <c r="B9" s="148"/>
      <c r="C9">
        <v>27760</v>
      </c>
      <c r="D9" s="17">
        <f t="shared" si="0"/>
        <v>0.12504504504504504</v>
      </c>
      <c r="H9" s="10"/>
      <c r="L9" s="148"/>
      <c r="M9">
        <v>25562</v>
      </c>
      <c r="N9" s="17">
        <f t="shared" si="6"/>
        <v>0.11514414414414414</v>
      </c>
      <c r="R9" s="10"/>
      <c r="V9" s="148"/>
      <c r="W9">
        <v>20000</v>
      </c>
      <c r="X9" s="17">
        <f t="shared" si="7"/>
        <v>9.0090090090090086E-2</v>
      </c>
      <c r="AB9" s="10"/>
      <c r="AG9" s="148"/>
      <c r="AH9">
        <v>28330</v>
      </c>
      <c r="AI9" s="17">
        <f t="shared" si="3"/>
        <v>0.13490476190476192</v>
      </c>
      <c r="AM9" s="10"/>
      <c r="AQ9" s="148"/>
      <c r="AS9" s="17">
        <f t="shared" si="8"/>
        <v>0</v>
      </c>
      <c r="AW9" s="10"/>
      <c r="BA9" s="148"/>
      <c r="BC9" s="17">
        <f t="shared" si="9"/>
        <v>0</v>
      </c>
      <c r="BG9" s="10"/>
    </row>
    <row r="10" spans="2:61">
      <c r="B10" s="148"/>
      <c r="D10" s="17">
        <f t="shared" si="0"/>
        <v>0</v>
      </c>
      <c r="L10" s="148"/>
      <c r="N10" s="17">
        <f t="shared" si="6"/>
        <v>0</v>
      </c>
      <c r="V10" s="148"/>
      <c r="W10">
        <v>7300</v>
      </c>
      <c r="X10" s="17">
        <f t="shared" si="7"/>
        <v>3.288288288288288E-2</v>
      </c>
      <c r="AG10" s="148"/>
      <c r="AH10">
        <v>6666</v>
      </c>
      <c r="AI10" s="17">
        <f t="shared" si="3"/>
        <v>3.1742857142857142E-2</v>
      </c>
      <c r="AQ10" s="148"/>
      <c r="AR10">
        <v>33356</v>
      </c>
      <c r="AS10" s="17">
        <f t="shared" si="8"/>
        <v>0.15883809523809525</v>
      </c>
      <c r="BA10" s="148"/>
      <c r="BB10">
        <v>10806</v>
      </c>
      <c r="BC10" s="17">
        <f t="shared" si="9"/>
        <v>5.1457142857142854E-2</v>
      </c>
    </row>
    <row r="11" spans="2:61">
      <c r="B11" s="148"/>
      <c r="C11">
        <v>-85944</v>
      </c>
      <c r="D11" s="17">
        <f t="shared" si="0"/>
        <v>-0.38713513513513514</v>
      </c>
      <c r="L11" s="148"/>
      <c r="N11" s="17">
        <f t="shared" si="6"/>
        <v>0</v>
      </c>
      <c r="V11" s="148"/>
      <c r="W11">
        <v>-1400</v>
      </c>
      <c r="X11" s="17">
        <f t="shared" si="7"/>
        <v>-6.3063063063063061E-3</v>
      </c>
      <c r="AG11" s="148"/>
      <c r="AH11">
        <v>7917</v>
      </c>
      <c r="AI11" s="17">
        <f t="shared" si="3"/>
        <v>3.7699999999999997E-2</v>
      </c>
      <c r="AQ11" s="148"/>
      <c r="AR11">
        <v>1985</v>
      </c>
      <c r="AS11" s="17">
        <f t="shared" si="8"/>
        <v>9.4523809523809517E-3</v>
      </c>
      <c r="BA11" s="148"/>
      <c r="BC11" s="17">
        <f t="shared" si="9"/>
        <v>0</v>
      </c>
    </row>
    <row r="12" spans="2:61">
      <c r="B12" s="148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48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48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48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48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48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48"/>
      <c r="C13">
        <v>18486</v>
      </c>
      <c r="D13" s="17">
        <f t="shared" si="0"/>
        <v>8.3270270270270272E-2</v>
      </c>
      <c r="L13" s="148"/>
      <c r="M13">
        <v>16088</v>
      </c>
      <c r="N13" s="17">
        <f t="shared" si="6"/>
        <v>7.2468468468468467E-2</v>
      </c>
      <c r="V13" s="148"/>
      <c r="W13">
        <v>1000</v>
      </c>
      <c r="X13" s="17">
        <f t="shared" si="7"/>
        <v>4.5045045045045045E-3</v>
      </c>
      <c r="AG13" s="148"/>
      <c r="AH13">
        <v>5576</v>
      </c>
      <c r="AI13" s="17">
        <f t="shared" si="3"/>
        <v>2.6552380952380952E-2</v>
      </c>
      <c r="AQ13" s="148"/>
      <c r="AS13" s="17">
        <f t="shared" si="8"/>
        <v>0</v>
      </c>
      <c r="BA13" s="148"/>
      <c r="BB13">
        <v>12700</v>
      </c>
      <c r="BC13" s="17">
        <f t="shared" si="9"/>
        <v>6.0476190476190475E-2</v>
      </c>
    </row>
    <row r="14" spans="2:61">
      <c r="B14" s="148"/>
      <c r="D14" s="17">
        <f t="shared" si="0"/>
        <v>0</v>
      </c>
      <c r="L14" s="148"/>
      <c r="M14">
        <v>4952</v>
      </c>
      <c r="N14" s="17">
        <f t="shared" si="6"/>
        <v>2.2306306306306305E-2</v>
      </c>
      <c r="V14" s="148"/>
      <c r="W14">
        <v>17124</v>
      </c>
      <c r="X14" s="17">
        <f t="shared" si="7"/>
        <v>7.7135135135135133E-2</v>
      </c>
      <c r="AG14" s="148"/>
      <c r="AH14">
        <v>3261</v>
      </c>
      <c r="AI14" s="17">
        <f t="shared" si="3"/>
        <v>1.5528571428571428E-2</v>
      </c>
      <c r="AQ14" s="148"/>
      <c r="AS14" s="17">
        <f t="shared" si="8"/>
        <v>0</v>
      </c>
      <c r="BA14" s="148"/>
      <c r="BC14" s="17">
        <f t="shared" si="9"/>
        <v>0</v>
      </c>
    </row>
    <row r="15" spans="2:61">
      <c r="B15" s="148"/>
      <c r="C15">
        <v>-7607</v>
      </c>
      <c r="D15" s="17">
        <f t="shared" si="0"/>
        <v>-3.4265765765765767E-2</v>
      </c>
      <c r="L15" s="148"/>
      <c r="M15">
        <v>6295</v>
      </c>
      <c r="N15" s="17">
        <f t="shared" si="6"/>
        <v>2.8355855855855854E-2</v>
      </c>
      <c r="V15" s="148"/>
      <c r="X15" s="17">
        <f t="shared" si="7"/>
        <v>0</v>
      </c>
      <c r="AG15" s="148"/>
      <c r="AH15">
        <v>2782</v>
      </c>
      <c r="AI15" s="17">
        <f t="shared" si="3"/>
        <v>1.3247619047619048E-2</v>
      </c>
      <c r="AQ15" s="148"/>
      <c r="AR15">
        <v>16363</v>
      </c>
      <c r="AS15" s="17">
        <f t="shared" si="8"/>
        <v>7.7919047619047624E-2</v>
      </c>
      <c r="BA15" s="148"/>
      <c r="BB15">
        <v>9388</v>
      </c>
      <c r="BC15" s="17">
        <f t="shared" si="9"/>
        <v>4.4704761904761907E-2</v>
      </c>
    </row>
    <row r="16" spans="2:61">
      <c r="B16" s="148"/>
      <c r="C16">
        <v>-284</v>
      </c>
      <c r="D16" s="17">
        <f t="shared" si="0"/>
        <v>-1.2792792792792793E-3</v>
      </c>
      <c r="L16" s="148"/>
      <c r="N16" s="17">
        <f t="shared" si="6"/>
        <v>0</v>
      </c>
      <c r="V16" s="148"/>
      <c r="X16" s="17">
        <f t="shared" si="7"/>
        <v>0</v>
      </c>
      <c r="AG16" s="148"/>
      <c r="AH16">
        <v>7502</v>
      </c>
      <c r="AI16" s="17">
        <f t="shared" si="3"/>
        <v>3.5723809523809526E-2</v>
      </c>
      <c r="AQ16" s="148"/>
      <c r="AR16">
        <v>15701</v>
      </c>
      <c r="AS16" s="17">
        <f t="shared" si="8"/>
        <v>7.4766666666666662E-2</v>
      </c>
      <c r="BA16" s="148"/>
      <c r="BC16" s="17">
        <f t="shared" si="9"/>
        <v>0</v>
      </c>
    </row>
    <row r="17" spans="2:58">
      <c r="B17" s="148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48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48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48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48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48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48"/>
      <c r="C18">
        <v>6364</v>
      </c>
      <c r="D18" s="17">
        <f t="shared" si="0"/>
        <v>2.8666666666666667E-2</v>
      </c>
      <c r="L18" s="148"/>
      <c r="N18" s="17">
        <f t="shared" si="6"/>
        <v>0</v>
      </c>
      <c r="V18" s="148"/>
      <c r="W18">
        <v>9271</v>
      </c>
      <c r="X18" s="17">
        <f t="shared" si="7"/>
        <v>4.1761261261261264E-2</v>
      </c>
      <c r="AG18" s="148"/>
      <c r="AI18" s="17">
        <f t="shared" si="3"/>
        <v>0</v>
      </c>
      <c r="AQ18" s="148"/>
      <c r="AR18">
        <v>-23032</v>
      </c>
      <c r="AS18" s="17">
        <f t="shared" si="8"/>
        <v>-0.10967619047619048</v>
      </c>
      <c r="BA18" s="148"/>
      <c r="BB18">
        <v>8900</v>
      </c>
      <c r="BC18" s="17">
        <f t="shared" si="9"/>
        <v>4.238095238095238E-2</v>
      </c>
    </row>
    <row r="19" spans="2:58">
      <c r="B19" s="148"/>
      <c r="C19">
        <v>13823</v>
      </c>
      <c r="D19" s="17">
        <f t="shared" si="0"/>
        <v>6.2265765765765764E-2</v>
      </c>
      <c r="L19" s="148"/>
      <c r="M19">
        <v>35029</v>
      </c>
      <c r="N19" s="17">
        <f t="shared" si="6"/>
        <v>0.15778828828828828</v>
      </c>
      <c r="V19" s="148"/>
      <c r="W19">
        <f>11013-5559</f>
        <v>5454</v>
      </c>
      <c r="X19" s="17">
        <f t="shared" si="7"/>
        <v>2.4567567567567568E-2</v>
      </c>
      <c r="AG19" s="148"/>
      <c r="AH19">
        <v>13273</v>
      </c>
      <c r="AI19" s="17">
        <f t="shared" si="3"/>
        <v>6.3204761904761902E-2</v>
      </c>
      <c r="AQ19" s="148"/>
      <c r="AR19">
        <v>26616</v>
      </c>
      <c r="AS19" s="17">
        <f t="shared" si="8"/>
        <v>0.12674285714285713</v>
      </c>
      <c r="BA19" s="148"/>
      <c r="BC19" s="17">
        <f t="shared" si="9"/>
        <v>0</v>
      </c>
    </row>
    <row r="20" spans="2:58">
      <c r="B20" s="148"/>
      <c r="D20" s="17">
        <f t="shared" si="0"/>
        <v>0</v>
      </c>
      <c r="L20" s="148"/>
      <c r="M20">
        <v>43096</v>
      </c>
      <c r="N20" s="17">
        <f t="shared" si="6"/>
        <v>0.19412612612612612</v>
      </c>
      <c r="V20" s="148"/>
      <c r="W20">
        <v>6955</v>
      </c>
      <c r="X20" s="17">
        <f t="shared" si="7"/>
        <v>3.1328828828828828E-2</v>
      </c>
      <c r="AG20" s="148"/>
      <c r="AH20">
        <v>6000</v>
      </c>
      <c r="AI20" s="17">
        <f t="shared" si="3"/>
        <v>2.8571428571428571E-2</v>
      </c>
      <c r="AQ20" s="148"/>
      <c r="AR20">
        <v>13771</v>
      </c>
      <c r="AS20" s="17">
        <f t="shared" si="8"/>
        <v>6.5576190476190482E-2</v>
      </c>
      <c r="BA20" s="148"/>
      <c r="BB20">
        <v>14642</v>
      </c>
      <c r="BC20" s="17">
        <f t="shared" si="9"/>
        <v>6.9723809523809521E-2</v>
      </c>
    </row>
    <row r="21" spans="2:58">
      <c r="B21" s="148"/>
      <c r="D21" s="17">
        <f t="shared" si="0"/>
        <v>0</v>
      </c>
      <c r="L21" s="148"/>
      <c r="M21">
        <v>6928</v>
      </c>
      <c r="N21" s="17">
        <f t="shared" si="6"/>
        <v>3.1207207207207207E-2</v>
      </c>
      <c r="V21" s="148"/>
      <c r="X21" s="17">
        <f t="shared" si="7"/>
        <v>0</v>
      </c>
      <c r="AG21" s="148"/>
      <c r="AH21">
        <f>3226-5862+5576</f>
        <v>2940</v>
      </c>
      <c r="AI21" s="17">
        <f t="shared" si="3"/>
        <v>1.4E-2</v>
      </c>
      <c r="AQ21" s="148"/>
      <c r="AR21">
        <v>8753</v>
      </c>
      <c r="AS21" s="17">
        <f t="shared" si="8"/>
        <v>4.1680952380952381E-2</v>
      </c>
      <c r="BA21" s="148"/>
      <c r="BC21" s="17">
        <f t="shared" si="9"/>
        <v>0</v>
      </c>
    </row>
    <row r="22" spans="2:58">
      <c r="B22" s="148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48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48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48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48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48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48"/>
      <c r="C23">
        <v>16934</v>
      </c>
      <c r="D23" s="17">
        <f t="shared" si="0"/>
        <v>7.6279279279279286E-2</v>
      </c>
      <c r="L23" s="148"/>
      <c r="M23">
        <v>-8980</v>
      </c>
      <c r="N23" s="17">
        <f t="shared" si="6"/>
        <v>-4.0450450450450454E-2</v>
      </c>
      <c r="V23" s="148"/>
      <c r="W23">
        <v>1022</v>
      </c>
      <c r="X23" s="17">
        <f t="shared" si="7"/>
        <v>4.6036036036036032E-3</v>
      </c>
      <c r="AG23" s="148"/>
      <c r="AH23">
        <v>5696</v>
      </c>
      <c r="AI23" s="17">
        <f t="shared" si="3"/>
        <v>2.7123809523809522E-2</v>
      </c>
      <c r="AQ23" s="148"/>
      <c r="AR23">
        <v>525</v>
      </c>
      <c r="AS23" s="17">
        <f t="shared" si="8"/>
        <v>2.5000000000000001E-3</v>
      </c>
      <c r="BA23" s="148"/>
      <c r="BC23" s="17">
        <f t="shared" si="9"/>
        <v>0</v>
      </c>
    </row>
    <row r="24" spans="2:58">
      <c r="B24" s="148"/>
      <c r="D24" s="17">
        <f t="shared" si="0"/>
        <v>0</v>
      </c>
      <c r="L24" s="148"/>
      <c r="N24" s="17">
        <f t="shared" si="6"/>
        <v>0</v>
      </c>
      <c r="V24" s="148"/>
      <c r="W24">
        <v>22704</v>
      </c>
      <c r="X24" s="17">
        <f t="shared" si="7"/>
        <v>0.10227027027027027</v>
      </c>
      <c r="AG24" s="148"/>
      <c r="AH24">
        <v>25309</v>
      </c>
      <c r="AI24" s="17">
        <f t="shared" si="3"/>
        <v>0.12051904761904762</v>
      </c>
      <c r="AQ24" s="148"/>
      <c r="AS24" s="17">
        <f t="shared" si="8"/>
        <v>0</v>
      </c>
      <c r="BA24" s="148"/>
      <c r="BC24" s="17">
        <f t="shared" si="9"/>
        <v>0</v>
      </c>
    </row>
    <row r="25" spans="2:58">
      <c r="B25" s="148"/>
      <c r="D25" s="17">
        <f t="shared" si="0"/>
        <v>0</v>
      </c>
      <c r="L25" s="148"/>
      <c r="N25" s="17">
        <f t="shared" si="6"/>
        <v>0</v>
      </c>
      <c r="V25" s="148"/>
      <c r="X25" s="17">
        <f t="shared" si="7"/>
        <v>0</v>
      </c>
      <c r="AG25" s="148"/>
      <c r="AH25">
        <v>7812</v>
      </c>
      <c r="AI25" s="17">
        <f t="shared" si="3"/>
        <v>3.7199999999999997E-2</v>
      </c>
      <c r="AQ25" s="148"/>
      <c r="AS25" s="17">
        <f t="shared" si="8"/>
        <v>0</v>
      </c>
      <c r="BA25" s="148"/>
      <c r="BC25" s="17">
        <f t="shared" si="9"/>
        <v>0</v>
      </c>
    </row>
    <row r="26" spans="2:58">
      <c r="B26" s="148"/>
      <c r="D26" s="17">
        <f t="shared" si="0"/>
        <v>0</v>
      </c>
      <c r="L26" s="148"/>
      <c r="N26" s="17">
        <f t="shared" si="6"/>
        <v>0</v>
      </c>
      <c r="V26" s="148"/>
      <c r="W26">
        <v>10300</v>
      </c>
      <c r="X26" s="17">
        <f t="shared" si="7"/>
        <v>4.6396396396396394E-2</v>
      </c>
      <c r="AG26" s="148"/>
      <c r="AI26" s="17">
        <f t="shared" si="3"/>
        <v>0</v>
      </c>
      <c r="AQ26" s="148"/>
      <c r="AS26" s="17">
        <f t="shared" si="8"/>
        <v>0</v>
      </c>
      <c r="BA26" s="148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0.79425714285714288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48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48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48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48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48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48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48"/>
      <c r="D35" s="17">
        <f t="shared" ref="D35:D58" si="10">C35*100/D$33</f>
        <v>0</v>
      </c>
      <c r="G35" t="s">
        <v>22</v>
      </c>
      <c r="H35">
        <v>70000</v>
      </c>
      <c r="L35" s="148"/>
      <c r="N35" s="17">
        <f t="shared" ref="N35:N58" si="11">M35*100/N$33</f>
        <v>0</v>
      </c>
      <c r="Q35" t="s">
        <v>22</v>
      </c>
      <c r="R35">
        <v>130000</v>
      </c>
      <c r="V35" s="148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48"/>
      <c r="AI35" s="17">
        <f t="shared" ref="AI35:AI58" si="13">AH35*100/AI$33</f>
        <v>0</v>
      </c>
      <c r="AL35" t="s">
        <v>22</v>
      </c>
      <c r="AM35">
        <v>83000</v>
      </c>
      <c r="AQ35" s="148"/>
      <c r="AS35" s="17">
        <f t="shared" ref="AS35:AS58" si="14">AR35*100/AS$33</f>
        <v>0</v>
      </c>
      <c r="AV35" t="s">
        <v>22</v>
      </c>
      <c r="AW35">
        <v>160000</v>
      </c>
      <c r="BA35" s="148"/>
      <c r="BC35" s="17">
        <f t="shared" ref="BC35:BC58" si="15">BB35*100/BC$33</f>
        <v>0</v>
      </c>
      <c r="BF35" t="s">
        <v>22</v>
      </c>
      <c r="BG35">
        <v>83000</v>
      </c>
    </row>
    <row r="36" spans="2:61">
      <c r="B36" s="148"/>
      <c r="D36" s="17">
        <f t="shared" si="10"/>
        <v>0</v>
      </c>
      <c r="G36" t="s">
        <v>26</v>
      </c>
      <c r="H36">
        <f>C61</f>
        <v>205902</v>
      </c>
      <c r="L36" s="148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48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48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48"/>
      <c r="AS36" s="17">
        <f t="shared" si="14"/>
        <v>0</v>
      </c>
      <c r="AV36" t="s">
        <v>26</v>
      </c>
      <c r="AW36">
        <f>AR61</f>
        <v>128348</v>
      </c>
      <c r="BA36" s="148"/>
      <c r="BC36" s="17">
        <f t="shared" si="15"/>
        <v>0</v>
      </c>
      <c r="BF36" t="s">
        <v>26</v>
      </c>
      <c r="BG36">
        <f>BB61</f>
        <v>0</v>
      </c>
    </row>
    <row r="37" spans="2:61">
      <c r="B37" s="148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48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48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48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48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48"/>
      <c r="BC37" s="17">
        <f t="shared" si="15"/>
        <v>0</v>
      </c>
      <c r="BF37" t="s">
        <v>178</v>
      </c>
      <c r="BG37">
        <v>0</v>
      </c>
    </row>
    <row r="38" spans="2:61">
      <c r="B38" s="148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48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48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48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48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48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48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48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48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48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48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48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48"/>
      <c r="D40" s="17">
        <f t="shared" si="10"/>
        <v>0</v>
      </c>
      <c r="L40" s="148"/>
      <c r="N40" s="17">
        <f t="shared" si="11"/>
        <v>0</v>
      </c>
      <c r="V40" s="148"/>
      <c r="W40">
        <v>19421</v>
      </c>
      <c r="X40" s="17">
        <f t="shared" si="12"/>
        <v>8.7481981981981982E-2</v>
      </c>
      <c r="AG40" s="148"/>
      <c r="AI40" s="17">
        <f t="shared" si="13"/>
        <v>0</v>
      </c>
      <c r="AQ40" s="148"/>
      <c r="AR40">
        <v>15999</v>
      </c>
      <c r="AS40" s="17">
        <f t="shared" si="14"/>
        <v>7.6185714285714287E-2</v>
      </c>
      <c r="BA40" s="148"/>
      <c r="BC40" s="17">
        <f t="shared" si="15"/>
        <v>0</v>
      </c>
    </row>
    <row r="41" spans="2:61">
      <c r="B41" s="148"/>
      <c r="C41">
        <v>92350</v>
      </c>
      <c r="D41" s="17">
        <f t="shared" si="10"/>
        <v>0.41599099099099102</v>
      </c>
      <c r="H41" s="10"/>
      <c r="L41" s="148"/>
      <c r="M41">
        <v>32031</v>
      </c>
      <c r="N41" s="17">
        <f t="shared" si="11"/>
        <v>0.14428378378378379</v>
      </c>
      <c r="R41" s="10"/>
      <c r="V41" s="148"/>
      <c r="W41">
        <v>1918</v>
      </c>
      <c r="X41" s="17">
        <f t="shared" si="12"/>
        <v>8.6396396396396392E-3</v>
      </c>
      <c r="AB41" s="10"/>
      <c r="AG41" s="148"/>
      <c r="AH41">
        <v>15745</v>
      </c>
      <c r="AI41" s="17">
        <f t="shared" si="13"/>
        <v>7.4976190476190474E-2</v>
      </c>
      <c r="AM41" s="10"/>
      <c r="AQ41" s="148"/>
      <c r="AS41" s="17">
        <f>AR41*100/AS$33</f>
        <v>0</v>
      </c>
      <c r="AW41" s="10"/>
      <c r="BA41" s="148"/>
      <c r="BC41" s="17">
        <f t="shared" si="15"/>
        <v>0</v>
      </c>
      <c r="BG41" s="10"/>
    </row>
    <row r="42" spans="2:61">
      <c r="B42" s="148"/>
      <c r="C42">
        <v>4280</v>
      </c>
      <c r="D42" s="17">
        <f t="shared" si="10"/>
        <v>1.927927927927928E-2</v>
      </c>
      <c r="L42" s="148"/>
      <c r="N42" s="17">
        <f t="shared" si="11"/>
        <v>0</v>
      </c>
      <c r="V42" s="148"/>
      <c r="W42">
        <v>4777</v>
      </c>
      <c r="X42" s="17">
        <f t="shared" si="12"/>
        <v>2.1518018018018018E-2</v>
      </c>
      <c r="AG42" s="148"/>
      <c r="AH42">
        <v>12430</v>
      </c>
      <c r="AI42" s="17">
        <f t="shared" si="13"/>
        <v>5.9190476190476189E-2</v>
      </c>
      <c r="AQ42" s="148"/>
      <c r="AR42">
        <v>13288</v>
      </c>
      <c r="AS42" s="17">
        <f>AR42*100/AS$33</f>
        <v>6.3276190476190472E-2</v>
      </c>
      <c r="BA42" s="148"/>
      <c r="BC42" s="17">
        <f t="shared" si="15"/>
        <v>0</v>
      </c>
    </row>
    <row r="43" spans="2:61">
      <c r="B43" s="148"/>
      <c r="D43" s="17">
        <f t="shared" si="10"/>
        <v>0</v>
      </c>
      <c r="L43" s="148"/>
      <c r="N43" s="17">
        <f t="shared" si="11"/>
        <v>0</v>
      </c>
      <c r="V43" s="148"/>
      <c r="W43">
        <f>14431+1090</f>
        <v>15521</v>
      </c>
      <c r="X43" s="17">
        <f t="shared" si="12"/>
        <v>6.9914414414414414E-2</v>
      </c>
      <c r="AG43" s="148"/>
      <c r="AI43" s="17">
        <f t="shared" si="13"/>
        <v>0</v>
      </c>
      <c r="AQ43" s="148"/>
      <c r="AS43" s="17">
        <f t="shared" si="14"/>
        <v>0</v>
      </c>
      <c r="BA43" s="148"/>
      <c r="BC43" s="17">
        <f t="shared" si="15"/>
        <v>0</v>
      </c>
    </row>
    <row r="44" spans="2:61">
      <c r="B44" s="148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48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48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48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48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48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>
      <c r="B45" s="148"/>
      <c r="C45">
        <v>15387</v>
      </c>
      <c r="D45" s="17">
        <f t="shared" si="10"/>
        <v>6.9310810810810808E-2</v>
      </c>
      <c r="L45" s="148"/>
      <c r="M45">
        <v>28902</v>
      </c>
      <c r="N45" s="17">
        <f>M45*100/N$33</f>
        <v>0.1301891891891892</v>
      </c>
      <c r="V45" s="148"/>
      <c r="W45">
        <v>2194</v>
      </c>
      <c r="X45" s="17">
        <f t="shared" si="12"/>
        <v>9.8828828828828822E-3</v>
      </c>
      <c r="AG45" s="148"/>
      <c r="AH45">
        <v>1210</v>
      </c>
      <c r="AI45" s="17">
        <f t="shared" si="13"/>
        <v>5.7619047619047615E-3</v>
      </c>
      <c r="AQ45" s="148"/>
      <c r="AR45">
        <v>12747</v>
      </c>
      <c r="AS45" s="17">
        <f>AR45*100/AS$33</f>
        <v>6.0699999999999997E-2</v>
      </c>
      <c r="BA45" s="148"/>
      <c r="BC45" s="17">
        <f t="shared" si="15"/>
        <v>0</v>
      </c>
    </row>
    <row r="46" spans="2:61">
      <c r="B46" s="148"/>
      <c r="C46">
        <v>6591</v>
      </c>
      <c r="D46" s="17">
        <f t="shared" si="10"/>
        <v>2.968918918918919E-2</v>
      </c>
      <c r="L46" s="148"/>
      <c r="N46" s="17">
        <f>M46*100/N$33</f>
        <v>0</v>
      </c>
      <c r="V46" s="148"/>
      <c r="W46">
        <v>21380</v>
      </c>
      <c r="X46" s="17">
        <f t="shared" si="12"/>
        <v>9.6306306306306308E-2</v>
      </c>
      <c r="AG46" s="148"/>
      <c r="AI46" s="17">
        <f t="shared" si="13"/>
        <v>0</v>
      </c>
      <c r="AQ46" s="148"/>
      <c r="AS46" s="17">
        <f>AR46*100/AS$33</f>
        <v>0</v>
      </c>
      <c r="BA46" s="148"/>
      <c r="BC46" s="17">
        <f t="shared" si="15"/>
        <v>0</v>
      </c>
    </row>
    <row r="47" spans="2:61">
      <c r="B47" s="148"/>
      <c r="C47">
        <v>7649</v>
      </c>
      <c r="D47" s="17">
        <f t="shared" si="10"/>
        <v>3.4454954954954958E-2</v>
      </c>
      <c r="L47" s="148"/>
      <c r="M47">
        <v>7200</v>
      </c>
      <c r="N47" s="17">
        <f t="shared" si="11"/>
        <v>3.2432432432432434E-2</v>
      </c>
      <c r="V47" s="148"/>
      <c r="W47">
        <v>7152</v>
      </c>
      <c r="X47" s="17">
        <f t="shared" si="12"/>
        <v>3.2216216216216217E-2</v>
      </c>
      <c r="AG47" s="148"/>
      <c r="AH47">
        <v>20876</v>
      </c>
      <c r="AI47" s="17">
        <f t="shared" si="13"/>
        <v>9.9409523809523809E-2</v>
      </c>
      <c r="AQ47" s="148"/>
      <c r="AR47">
        <v>9117</v>
      </c>
      <c r="AS47" s="17">
        <f t="shared" si="14"/>
        <v>4.3414285714285718E-2</v>
      </c>
      <c r="BA47" s="148"/>
      <c r="BC47" s="17">
        <f t="shared" si="15"/>
        <v>0</v>
      </c>
    </row>
    <row r="48" spans="2:61">
      <c r="B48" s="148"/>
      <c r="D48" s="17">
        <f t="shared" si="10"/>
        <v>0</v>
      </c>
      <c r="L48" s="148"/>
      <c r="M48">
        <v>5823</v>
      </c>
      <c r="N48" s="17">
        <f t="shared" si="11"/>
        <v>2.6229729729729728E-2</v>
      </c>
      <c r="V48" s="148"/>
      <c r="W48">
        <v>-24109</v>
      </c>
      <c r="X48" s="17">
        <f t="shared" si="12"/>
        <v>-0.10859909909909909</v>
      </c>
      <c r="AG48" s="148"/>
      <c r="AH48">
        <v>7775</v>
      </c>
      <c r="AI48" s="17">
        <f t="shared" si="13"/>
        <v>3.7023809523809521E-2</v>
      </c>
      <c r="AQ48" s="148"/>
      <c r="AS48" s="17">
        <f t="shared" si="14"/>
        <v>0</v>
      </c>
      <c r="BA48" s="148"/>
      <c r="BC48" s="17">
        <f t="shared" si="15"/>
        <v>0</v>
      </c>
    </row>
    <row r="49" spans="2:58">
      <c r="B49" s="148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48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48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48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48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48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>
      <c r="B50" s="148"/>
      <c r="C50">
        <v>-9964</v>
      </c>
      <c r="D50" s="17">
        <f t="shared" si="10"/>
        <v>-4.4882882882882884E-2</v>
      </c>
      <c r="L50" s="148"/>
      <c r="M50">
        <v>11981</v>
      </c>
      <c r="N50" s="17">
        <f t="shared" si="11"/>
        <v>5.3968468468468471E-2</v>
      </c>
      <c r="V50" s="148"/>
      <c r="W50">
        <v>-2194</v>
      </c>
      <c r="X50" s="17">
        <f t="shared" si="12"/>
        <v>-9.8828828828828822E-3</v>
      </c>
      <c r="AG50" s="148"/>
      <c r="AI50" s="17">
        <f t="shared" si="13"/>
        <v>0</v>
      </c>
      <c r="AQ50" s="148"/>
      <c r="AR50">
        <v>-5844</v>
      </c>
      <c r="AS50" s="17">
        <f t="shared" si="14"/>
        <v>-2.7828571428571428E-2</v>
      </c>
      <c r="BA50" s="148"/>
      <c r="BC50" s="17">
        <f t="shared" si="15"/>
        <v>0</v>
      </c>
    </row>
    <row r="51" spans="2:58">
      <c r="B51" s="148"/>
      <c r="C51">
        <v>17253</v>
      </c>
      <c r="D51" s="17">
        <f t="shared" si="10"/>
        <v>7.7716216216216216E-2</v>
      </c>
      <c r="L51" s="148"/>
      <c r="M51">
        <v>27753</v>
      </c>
      <c r="N51" s="17">
        <f t="shared" si="11"/>
        <v>0.1250135135135135</v>
      </c>
      <c r="V51" s="148"/>
      <c r="W51">
        <f>44528-1973</f>
        <v>42555</v>
      </c>
      <c r="X51" s="17">
        <f t="shared" si="12"/>
        <v>0.1916891891891892</v>
      </c>
      <c r="AG51" s="148"/>
      <c r="AH51">
        <f>7146+6075</f>
        <v>13221</v>
      </c>
      <c r="AI51" s="17">
        <f t="shared" si="13"/>
        <v>6.295714285714285E-2</v>
      </c>
      <c r="AQ51" s="148"/>
      <c r="AR51">
        <v>17290</v>
      </c>
      <c r="AS51" s="17">
        <f t="shared" si="14"/>
        <v>8.2333333333333328E-2</v>
      </c>
      <c r="BA51" s="148"/>
      <c r="BC51" s="17">
        <f t="shared" si="15"/>
        <v>0</v>
      </c>
    </row>
    <row r="52" spans="2:58">
      <c r="B52" s="148"/>
      <c r="C52">
        <v>4187</v>
      </c>
      <c r="D52" s="17">
        <f t="shared" si="10"/>
        <v>1.8860360360360359E-2</v>
      </c>
      <c r="L52" s="148"/>
      <c r="M52">
        <v>15021</v>
      </c>
      <c r="N52" s="17">
        <f t="shared" si="11"/>
        <v>6.7662162162162157E-2</v>
      </c>
      <c r="V52" s="148"/>
      <c r="W52">
        <v>11270</v>
      </c>
      <c r="X52" s="17">
        <f t="shared" si="12"/>
        <v>5.0765765765765768E-2</v>
      </c>
      <c r="AG52" s="148"/>
      <c r="AH52">
        <f>5871-21771</f>
        <v>-15900</v>
      </c>
      <c r="AI52" s="17">
        <f t="shared" si="13"/>
        <v>-7.571428571428572E-2</v>
      </c>
      <c r="AQ52" s="148"/>
      <c r="AR52">
        <v>16351</v>
      </c>
      <c r="AS52" s="17">
        <f t="shared" si="14"/>
        <v>7.7861904761904757E-2</v>
      </c>
      <c r="BA52" s="148"/>
      <c r="BC52" s="17">
        <f t="shared" si="15"/>
        <v>0</v>
      </c>
    </row>
    <row r="53" spans="2:58">
      <c r="B53" s="148"/>
      <c r="D53" s="17">
        <f t="shared" si="10"/>
        <v>0</v>
      </c>
      <c r="L53" s="148"/>
      <c r="N53" s="17">
        <f t="shared" si="11"/>
        <v>0</v>
      </c>
      <c r="V53" s="148"/>
      <c r="W53">
        <v>13782</v>
      </c>
      <c r="X53" s="17">
        <f t="shared" si="12"/>
        <v>6.2081081081081083E-2</v>
      </c>
      <c r="AG53" s="148"/>
      <c r="AH53">
        <v>13064</v>
      </c>
      <c r="AI53" s="17">
        <f t="shared" si="13"/>
        <v>6.2209523809523812E-2</v>
      </c>
      <c r="AQ53" s="148"/>
      <c r="AR53">
        <v>15026</v>
      </c>
      <c r="AS53" s="17">
        <f t="shared" si="14"/>
        <v>7.1552380952380951E-2</v>
      </c>
      <c r="BA53" s="148"/>
      <c r="BC53" s="17">
        <f t="shared" si="15"/>
        <v>0</v>
      </c>
    </row>
    <row r="54" spans="2:58">
      <c r="B54" s="148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48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48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48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48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48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48"/>
      <c r="D55" s="17">
        <f t="shared" si="10"/>
        <v>0</v>
      </c>
      <c r="L55" s="148"/>
      <c r="N55" s="17">
        <f t="shared" si="11"/>
        <v>0</v>
      </c>
      <c r="V55" s="148"/>
      <c r="X55" s="17">
        <f t="shared" si="12"/>
        <v>0</v>
      </c>
      <c r="AG55" s="148"/>
      <c r="AI55" s="17">
        <f t="shared" si="13"/>
        <v>0</v>
      </c>
      <c r="AQ55" s="148"/>
      <c r="AR55">
        <v>8533</v>
      </c>
      <c r="AS55" s="17">
        <f t="shared" si="14"/>
        <v>4.0633333333333334E-2</v>
      </c>
      <c r="BA55" s="148"/>
      <c r="BC55" s="17">
        <f t="shared" si="15"/>
        <v>0</v>
      </c>
    </row>
    <row r="56" spans="2:58">
      <c r="B56" s="148"/>
      <c r="C56">
        <v>21350</v>
      </c>
      <c r="D56" s="17">
        <f t="shared" si="10"/>
        <v>9.6171171171171174E-2</v>
      </c>
      <c r="L56" s="148"/>
      <c r="M56">
        <v>20162</v>
      </c>
      <c r="N56" s="17">
        <f t="shared" si="11"/>
        <v>9.0819819819819819E-2</v>
      </c>
      <c r="V56" s="148"/>
      <c r="X56" s="17">
        <f t="shared" si="12"/>
        <v>0</v>
      </c>
      <c r="AG56" s="148"/>
      <c r="AI56" s="17">
        <f t="shared" si="13"/>
        <v>0</v>
      </c>
      <c r="AQ56" s="148"/>
      <c r="AR56">
        <v>6891</v>
      </c>
      <c r="AS56" s="17">
        <f t="shared" si="14"/>
        <v>3.2814285714285713E-2</v>
      </c>
      <c r="BA56" s="148"/>
      <c r="BC56" s="17">
        <f t="shared" si="15"/>
        <v>0</v>
      </c>
    </row>
    <row r="57" spans="2:58">
      <c r="B57" s="148"/>
      <c r="C57">
        <v>41626</v>
      </c>
      <c r="D57" s="17">
        <f t="shared" si="10"/>
        <v>0.18750450450450451</v>
      </c>
      <c r="H57" s="5"/>
      <c r="L57" s="148"/>
      <c r="N57" s="17">
        <f t="shared" si="11"/>
        <v>0</v>
      </c>
      <c r="V57" s="148"/>
      <c r="X57" s="17">
        <f t="shared" si="12"/>
        <v>0</v>
      </c>
      <c r="AG57" s="148"/>
      <c r="AI57" s="17">
        <f t="shared" si="13"/>
        <v>0</v>
      </c>
      <c r="AQ57" s="148"/>
      <c r="AR57">
        <v>18827</v>
      </c>
      <c r="AS57" s="17">
        <f t="shared" si="14"/>
        <v>8.9652380952380956E-2</v>
      </c>
      <c r="BA57" s="148"/>
      <c r="BC57" s="17">
        <f t="shared" si="15"/>
        <v>0</v>
      </c>
    </row>
    <row r="58" spans="2:58">
      <c r="B58" s="148"/>
      <c r="D58" s="17">
        <f t="shared" si="10"/>
        <v>0</v>
      </c>
      <c r="H58" s="11"/>
      <c r="L58" s="148"/>
      <c r="N58" s="17">
        <f t="shared" si="11"/>
        <v>0</v>
      </c>
      <c r="V58" s="148"/>
      <c r="X58" s="17">
        <f t="shared" si="12"/>
        <v>0</v>
      </c>
      <c r="AG58" s="148"/>
      <c r="AI58" s="17">
        <f t="shared" si="13"/>
        <v>0</v>
      </c>
      <c r="AQ58" s="148"/>
      <c r="AS58" s="17">
        <f t="shared" si="14"/>
        <v>0</v>
      </c>
      <c r="BA58" s="148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0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1290</v>
      </c>
      <c r="C1" t="s">
        <v>1290</v>
      </c>
      <c r="D1" t="s">
        <v>1291</v>
      </c>
      <c r="E1" s="135" t="s">
        <v>1291</v>
      </c>
      <c r="F1" t="s">
        <v>1292</v>
      </c>
      <c r="G1" t="s">
        <v>1292</v>
      </c>
      <c r="H1" t="s">
        <v>1293</v>
      </c>
      <c r="I1" t="s">
        <v>1293</v>
      </c>
      <c r="J1" t="s">
        <v>1294</v>
      </c>
      <c r="K1" t="s">
        <v>1294</v>
      </c>
      <c r="L1" t="s">
        <v>1295</v>
      </c>
      <c r="M1" s="134" t="s">
        <v>1295</v>
      </c>
      <c r="N1" t="s">
        <v>1296</v>
      </c>
      <c r="O1" t="s">
        <v>1296</v>
      </c>
      <c r="P1" t="s">
        <v>1297</v>
      </c>
      <c r="Q1" t="s">
        <v>1297</v>
      </c>
      <c r="R1" t="s">
        <v>1298</v>
      </c>
      <c r="S1" s="135" t="s">
        <v>1298</v>
      </c>
      <c r="T1" t="s">
        <v>1299</v>
      </c>
      <c r="U1" s="136" t="s">
        <v>1299</v>
      </c>
      <c r="V1" t="s">
        <v>1300</v>
      </c>
      <c r="W1" t="s">
        <v>1300</v>
      </c>
      <c r="X1" t="s">
        <v>1301</v>
      </c>
      <c r="Y1" t="s">
        <v>1301</v>
      </c>
      <c r="Z1" t="s">
        <v>1302</v>
      </c>
      <c r="AA1" s="136" t="s">
        <v>1302</v>
      </c>
      <c r="AB1" t="s">
        <v>1303</v>
      </c>
      <c r="AC1" t="s">
        <v>1303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A1108"/>
  <sheetViews>
    <sheetView topLeftCell="BB1" workbookViewId="0">
      <selection activeCell="BW25" sqref="BW25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79">
      <c r="A1" t="s">
        <v>1316</v>
      </c>
      <c r="B1" t="s">
        <v>1307</v>
      </c>
      <c r="C1" t="s">
        <v>1308</v>
      </c>
      <c r="D1" s="40" t="s">
        <v>1309</v>
      </c>
      <c r="E1" t="s">
        <v>1306</v>
      </c>
      <c r="F1" s="135" t="s">
        <v>1304</v>
      </c>
      <c r="G1" s="135" t="s">
        <v>1305</v>
      </c>
      <c r="H1" t="s">
        <v>1310</v>
      </c>
      <c r="I1" t="s">
        <v>1311</v>
      </c>
      <c r="J1" t="s">
        <v>1312</v>
      </c>
      <c r="K1" t="s">
        <v>1313</v>
      </c>
      <c r="L1" s="40" t="s">
        <v>1314</v>
      </c>
      <c r="M1" t="s">
        <v>1315</v>
      </c>
      <c r="N1" t="s">
        <v>14</v>
      </c>
      <c r="O1" t="s">
        <v>1319</v>
      </c>
      <c r="P1" t="s">
        <v>1319</v>
      </c>
      <c r="Q1" t="s">
        <v>1291</v>
      </c>
      <c r="R1" t="s">
        <v>1291</v>
      </c>
      <c r="S1" s="138" t="s">
        <v>1317</v>
      </c>
      <c r="T1" t="s">
        <v>14</v>
      </c>
      <c r="U1" t="s">
        <v>1313</v>
      </c>
      <c r="V1" s="135" t="s">
        <v>1314</v>
      </c>
      <c r="W1" t="s">
        <v>1315</v>
      </c>
      <c r="X1" t="s">
        <v>1307</v>
      </c>
      <c r="Y1" s="135" t="s">
        <v>1308</v>
      </c>
      <c r="Z1" t="s">
        <v>1309</v>
      </c>
      <c r="AA1" t="s">
        <v>1306</v>
      </c>
      <c r="AB1" s="40" t="s">
        <v>1304</v>
      </c>
      <c r="AC1" t="s">
        <v>1305</v>
      </c>
      <c r="AD1" t="s">
        <v>1310</v>
      </c>
      <c r="AE1" t="s">
        <v>1311</v>
      </c>
      <c r="AF1" s="40" t="s">
        <v>1312</v>
      </c>
      <c r="AG1" t="s">
        <v>14</v>
      </c>
      <c r="AH1" t="s">
        <v>1319</v>
      </c>
      <c r="AI1" t="s">
        <v>1319</v>
      </c>
      <c r="AJ1" t="s">
        <v>1291</v>
      </c>
      <c r="AK1" t="s">
        <v>1291</v>
      </c>
      <c r="AM1" s="194" t="s">
        <v>3508</v>
      </c>
      <c r="AN1" t="s">
        <v>3509</v>
      </c>
      <c r="AO1" t="s">
        <v>3502</v>
      </c>
      <c r="AP1" t="s">
        <v>3503</v>
      </c>
      <c r="AQ1" t="s">
        <v>3504</v>
      </c>
      <c r="AS1" t="s">
        <v>3510</v>
      </c>
      <c r="AT1" t="s">
        <v>3505</v>
      </c>
      <c r="AU1" t="s">
        <v>3506</v>
      </c>
      <c r="AV1" t="s">
        <v>3507</v>
      </c>
      <c r="AX1" t="s">
        <v>3509</v>
      </c>
      <c r="AY1" t="s">
        <v>3518</v>
      </c>
      <c r="AZ1" t="s">
        <v>3519</v>
      </c>
      <c r="BA1" t="s">
        <v>3520</v>
      </c>
      <c r="BC1" t="s">
        <v>3510</v>
      </c>
      <c r="BD1" t="s">
        <v>3521</v>
      </c>
      <c r="BE1" t="s">
        <v>3522</v>
      </c>
      <c r="BF1" t="s">
        <v>3523</v>
      </c>
      <c r="BH1" t="s">
        <v>3513</v>
      </c>
      <c r="BI1" t="s">
        <v>3519</v>
      </c>
      <c r="BK1" t="s">
        <v>3514</v>
      </c>
      <c r="BL1" t="s">
        <v>3522</v>
      </c>
      <c r="BN1" t="s">
        <v>3509</v>
      </c>
      <c r="BO1" t="s">
        <v>3503</v>
      </c>
      <c r="BP1" t="s">
        <v>3510</v>
      </c>
      <c r="BQ1" t="s">
        <v>3506</v>
      </c>
      <c r="BS1" t="s">
        <v>3509</v>
      </c>
      <c r="BT1" t="s">
        <v>3525</v>
      </c>
      <c r="BU1" t="s">
        <v>3527</v>
      </c>
      <c r="BV1" t="s">
        <v>3517</v>
      </c>
      <c r="BX1" t="s">
        <v>3510</v>
      </c>
      <c r="BY1" t="s">
        <v>3526</v>
      </c>
      <c r="BZ1" t="s">
        <v>3528</v>
      </c>
      <c r="CA1" t="s">
        <v>3524</v>
      </c>
    </row>
    <row r="2" spans="1:79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1320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1318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1321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95" t="s">
        <v>3511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95" t="s">
        <v>3512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</row>
    <row r="3" spans="1:79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1322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96" t="s">
        <v>3490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1323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</row>
    <row r="4" spans="1:79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1324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96" t="s">
        <v>3515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1325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</row>
    <row r="5" spans="1:79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1326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1327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</row>
    <row r="6" spans="1:79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1328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1329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</row>
    <row r="7" spans="1:79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1330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1331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</row>
    <row r="8" spans="1:79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1332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1333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</row>
    <row r="9" spans="1:79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1334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1335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</row>
    <row r="10" spans="1:79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1336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1337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</row>
    <row r="11" spans="1:79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1338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1339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</row>
    <row r="12" spans="1:79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1340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1341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</row>
    <row r="13" spans="1:79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1342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1343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</row>
    <row r="14" spans="1:79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1344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1345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</row>
    <row r="15" spans="1:79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1346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1347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</row>
    <row r="16" spans="1:79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1348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1349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</row>
    <row r="17" spans="1:79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1350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1351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</row>
    <row r="18" spans="1:79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1352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1353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</row>
    <row r="19" spans="1:79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1354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1355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</row>
    <row r="20" spans="1:79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1356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1357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</row>
    <row r="21" spans="1:79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1358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1359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</row>
    <row r="22" spans="1:79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1360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1361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</row>
    <row r="23" spans="1:79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1362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1363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</row>
    <row r="24" spans="1:79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1364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1365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</row>
    <row r="25" spans="1:79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1366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1367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</row>
    <row r="26" spans="1:79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1368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1369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</row>
    <row r="27" spans="1:79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1370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1371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</row>
    <row r="28" spans="1:79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1372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1373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</row>
    <row r="29" spans="1:79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1374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1375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</row>
    <row r="30" spans="1:79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1376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1377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</row>
    <row r="31" spans="1:79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1378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1379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</row>
    <row r="32" spans="1:79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1380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1381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</row>
    <row r="33" spans="1:79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1382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1383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</row>
    <row r="34" spans="1:79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1384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1385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</row>
    <row r="35" spans="1:79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1386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1387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</row>
    <row r="36" spans="1:79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1388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1389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</row>
    <row r="37" spans="1:79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1390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1391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</row>
    <row r="38" spans="1:79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1392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1393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</row>
    <row r="39" spans="1:79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1394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1395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</row>
    <row r="40" spans="1:79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1396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1397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</row>
    <row r="41" spans="1:79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1398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1399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</row>
    <row r="42" spans="1:79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1400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1401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</row>
    <row r="43" spans="1:79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1402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1403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</row>
    <row r="44" spans="1:79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1404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1405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</row>
    <row r="45" spans="1:79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1406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1407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</row>
    <row r="46" spans="1:79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1408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1409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</row>
    <row r="47" spans="1:79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1410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1411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</row>
    <row r="48" spans="1:79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1412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1413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</row>
    <row r="49" spans="1:79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1414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1415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</row>
    <row r="50" spans="1:79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1416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1417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</row>
    <row r="51" spans="1:79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1418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1419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</row>
    <row r="52" spans="1:79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1420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1421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</row>
    <row r="53" spans="1:79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1422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1423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</row>
    <row r="54" spans="1:79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1424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1425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</row>
    <row r="55" spans="1:79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1426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1427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</row>
    <row r="56" spans="1:79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1428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1429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</row>
    <row r="57" spans="1:79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1430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1431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</row>
    <row r="58" spans="1:79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1432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1433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</row>
    <row r="59" spans="1:79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1434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1435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</row>
    <row r="60" spans="1:79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1436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1437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</row>
    <row r="61" spans="1:79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1438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1439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</row>
    <row r="62" spans="1:79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1440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1441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</row>
    <row r="63" spans="1:79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1442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1443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</row>
    <row r="64" spans="1:79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1444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1445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</row>
    <row r="65" spans="1:79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1446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1447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</row>
    <row r="66" spans="1:79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1448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1449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</row>
    <row r="67" spans="1:79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1450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1451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</row>
    <row r="68" spans="1:79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1452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1453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</row>
    <row r="69" spans="1:79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1454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1455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</row>
    <row r="70" spans="1:79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1456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1457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</row>
    <row r="71" spans="1:79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1458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1459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</row>
    <row r="72" spans="1:79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1460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1461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</row>
    <row r="73" spans="1:79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1462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1463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</row>
    <row r="74" spans="1:79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1464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1465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</row>
    <row r="75" spans="1:79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1466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1467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</row>
    <row r="76" spans="1:79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1468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1469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</row>
    <row r="77" spans="1:79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1470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1471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</row>
    <row r="78" spans="1:79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1472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1473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</row>
    <row r="79" spans="1:79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1474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1475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</row>
    <row r="80" spans="1:79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1476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1477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</row>
    <row r="81" spans="1:79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1478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1479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</row>
    <row r="82" spans="1:79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1480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1481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</row>
    <row r="83" spans="1:79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1482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1483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</row>
    <row r="84" spans="1:79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1484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1485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</row>
    <row r="85" spans="1:79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1486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1487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</row>
    <row r="86" spans="1:79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1488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1489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</row>
    <row r="87" spans="1:79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1490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1491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</row>
    <row r="88" spans="1:79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1492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1493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</row>
    <row r="89" spans="1:79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1494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1495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</row>
    <row r="90" spans="1:79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1496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1497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</row>
    <row r="91" spans="1:79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1498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1499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</row>
    <row r="92" spans="1:79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1500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1501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</row>
    <row r="93" spans="1:79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1502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1503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</row>
    <row r="94" spans="1:79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1504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1505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</row>
    <row r="95" spans="1:79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1506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1507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</row>
    <row r="96" spans="1:79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1508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1509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</row>
    <row r="97" spans="1:79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1510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1511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</row>
    <row r="98" spans="1:79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1512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1513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</row>
    <row r="99" spans="1:79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1514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1515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</row>
    <row r="100" spans="1:79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1516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1517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</row>
    <row r="101" spans="1:79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1518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1519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</row>
    <row r="102" spans="1:79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1520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1521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</row>
    <row r="103" spans="1:79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1522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1523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</row>
    <row r="104" spans="1:79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1524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1525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</row>
    <row r="105" spans="1:79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1526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1527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</row>
    <row r="106" spans="1:79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1528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1529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</row>
    <row r="107" spans="1:79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1530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1531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</row>
    <row r="108" spans="1:79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1532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1533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</row>
    <row r="109" spans="1:79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1534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1535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</row>
    <row r="110" spans="1:79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1536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1537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</row>
    <row r="111" spans="1:79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1538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1539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</row>
    <row r="112" spans="1:79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1540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1541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</row>
    <row r="113" spans="1:79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1542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1543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</row>
    <row r="114" spans="1:79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1544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1545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</row>
    <row r="115" spans="1:79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1546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1547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</row>
    <row r="116" spans="1:79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1548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1549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</row>
    <row r="117" spans="1:79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1550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1551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</row>
    <row r="118" spans="1:79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1552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1553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</row>
    <row r="119" spans="1:79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1554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1555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</row>
    <row r="120" spans="1:79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1556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1557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</row>
    <row r="121" spans="1:79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1558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1559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</row>
    <row r="122" spans="1:79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1560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1561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</row>
    <row r="123" spans="1:79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1562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1563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</row>
    <row r="124" spans="1:79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1564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1565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</row>
    <row r="125" spans="1:79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1566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1567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</row>
    <row r="126" spans="1:79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1568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1569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</row>
    <row r="127" spans="1:79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1570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1571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</row>
    <row r="128" spans="1:79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1572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1573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</row>
    <row r="129" spans="1:79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1574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1575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</row>
    <row r="130" spans="1:79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1576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1577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</row>
    <row r="131" spans="1:79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1578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1579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</row>
    <row r="132" spans="1:79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1580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1581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</row>
    <row r="133" spans="1:79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1582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1583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</row>
    <row r="134" spans="1:79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1584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1585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</row>
    <row r="135" spans="1:79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1586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1587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</row>
    <row r="136" spans="1:79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1588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1589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</row>
    <row r="137" spans="1:79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1590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1591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</row>
    <row r="138" spans="1:79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1592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1593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</row>
    <row r="139" spans="1:79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1594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1595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</row>
    <row r="140" spans="1:79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1596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1597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</row>
    <row r="141" spans="1:79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1598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1599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</row>
    <row r="142" spans="1:79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1600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1601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</row>
    <row r="143" spans="1:79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1602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1603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</row>
    <row r="144" spans="1:79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1604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1605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</row>
    <row r="145" spans="1:79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1606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1607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</row>
    <row r="146" spans="1:79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1608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1609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</row>
    <row r="147" spans="1:79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1610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1611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</row>
    <row r="148" spans="1:79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1612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1613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</row>
    <row r="149" spans="1:79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1614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1615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</row>
    <row r="150" spans="1:79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1616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1617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</row>
    <row r="151" spans="1:79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1618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1619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</row>
    <row r="152" spans="1:79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1620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1621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</row>
    <row r="153" spans="1:79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1622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1623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</row>
    <row r="154" spans="1:79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1624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1625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</row>
    <row r="155" spans="1:79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1626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1627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</row>
    <row r="156" spans="1:79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1628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1629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</row>
    <row r="157" spans="1:79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1630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1631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</row>
    <row r="158" spans="1:79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1632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1633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</row>
    <row r="159" spans="1:79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1634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1635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</row>
    <row r="160" spans="1:79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1636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1637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</row>
    <row r="161" spans="1:79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1638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1639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</row>
    <row r="162" spans="1:79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1640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1641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</row>
    <row r="163" spans="1:79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1642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1643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</row>
    <row r="164" spans="1:79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1644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1645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</row>
    <row r="165" spans="1:79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1646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1647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</row>
    <row r="166" spans="1:79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1648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1649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</row>
    <row r="167" spans="1:79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1650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1651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</row>
    <row r="168" spans="1:79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1652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1653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</row>
    <row r="169" spans="1:79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1654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1655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</row>
    <row r="170" spans="1:79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1656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1657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</row>
    <row r="171" spans="1:79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1658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1659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</row>
    <row r="172" spans="1:79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1660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1661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</row>
    <row r="173" spans="1:79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1662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1663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</row>
    <row r="174" spans="1:79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1664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1665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</row>
    <row r="175" spans="1:79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1666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1667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</row>
    <row r="176" spans="1:79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1668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1669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</row>
    <row r="177" spans="1:79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1670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1671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</row>
    <row r="178" spans="1:79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1672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1673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</row>
    <row r="179" spans="1:79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1674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1675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</row>
    <row r="180" spans="1:79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1676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1677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</row>
    <row r="181" spans="1:79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1678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1679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</row>
    <row r="182" spans="1:79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1680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1681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</row>
    <row r="183" spans="1:79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1682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1683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</row>
    <row r="184" spans="1:79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1684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1685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</row>
    <row r="185" spans="1:79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1686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1687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</row>
    <row r="186" spans="1:79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1688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1689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</row>
    <row r="187" spans="1:79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1690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1691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</row>
    <row r="188" spans="1:79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1692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1693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</row>
    <row r="189" spans="1:79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1694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1695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</row>
    <row r="190" spans="1:79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1696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1697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</row>
    <row r="191" spans="1:79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1698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1699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</row>
    <row r="192" spans="1:79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1700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1701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</row>
    <row r="193" spans="1:79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1702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1703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</row>
    <row r="194" spans="1:79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1704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1705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</row>
    <row r="195" spans="1:79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1706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1707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</row>
    <row r="196" spans="1:79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1708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1709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</row>
    <row r="197" spans="1:79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1710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1711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</row>
    <row r="198" spans="1:79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1712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1713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</row>
    <row r="199" spans="1:79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1714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1715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</row>
    <row r="200" spans="1:79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1716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1717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</row>
    <row r="201" spans="1:79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1718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1719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</row>
    <row r="202" spans="1:79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1720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1721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</row>
    <row r="203" spans="1:79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1722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1723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</row>
    <row r="204" spans="1:79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1724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1725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</row>
    <row r="205" spans="1:79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1726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1727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</row>
    <row r="206" spans="1:79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1728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1729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</row>
    <row r="207" spans="1:79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1730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1731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</row>
    <row r="208" spans="1:79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1732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1733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</row>
    <row r="209" spans="1:79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1734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1735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</row>
    <row r="210" spans="1:79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1736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1737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</row>
    <row r="211" spans="1:79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1738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1739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</row>
    <row r="212" spans="1:79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1740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1741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</row>
    <row r="213" spans="1:79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1742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1743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</row>
    <row r="214" spans="1:79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1744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1745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</row>
    <row r="215" spans="1:79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1746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1747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</row>
    <row r="216" spans="1:79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1748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1749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</row>
    <row r="217" spans="1:79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1750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1751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</row>
    <row r="218" spans="1:79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1752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1753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</row>
    <row r="219" spans="1:79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1754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1755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</row>
    <row r="220" spans="1:79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1756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1757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</row>
    <row r="221" spans="1:79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1758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1759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</row>
    <row r="222" spans="1:79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1760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1761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</row>
    <row r="223" spans="1:79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1762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1763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</row>
    <row r="224" spans="1:79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1764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1765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</row>
    <row r="225" spans="1:79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1766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1767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</row>
    <row r="226" spans="1:79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1768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1769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</row>
    <row r="227" spans="1:79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1770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1771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</row>
    <row r="228" spans="1:79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1772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1773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</row>
    <row r="229" spans="1:79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1774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1775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</row>
    <row r="230" spans="1:79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1776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1777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</row>
    <row r="231" spans="1:79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1778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1779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</row>
    <row r="232" spans="1:79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1780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1781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</row>
    <row r="233" spans="1:79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1782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1783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</row>
    <row r="234" spans="1:79">
      <c r="N234" t="s">
        <v>1784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1785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</row>
    <row r="235" spans="1:79">
      <c r="N235" t="s">
        <v>1786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1787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</row>
    <row r="236" spans="1:79">
      <c r="N236" t="s">
        <v>1788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1789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</row>
    <row r="237" spans="1:79">
      <c r="N237" t="s">
        <v>1790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1791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</row>
    <row r="238" spans="1:79">
      <c r="N238" t="s">
        <v>1792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1793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</row>
    <row r="239" spans="1:79">
      <c r="N239" t="s">
        <v>1794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1795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</row>
    <row r="240" spans="1:79">
      <c r="N240" t="s">
        <v>1796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1797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</row>
    <row r="241" spans="14:37">
      <c r="N241" t="s">
        <v>1798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1799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</row>
    <row r="242" spans="14:37">
      <c r="N242" t="s">
        <v>1800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1801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</row>
    <row r="243" spans="14:37">
      <c r="N243" t="s">
        <v>1802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1803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</row>
    <row r="244" spans="14:37">
      <c r="N244" t="s">
        <v>1804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1805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</row>
    <row r="245" spans="14:37">
      <c r="N245" t="s">
        <v>1806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1807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</row>
    <row r="246" spans="14:37">
      <c r="N246" t="s">
        <v>1808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1809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</row>
    <row r="247" spans="14:37">
      <c r="N247" t="s">
        <v>1810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1811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</row>
    <row r="248" spans="14:37">
      <c r="N248" t="s">
        <v>1812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1813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</row>
    <row r="249" spans="14:37">
      <c r="N249" t="s">
        <v>1814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1815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</row>
    <row r="250" spans="14:37">
      <c r="N250" t="s">
        <v>1816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1817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</row>
    <row r="251" spans="14:37">
      <c r="N251" t="s">
        <v>1818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1819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</row>
    <row r="252" spans="14:37">
      <c r="N252" t="s">
        <v>1820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1821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</row>
    <row r="253" spans="14:37">
      <c r="N253" t="s">
        <v>1822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1823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</row>
    <row r="254" spans="14:37">
      <c r="N254" t="s">
        <v>1824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1825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</row>
    <row r="255" spans="14:37">
      <c r="N255" t="s">
        <v>1826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1827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</row>
    <row r="256" spans="14:37">
      <c r="N256" t="s">
        <v>1828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1829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</row>
    <row r="257" spans="14:37">
      <c r="N257" t="s">
        <v>1830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1831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</row>
    <row r="258" spans="14:37">
      <c r="N258" t="s">
        <v>1832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1833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</row>
    <row r="259" spans="14:37">
      <c r="N259" t="s">
        <v>1834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1835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</row>
    <row r="260" spans="14:37">
      <c r="N260" t="s">
        <v>1836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1837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</row>
    <row r="261" spans="14:37">
      <c r="N261" t="s">
        <v>1838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1839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</row>
    <row r="262" spans="14:37">
      <c r="N262" t="s">
        <v>1840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1841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</row>
    <row r="263" spans="14:37">
      <c r="N263" t="s">
        <v>1842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1843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</row>
    <row r="264" spans="14:37">
      <c r="N264" t="s">
        <v>1844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1845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</row>
    <row r="265" spans="14:37">
      <c r="N265" t="s">
        <v>1846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1847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</row>
    <row r="266" spans="14:37">
      <c r="N266" t="s">
        <v>1848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1849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</row>
    <row r="267" spans="14:37">
      <c r="N267" t="s">
        <v>1850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1851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</row>
    <row r="268" spans="14:37">
      <c r="N268" t="s">
        <v>1852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1853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</row>
    <row r="269" spans="14:37">
      <c r="N269" t="s">
        <v>1854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1855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</row>
    <row r="270" spans="14:37">
      <c r="N270" t="s">
        <v>1856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1857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</row>
    <row r="271" spans="14:37">
      <c r="N271" t="s">
        <v>1858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1859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</row>
    <row r="272" spans="14:37">
      <c r="N272" t="s">
        <v>1860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1861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</row>
    <row r="273" spans="14:37">
      <c r="N273" t="s">
        <v>1862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1863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</row>
    <row r="274" spans="14:37">
      <c r="N274" t="s">
        <v>1864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1865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</row>
    <row r="275" spans="14:37">
      <c r="N275" t="s">
        <v>1866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1867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</row>
    <row r="276" spans="14:37">
      <c r="N276" t="s">
        <v>1868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1869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</row>
    <row r="277" spans="14:37">
      <c r="N277" t="s">
        <v>1870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1871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</row>
    <row r="278" spans="14:37">
      <c r="N278" t="s">
        <v>1872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1873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</row>
    <row r="279" spans="14:37">
      <c r="N279" t="s">
        <v>1874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1875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</row>
    <row r="280" spans="14:37">
      <c r="N280" t="s">
        <v>1876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1877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</row>
    <row r="281" spans="14:37">
      <c r="N281" t="s">
        <v>1878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1879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</row>
    <row r="282" spans="14:37">
      <c r="N282" t="s">
        <v>1880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1881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</row>
    <row r="283" spans="14:37">
      <c r="N283" t="s">
        <v>1882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1883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</row>
    <row r="284" spans="14:37">
      <c r="N284" t="s">
        <v>1884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1885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</row>
    <row r="285" spans="14:37">
      <c r="N285" t="s">
        <v>1886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1887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</row>
    <row r="286" spans="14:37">
      <c r="N286" t="s">
        <v>1888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1889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37">
      <c r="N287" t="s">
        <v>1890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1891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37">
      <c r="N288" t="s">
        <v>1892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1893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1894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1895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1896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1897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1898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1899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1900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1901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1902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1903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1904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1905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1906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1907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1908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1909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1910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1911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1912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1913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1914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1915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1916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1917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1918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1919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1920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1921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1922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1923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1924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1925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1926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1927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1928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1929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1930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1931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1932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1933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1934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1935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1936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1937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1938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1939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1940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1941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1942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1943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1944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1945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1946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1947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1948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1949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1950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1951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1952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1953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1954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1955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1956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1957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1958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1959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1960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1961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1962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1963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1964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1965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1966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1967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1968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1969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1970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1971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1972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1973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1974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1975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1976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1977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1978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1979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1980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1981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1982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1983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1984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1985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1986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1987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1988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1989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1990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1991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1992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1993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1994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1995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1996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1997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1998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1999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2000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2001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2002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2003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2004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2005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2006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2007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2008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2009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2010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2011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2012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2013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2014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2015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2016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2017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2018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2019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2020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2021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2022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2023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2024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2025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2026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2027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2028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2029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2030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2031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2032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2033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2034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2035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2036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2037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2038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2039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2040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2041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2042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2043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2044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2045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2046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2047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2048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2049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2050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2051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2052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2053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2054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2055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2056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2057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2058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2059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2060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2061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2062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2063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2064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2065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2066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2067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2068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2069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2070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2071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2072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2073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2074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2075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2076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2077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2078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2079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2080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2081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2082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2083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2084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2085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2086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2087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2088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2089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2090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2091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2092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2093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2094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2095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2096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2097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2098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2099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2100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2101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2102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2103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2104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2105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2106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2107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2108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2109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2110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2111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2112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2113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2114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2115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2116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2117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2118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2119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2120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2121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2122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2123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2124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2125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2126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2127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2128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2129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2130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2131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2132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2133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2134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2135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2136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2137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2138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2139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2140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2141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2142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2143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2144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2145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2146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2147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2148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2149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2150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2151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2152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2153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2154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2155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2156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2157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2158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2159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2160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2161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2162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2163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2164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2165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2166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2167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2168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2169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2170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2171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2172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2173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2174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2175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2176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2177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2178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2179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2180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2181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2182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2183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2184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2185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2186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2187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2188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2189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2190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2191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2192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2193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2194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2195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2196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2197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2198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2199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2200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2201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2202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2203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2204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2205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2206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2207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2208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2209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2210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2211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2212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2213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2214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2215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2216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2217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2218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2219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2220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2221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2222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2223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2224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2225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2226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2227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2228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2229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2230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2231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2232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2233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2234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2235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2236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2237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2238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2239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2240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2241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2242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2243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2244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2245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2246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2247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2248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2249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2250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2251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2252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2253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2254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2255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2256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2257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2258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2259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2260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2261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2262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2263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2264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2265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2266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2267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2268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2269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2270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2271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2272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2273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2274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2275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2276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2277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2278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2279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2280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2281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2282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2283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2284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2285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2286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2287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2288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2289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2290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2291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2292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2293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2294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2295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2296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2297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2298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2299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2300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2301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2302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2303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2304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2305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2306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2307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2308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2309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2310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2311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2312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2313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2314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2315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2316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2317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2318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2319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2320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2321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2322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2323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2324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2325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2326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2327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2328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2329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2330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2331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2332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2333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2334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2335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2336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2337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2338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2339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2340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2341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2342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2343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2344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2345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2346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2347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2348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2349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2350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2351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2352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2353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2354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2355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2356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2357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2358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2359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2360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2361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2362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2363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2364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2365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2366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2367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2368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2369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2370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2371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2372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2373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2374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2375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2376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2377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2378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2379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2380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2381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2382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2383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2384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2385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2386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2387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2388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2389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2390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2391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2392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2393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2394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2395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2396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2397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2398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2399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2400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2401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2402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2403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2404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2405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2406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2407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2408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2409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2410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2411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2412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2413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2414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2415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2416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2417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2418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2419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2420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2421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2422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2423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2424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2425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2426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2427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2428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2429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2430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2431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2432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2433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2434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2435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2436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2437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2438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2439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2440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2441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2442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2443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2444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2445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2446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2447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2448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2449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2450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2451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2452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2453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2454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2455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2456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2457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2458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2459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2460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2461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2462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2463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2464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2465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2466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2467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2468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2469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2470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2471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2472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2473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2474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2475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2476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2477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2478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2479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2480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2481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2482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2483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2484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2485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2486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2487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2488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2489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2490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2491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2492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2493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2494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2495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2496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2497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2498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2499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2500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2501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2502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2503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2504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2505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2506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2507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2508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2509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2510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2511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2512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2513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2514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2515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2516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2517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2518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2519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2520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2521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2522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2523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2524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2525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2526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2527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2528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2529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2530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2531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2532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2533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2534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2535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2536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2537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2538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2539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2540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2541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2542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2543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2544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2545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2546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2547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2548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2549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2550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2551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2552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2553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2554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2555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2556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2557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2558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2559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2560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2561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2562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2563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2564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2565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2566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2567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2568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2569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2570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2571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2572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2573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2574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2575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2576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2577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2578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2579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2580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2581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2582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2583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2584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2585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2586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2587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2588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2589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2590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2591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2592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2593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2594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2595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2596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2597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2598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2599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2600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2601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2602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2603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2604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2605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2606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2607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2608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2609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2610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2611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2612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2613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2614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2615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2616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2617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2618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2619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2620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2621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2622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2623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2624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2625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2626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2627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2628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2629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2630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2631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2632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2633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2634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2635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2636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2637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2638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2639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2640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2641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2642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2643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2644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2645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2646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2647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2648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2649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2650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2651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2652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2653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2654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2655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2656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2657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2658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2659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2660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2661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2662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2663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2664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2665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2666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2667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2668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2669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2670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2671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2672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2673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2674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2675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2676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2677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2678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2679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2680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2681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2682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2683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2684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2685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2686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2687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2688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2689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2690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2691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2692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2693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2694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2695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2696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2697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2698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2699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2700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2701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2702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2703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2704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2705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2706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2707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2708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2709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2710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2711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2712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2713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2714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2715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2716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2717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2718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2719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2720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2721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2722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2723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2724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2725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2726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2727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2728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2729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2730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2731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2732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2733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2734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2735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2736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2737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2738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2739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2740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2741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2742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2743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2744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2745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2746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2747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2748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2749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2750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2751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2752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2753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2754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2755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2756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2757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2758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2759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2760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2761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2762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2763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2764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2765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2766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2767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2768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2769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2770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2771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2772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2773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2774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2775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2776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2777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2778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2779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2780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2781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2782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2783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2784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2785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2786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2787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2788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2789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2790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2791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2792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2793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2794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2795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2796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2797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2798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2799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2800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2801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2802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2803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2804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2805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2806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2807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2808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2809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2810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2811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2812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2813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2814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2815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2816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2817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2818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2819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2820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2821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2822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2823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2824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2825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2826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2827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2828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2829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2830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2831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2832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2833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2834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2835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2836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2837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2838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2839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2840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2841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2842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2843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2844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2845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2846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2847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2848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2849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2850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2851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2852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2853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2854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2855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2856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2857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2858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2859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2860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2861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2862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2863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2864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2865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2866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2867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2868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2869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2870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2871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2872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2873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2874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2875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2876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2877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2878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2879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2880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2881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2882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2883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2884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2885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2886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2887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2888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2889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2890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2891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2892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2893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2894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2895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2896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2897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2898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2899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2900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2901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2902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2903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2904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2905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2906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2907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2908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2909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2910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2911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2912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2913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2914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2915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2916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2917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2918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2919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2920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2921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2922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2923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2924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2925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2926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2927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2928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2929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2930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2931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2932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2933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2934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2935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2936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2937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2938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2939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2940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2941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2942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2943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2944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2945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2946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2947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2948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2949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2950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2951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2952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2953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2954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2955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2956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2957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2958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2959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2960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2961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2962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2963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2964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2965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2966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2967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2968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2969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2970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2971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2972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2973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2974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2975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2976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2977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2978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2979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2980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2981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2982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2983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2984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2985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2986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2987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2988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2989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2990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2991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2992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2993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2994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2995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2996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2997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2998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2999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3000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3001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3002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3003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3004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3005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3006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3007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3008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3009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3010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3011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3012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3013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3014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3015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3016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3017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3018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3019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3020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3021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3022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3023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3024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3025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3026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3027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3028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3029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3030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3031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3032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3033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3034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3035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3036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3037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3038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3039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3040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3041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3042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3043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3044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3045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3046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3047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3048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3049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3050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3051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3052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3053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3054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3055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3056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3057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3058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3059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3060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3061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3062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3063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3064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3065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3066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3067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3068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3069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3070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3071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3072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3073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3074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3075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3076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3077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3078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3079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3080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3081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3082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3083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3084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3085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3086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3087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3088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3089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3090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3091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3092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3093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3094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3095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3096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3097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3098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3099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3100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3101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3102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3103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3104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3105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3106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3107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3108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3109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3110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3111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3112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3113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3114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3115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3116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3117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3118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3119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3120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3121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3122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3123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3124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3125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3126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3127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3128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3129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3130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3131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3132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3133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3134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3135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3136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3137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3138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3139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3140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3141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3142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3143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3144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3145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3146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3147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3148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3149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3150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3151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3152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3153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3154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3155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3156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3157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3158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3159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3160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3161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3162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3163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3164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3165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3166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3167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3168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3169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3170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3171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3172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3173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3174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3175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3176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3177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3178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3179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3180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3181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3182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3183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3184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3185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3186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3187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3188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3189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3190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3191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3192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3193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3194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3195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3196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3197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3198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3199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3200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3201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3202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3203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3204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3205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3206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3207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3208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3209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3210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3211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3212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3213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3214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3215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3216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3217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3218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3219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3220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3221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3222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3223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3224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3225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3226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3227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3228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3229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3230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3231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3232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3233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3234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3235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3236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3237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3238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3239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3240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3241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3242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3243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3244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3245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3246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3247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3248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3249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3250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3251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3252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3253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3254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3255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3256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3257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3258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3259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3260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3261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3262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3263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3264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3265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3266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3267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3268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3269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3270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3271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3272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3273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3274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3275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3276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3277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3278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3279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3280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3281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3282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3283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3284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3285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3286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3287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3288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3289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3290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3291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3292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3293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3294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3295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3296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3297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3298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3299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3300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3301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3302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3303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3304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3305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3306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3307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3308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3309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3310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3311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3312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3313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3314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3315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3316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3317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3318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3319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3320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3321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3322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3323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3324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3325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3326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3327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3328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3329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3330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3331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3332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3333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3334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3335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3336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3337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3338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3339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3340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3341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3342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3343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3344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3345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3346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3347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3348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3349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3350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3351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3352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3353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3354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3355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3356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3357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3358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3359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3360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3361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3362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3363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3364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3365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3366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3367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3368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3369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3370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3371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3372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3373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3374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3375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3376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3377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3378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3379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3380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3381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3382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3383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3384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3385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3386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3387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3388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3389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3390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3391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3392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3393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3394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3395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3396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3397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3398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3399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3400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3401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3402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3403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3404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3405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3406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3407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3408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3409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3410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3411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3412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3413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3414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3415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3416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3417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3418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3419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3420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3421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3422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3423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3424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3425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3426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3427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3428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3429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3430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3431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3432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3433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3434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3435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3436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3437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3438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3439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3440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3441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3442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3443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3444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3445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3446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1320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3447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1322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3448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1324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3449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1326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3450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1328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3451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1330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3452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1332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3453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1334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3454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1336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3455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1338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3456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1340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3457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1342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3458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1344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3459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1346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3460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1348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3461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1350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3462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1352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3463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1354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3464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1356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3465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1358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3466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1360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3467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1362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3468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1364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3469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1366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3470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1368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3471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1370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3472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1372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3473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1374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3474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1376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3475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1378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3476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1380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3477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1382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3478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1384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3479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1386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3480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1388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3481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1390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3482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1392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3483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1394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3484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1396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3485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1398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3486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3487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3488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3489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N35"/>
  <sheetViews>
    <sheetView workbookViewId="0">
      <selection activeCell="C24" sqref="C24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5" bestFit="1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4">
      <c r="B2" t="s">
        <v>1142</v>
      </c>
    </row>
    <row r="3" spans="2:14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</row>
    <row r="4" spans="2:14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</row>
    <row r="5" spans="2:14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</row>
    <row r="6" spans="2:14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</row>
    <row r="7" spans="2:14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</row>
    <row r="8" spans="2:14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</row>
    <row r="9" spans="2:14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</row>
    <row r="10" spans="2:14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</row>
    <row r="11" spans="2:14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N11" s="44"/>
    </row>
    <row r="12" spans="2:14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</row>
    <row r="13" spans="2:14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</row>
    <row r="14" spans="2:14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</row>
    <row r="15" spans="2:14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</row>
    <row r="16" spans="2:14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</row>
    <row r="18" spans="2:7">
      <c r="B18" t="s">
        <v>1153</v>
      </c>
      <c r="C18" s="14">
        <f>198144.68+260691.06</f>
        <v>458835.74</v>
      </c>
    </row>
    <row r="20" spans="2:7">
      <c r="B20" t="s">
        <v>1205</v>
      </c>
    </row>
    <row r="21" spans="2:7">
      <c r="B21" t="s">
        <v>1203</v>
      </c>
    </row>
    <row r="22" spans="2:7">
      <c r="B22" s="24" t="s">
        <v>1204</v>
      </c>
    </row>
    <row r="27" spans="2:7">
      <c r="B27" s="45" t="s">
        <v>1141</v>
      </c>
    </row>
    <row r="28" spans="2:7">
      <c r="B28" s="20">
        <v>45492</v>
      </c>
    </row>
    <row r="29" spans="2:7">
      <c r="B29" t="s">
        <v>946</v>
      </c>
    </row>
    <row r="30" spans="2:7">
      <c r="B30" t="s">
        <v>952</v>
      </c>
      <c r="C30" t="s">
        <v>951</v>
      </c>
    </row>
    <row r="32" spans="2:7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R18" sqref="R18"/>
    </sheetView>
  </sheetViews>
  <sheetFormatPr baseColWidth="10" defaultRowHeight="16"/>
  <cols>
    <col min="3" max="3" width="17.5" bestFit="1" customWidth="1"/>
    <col min="4" max="4" width="11.6640625" customWidth="1"/>
    <col min="25" max="25" width="12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R2">
        <v>115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R3">
        <v>114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R4">
        <v>1950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R5">
        <v>4400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R6">
        <v>50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R7">
        <v>243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R8">
        <v>916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R9">
        <v>1150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R10">
        <v>40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3496</v>
      </c>
      <c r="L11" t="s">
        <v>3495</v>
      </c>
      <c r="M11" t="s">
        <v>3494</v>
      </c>
      <c r="O11" t="s">
        <v>3493</v>
      </c>
      <c r="Q11">
        <f>16500+1500-150-1196+3000</f>
        <v>19654</v>
      </c>
      <c r="R11">
        <v>200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R12">
        <v>1320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R13">
        <v>29240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R14">
        <v>587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3492</v>
      </c>
      <c r="O15">
        <f>15044600+1053200+30000</f>
        <v>16127800</v>
      </c>
      <c r="Q15">
        <v>799</v>
      </c>
      <c r="R15">
        <v>975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R16">
        <v>910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3491</v>
      </c>
      <c r="O17">
        <f>14687500+1028200+30000</f>
        <v>15745700</v>
      </c>
      <c r="Q17">
        <v>1527</v>
      </c>
      <c r="R17">
        <v>200</v>
      </c>
      <c r="T17" t="s">
        <v>1208</v>
      </c>
      <c r="U17" s="12">
        <v>19850000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3497</v>
      </c>
      <c r="B19" s="136" t="s">
        <v>3498</v>
      </c>
      <c r="C19" s="136" t="s">
        <v>3499</v>
      </c>
      <c r="D19" s="144" t="s">
        <v>3500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</row>
    <row r="23" spans="1:30">
      <c r="A23" t="s">
        <v>3501</v>
      </c>
      <c r="S23">
        <f>SUM(S2:S22)</f>
        <v>0</v>
      </c>
      <c r="T23" t="s">
        <v>1208</v>
      </c>
      <c r="U23" s="12">
        <v>19850000</v>
      </c>
      <c r="X23" s="12"/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42410</v>
      </c>
      <c r="S24">
        <f>R24+S23</f>
        <v>42410</v>
      </c>
      <c r="T24" t="s">
        <v>1209</v>
      </c>
      <c r="U24" s="12">
        <v>4100000</v>
      </c>
      <c r="X24" s="12"/>
    </row>
    <row r="25" spans="1:30">
      <c r="T25" t="s">
        <v>1212</v>
      </c>
      <c r="U25" s="12">
        <v>20000000</v>
      </c>
      <c r="X25" s="12"/>
    </row>
    <row r="26" spans="1:30">
      <c r="L26">
        <f>16008000+1120600+30000</f>
        <v>17158600</v>
      </c>
      <c r="T26" t="s">
        <v>1210</v>
      </c>
      <c r="U26" s="12">
        <f>U23*U24/U25</f>
        <v>4069250</v>
      </c>
      <c r="X26" s="12"/>
    </row>
    <row r="27" spans="1:30">
      <c r="T27" t="s">
        <v>1211</v>
      </c>
      <c r="U27" s="12">
        <f>U25-U26</f>
        <v>15930750</v>
      </c>
      <c r="X27" s="12"/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3516</v>
      </c>
      <c r="L62">
        <f>L60*7%+30000</f>
        <v>905000.00000000012</v>
      </c>
      <c r="O62" t="s">
        <v>3516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T56"/>
  <sheetViews>
    <sheetView workbookViewId="0">
      <selection activeCell="J25" sqref="J25"/>
    </sheetView>
  </sheetViews>
  <sheetFormatPr baseColWidth="10" defaultRowHeight="16"/>
  <cols>
    <col min="1" max="1" width="41.83203125" bestFit="1" customWidth="1"/>
  </cols>
  <sheetData>
    <row r="1" spans="1:20">
      <c r="A1" t="s">
        <v>994</v>
      </c>
      <c r="B1" s="7"/>
    </row>
    <row r="2" spans="1:20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7" t="s">
        <v>1286</v>
      </c>
    </row>
    <row r="3" spans="1:20">
      <c r="Q3" t="s">
        <v>1287</v>
      </c>
      <c r="R3">
        <f>O10+O17</f>
        <v>332313.05000320019</v>
      </c>
      <c r="S3" t="s">
        <v>1289</v>
      </c>
      <c r="T3">
        <f>O9+O16</f>
        <v>2377210.3669322999</v>
      </c>
    </row>
    <row r="4" spans="1:2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  <c r="Q4" t="s">
        <v>1288</v>
      </c>
      <c r="R4" s="11">
        <v>0.125</v>
      </c>
    </row>
    <row r="5" spans="1:2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t="s">
        <v>1132</v>
      </c>
      <c r="R5">
        <f>R3*R4</f>
        <v>41539.131250400023</v>
      </c>
    </row>
    <row r="6" spans="1:2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</row>
    <row r="7" spans="1:20">
      <c r="A7" t="s">
        <v>157</v>
      </c>
      <c r="I7" s="14">
        <f>SUM(I4:I6)</f>
        <v>1114.847</v>
      </c>
      <c r="O7" s="14">
        <f>SUM(O4:O6)</f>
        <v>1244937.3225689</v>
      </c>
    </row>
    <row r="9" spans="1:2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20">
      <c r="N10" s="40" t="s">
        <v>1035</v>
      </c>
      <c r="O10" s="40">
        <f>O9-O7</f>
        <v>206267.37868360011</v>
      </c>
    </row>
    <row r="12" spans="1:2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</row>
    <row r="13" spans="1:2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</row>
    <row r="14" spans="1:20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2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</row>
    <row r="17" spans="1:15">
      <c r="N17" s="40" t="s">
        <v>1035</v>
      </c>
      <c r="O17" s="40">
        <f>O16-O14</f>
        <v>126045.67131960008</v>
      </c>
    </row>
    <row r="19" spans="1:15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</row>
    <row r="20" spans="1:15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</row>
    <row r="21" spans="1:15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</row>
    <row r="22" spans="1:15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15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</row>
    <row r="24" spans="1:15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</row>
    <row r="25" spans="1:15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</row>
    <row r="26" spans="1:15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</row>
    <row r="27" spans="1:15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15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15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15">
      <c r="I30">
        <f>SUM(I19:I29)</f>
        <v>1346.3319999999997</v>
      </c>
      <c r="O30" s="14">
        <f>SUM(O19:O29)</f>
        <v>4799758.9099428002</v>
      </c>
    </row>
    <row r="31" spans="1:15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tabSelected="1" zoomScaleNormal="100" workbookViewId="0">
      <selection activeCell="J21" sqref="J2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-87636.550002000033</v>
      </c>
      <c r="N2" s="28">
        <f>M2+P14</f>
        <v>760308.12061750027</v>
      </c>
      <c r="O2" s="3">
        <f>SUM(G2:G15)</f>
        <v>8030307.5612299005</v>
      </c>
      <c r="P2" s="3">
        <f>P6*R6+P7*R7+P8*R8</f>
        <v>8877793.6961595006</v>
      </c>
      <c r="Q2" s="2">
        <f>N2/O2</f>
        <v>9.467982575016759E-2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226.3887</v>
      </c>
      <c r="S6" s="3">
        <f>(R6-Q6)*P6</f>
        <v>335452.36490500002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244.74950000000001</v>
      </c>
      <c r="S7" s="3">
        <f t="shared" ref="S7:S8" si="5">(R7-Q7)*P7</f>
        <v>310591.70571450016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263</v>
      </c>
      <c r="S8" s="3">
        <f t="shared" si="5"/>
        <v>201900.60000000006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335452.36490500002</v>
      </c>
      <c r="S11" s="3"/>
      <c r="T11" s="2"/>
      <c r="W11" s="19"/>
    </row>
    <row r="12" spans="1:30">
      <c r="I12" s="20">
        <v>45498</v>
      </c>
      <c r="J12">
        <v>27431</v>
      </c>
      <c r="L12" s="3">
        <f t="shared" si="1"/>
        <v>27431</v>
      </c>
      <c r="M12" s="3"/>
      <c r="O12" t="s">
        <v>984</v>
      </c>
      <c r="P12" s="24">
        <f>P7*(R7-Q7)</f>
        <v>310591.70571450016</v>
      </c>
      <c r="W12" s="19"/>
    </row>
    <row r="13" spans="1:30">
      <c r="I13" s="20">
        <v>45533</v>
      </c>
      <c r="J13">
        <v>-32483</v>
      </c>
      <c r="L13" s="3">
        <f t="shared" si="1"/>
        <v>-32483</v>
      </c>
      <c r="M13" s="3"/>
      <c r="O13" t="s">
        <v>985</v>
      </c>
      <c r="P13" s="24">
        <f>P8*(R8-Q8)</f>
        <v>201900.60000000006</v>
      </c>
      <c r="W13" s="19"/>
    </row>
    <row r="14" spans="1:30">
      <c r="I14" s="20">
        <v>45561</v>
      </c>
      <c r="J14">
        <v>-88411</v>
      </c>
      <c r="L14" s="3">
        <f t="shared" si="1"/>
        <v>-88411</v>
      </c>
      <c r="M14" s="3"/>
      <c r="O14" t="s">
        <v>1131</v>
      </c>
      <c r="P14" s="35">
        <f>SUM(P11:P13)</f>
        <v>847944.67061950034</v>
      </c>
      <c r="W14" s="19"/>
    </row>
    <row r="15" spans="1:30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20">
        <v>45687</v>
      </c>
      <c r="J18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20">
        <v>45717</v>
      </c>
      <c r="J19" s="10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N38" sqref="N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53" t="s">
        <v>1226</v>
      </c>
      <c r="D1" s="154"/>
      <c r="E1" s="154"/>
      <c r="F1" s="154"/>
      <c r="G1" s="155"/>
      <c r="I1" s="47" t="s">
        <v>1227</v>
      </c>
    </row>
    <row r="2" spans="3:25" ht="27" customHeight="1" thickBot="1">
      <c r="C2" s="156"/>
      <c r="D2" s="150"/>
      <c r="E2" s="150"/>
      <c r="F2" s="150"/>
      <c r="G2" s="152"/>
      <c r="I2" s="48" t="s">
        <v>1228</v>
      </c>
    </row>
    <row r="3" spans="3:25" ht="15">
      <c r="C3" s="157" t="s">
        <v>1229</v>
      </c>
      <c r="D3" s="158"/>
      <c r="E3" s="158"/>
      <c r="F3" s="158"/>
      <c r="G3" s="159"/>
      <c r="I3" s="160" t="s">
        <v>1230</v>
      </c>
      <c r="J3" s="161"/>
      <c r="K3" s="161"/>
      <c r="L3" s="162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63"/>
      <c r="J4" s="164"/>
      <c r="K4" s="164"/>
      <c r="L4" s="165"/>
      <c r="N4" s="54" t="s">
        <v>1233</v>
      </c>
    </row>
    <row r="5" spans="3:25" ht="15" customHeight="1">
      <c r="C5" s="55" t="s">
        <v>1234</v>
      </c>
      <c r="D5" s="56"/>
      <c r="E5" s="57">
        <v>3000000</v>
      </c>
      <c r="F5" s="58"/>
      <c r="G5" s="59">
        <f t="shared" ref="G5:G6" si="0">E5</f>
        <v>3000000</v>
      </c>
      <c r="I5" s="163"/>
      <c r="J5" s="164"/>
      <c r="K5" s="164"/>
      <c r="L5" s="165"/>
    </row>
    <row r="6" spans="3:25" ht="15" customHeight="1">
      <c r="C6" s="55" t="s">
        <v>1235</v>
      </c>
      <c r="D6" s="56"/>
      <c r="E6" s="57">
        <v>0</v>
      </c>
      <c r="F6" s="58"/>
      <c r="G6" s="59">
        <f t="shared" si="0"/>
        <v>0</v>
      </c>
      <c r="I6" s="163"/>
      <c r="J6" s="164"/>
      <c r="K6" s="164"/>
      <c r="L6" s="165"/>
    </row>
    <row r="7" spans="3:25" ht="15" customHeight="1">
      <c r="C7" s="60" t="s">
        <v>1236</v>
      </c>
      <c r="D7" s="56"/>
      <c r="E7" s="58"/>
      <c r="F7" s="58"/>
      <c r="G7" s="59"/>
      <c r="I7" s="163"/>
      <c r="J7" s="164"/>
      <c r="K7" s="164"/>
      <c r="L7" s="165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66"/>
      <c r="J8" s="167"/>
      <c r="K8" s="167"/>
      <c r="L8" s="168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60" t="s">
        <v>1240</v>
      </c>
      <c r="J10" s="161"/>
      <c r="K10" s="161"/>
      <c r="L10" s="162"/>
    </row>
    <row r="11" spans="3:25" ht="15">
      <c r="C11" s="60" t="s">
        <v>1241</v>
      </c>
      <c r="D11" s="56"/>
      <c r="E11" s="61">
        <v>0</v>
      </c>
      <c r="F11" s="58"/>
      <c r="G11" s="62"/>
      <c r="I11" s="163"/>
      <c r="J11" s="164"/>
      <c r="K11" s="164"/>
      <c r="L11" s="165"/>
    </row>
    <row r="12" spans="3:25" ht="15">
      <c r="C12" s="60" t="s">
        <v>1242</v>
      </c>
      <c r="D12" s="56"/>
      <c r="E12" s="61">
        <v>50000</v>
      </c>
      <c r="F12" s="58"/>
      <c r="G12" s="59"/>
      <c r="I12" s="163"/>
      <c r="J12" s="164"/>
      <c r="K12" s="164"/>
      <c r="L12" s="165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63"/>
      <c r="J13" s="164"/>
      <c r="K13" s="164"/>
      <c r="L13" s="165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63"/>
      <c r="J14" s="164"/>
      <c r="K14" s="164"/>
      <c r="L14" s="165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66"/>
      <c r="J15" s="167"/>
      <c r="K15" s="167"/>
      <c r="L15" s="168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69" t="s">
        <v>1248</v>
      </c>
      <c r="J17" s="161"/>
      <c r="K17" s="161"/>
      <c r="L17" s="162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63"/>
      <c r="J18" s="164"/>
      <c r="K18" s="164"/>
      <c r="L18" s="165"/>
    </row>
    <row r="19" spans="2:16" ht="5.25" customHeight="1">
      <c r="C19" s="66"/>
      <c r="D19" s="67"/>
      <c r="E19" s="68"/>
      <c r="F19" s="68"/>
      <c r="G19" s="69"/>
      <c r="I19" s="163"/>
      <c r="J19" s="164"/>
      <c r="K19" s="164"/>
      <c r="L19" s="165"/>
    </row>
    <row r="20" spans="2:16" ht="15">
      <c r="C20" s="70" t="s">
        <v>1250</v>
      </c>
      <c r="D20" s="67"/>
      <c r="E20" s="71">
        <f>MAX(E5+E6-E18,0)</f>
        <v>2598000</v>
      </c>
      <c r="F20" s="71"/>
      <c r="G20" s="72">
        <f>MAX(G5+G6-G18-E13,0)</f>
        <v>2925000</v>
      </c>
      <c r="I20" s="163"/>
      <c r="J20" s="164"/>
      <c r="K20" s="164"/>
      <c r="L20" s="165"/>
    </row>
    <row r="21" spans="2:16" ht="8.25" customHeight="1">
      <c r="C21" s="60"/>
      <c r="D21" s="56"/>
      <c r="E21" s="58"/>
      <c r="F21" s="58"/>
      <c r="G21" s="59"/>
      <c r="I21" s="163"/>
      <c r="J21" s="164"/>
      <c r="K21" s="164"/>
      <c r="L21" s="165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66"/>
      <c r="J22" s="167"/>
      <c r="K22" s="167"/>
      <c r="L22" s="168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70" t="s">
        <v>1255</v>
      </c>
      <c r="J24" s="164"/>
      <c r="K24" s="164"/>
      <c r="L24" s="164"/>
      <c r="M24" s="164"/>
      <c r="N24" s="164"/>
      <c r="O24" s="164"/>
      <c r="P24" s="164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479400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157500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591900</v>
      </c>
      <c r="F36" s="81"/>
      <c r="G36" s="82">
        <f>IF(AND(G20&gt;700000,SUM(G23:G35)&gt;(G20-700000)),G20-700000,SUM(G23:G35))</f>
        <v>457500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23676</v>
      </c>
      <c r="F37" s="84"/>
      <c r="G37" s="85">
        <f>G36*$D$37*IF(G20/10^5&lt;50,1,1.1)</f>
        <v>18300</v>
      </c>
    </row>
    <row r="38" spans="2:8" ht="15">
      <c r="C38" s="86" t="s">
        <v>1273</v>
      </c>
      <c r="D38" s="51"/>
      <c r="E38" s="87">
        <f>SUM(E36:E37)+IF(E20&gt;50*10^5,0.1,0)*E36</f>
        <v>615576</v>
      </c>
      <c r="F38" s="84"/>
      <c r="G38" s="88">
        <f>SUM(G36:G37)+IF(G20&gt;50*10^5,0.1,0)*G36</f>
        <v>475800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49" t="s">
        <v>1274</v>
      </c>
      <c r="D40" s="150"/>
      <c r="E40" s="151" t="str">
        <f>IF(E38&lt;G38,E4,G4) &amp;" is better by ₹" &amp;TEXT(ABS(G38-E38),"#,##0")</f>
        <v>New Tax Regime is better by ₹1,39,776</v>
      </c>
      <c r="F40" s="150"/>
      <c r="G40" s="152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disablePrompts="1"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P44" sqref="P44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75" t="s">
        <v>1275</v>
      </c>
      <c r="D1" s="176"/>
      <c r="E1" s="176"/>
      <c r="F1" s="176"/>
      <c r="G1" s="177"/>
      <c r="I1" s="91" t="s">
        <v>1276</v>
      </c>
    </row>
    <row r="2" spans="3:25" ht="15" thickBot="1">
      <c r="C2" s="178"/>
      <c r="D2" s="172"/>
      <c r="E2" s="172"/>
      <c r="F2" s="172"/>
      <c r="G2" s="174"/>
      <c r="I2" s="92" t="s">
        <v>1277</v>
      </c>
    </row>
    <row r="3" spans="3:25" ht="15">
      <c r="C3" s="179" t="s">
        <v>1229</v>
      </c>
      <c r="D3" s="180"/>
      <c r="E3" s="180"/>
      <c r="F3" s="180"/>
      <c r="G3" s="181"/>
      <c r="I3" s="182" t="s">
        <v>1230</v>
      </c>
      <c r="J3" s="183"/>
      <c r="K3" s="183"/>
      <c r="L3" s="184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185"/>
      <c r="J4" s="186"/>
      <c r="K4" s="186"/>
      <c r="L4" s="187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185"/>
      <c r="J5" s="186"/>
      <c r="K5" s="186"/>
      <c r="L5" s="187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185"/>
      <c r="J6" s="186"/>
      <c r="K6" s="186"/>
      <c r="L6" s="187"/>
    </row>
    <row r="7" spans="3:25" ht="15" customHeight="1">
      <c r="C7" s="104" t="s">
        <v>1236</v>
      </c>
      <c r="D7" s="100"/>
      <c r="E7" s="102"/>
      <c r="F7" s="102"/>
      <c r="G7" s="103"/>
      <c r="I7" s="185"/>
      <c r="J7" s="186"/>
      <c r="K7" s="186"/>
      <c r="L7" s="187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188"/>
      <c r="J8" s="189"/>
      <c r="K8" s="189"/>
      <c r="L8" s="190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182" t="s">
        <v>1240</v>
      </c>
      <c r="J10" s="183"/>
      <c r="K10" s="183"/>
      <c r="L10" s="184"/>
    </row>
    <row r="11" spans="3:25" ht="15">
      <c r="C11" s="104" t="s">
        <v>1241</v>
      </c>
      <c r="D11" s="100"/>
      <c r="E11" s="105">
        <v>0</v>
      </c>
      <c r="F11" s="102"/>
      <c r="G11" s="106"/>
      <c r="I11" s="185"/>
      <c r="J11" s="186"/>
      <c r="K11" s="186"/>
      <c r="L11" s="187"/>
    </row>
    <row r="12" spans="3:25" ht="15">
      <c r="C12" s="104" t="s">
        <v>1242</v>
      </c>
      <c r="D12" s="100"/>
      <c r="E12" s="105">
        <v>50000</v>
      </c>
      <c r="F12" s="102"/>
      <c r="G12" s="103"/>
      <c r="I12" s="185"/>
      <c r="J12" s="186"/>
      <c r="K12" s="186"/>
      <c r="L12" s="187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185"/>
      <c r="J13" s="186"/>
      <c r="K13" s="186"/>
      <c r="L13" s="187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185"/>
      <c r="J14" s="186"/>
      <c r="K14" s="186"/>
      <c r="L14" s="187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188"/>
      <c r="J15" s="189"/>
      <c r="K15" s="189"/>
      <c r="L15" s="190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191" t="s">
        <v>1248</v>
      </c>
      <c r="J17" s="183"/>
      <c r="K17" s="183"/>
      <c r="L17" s="184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185"/>
      <c r="J18" s="186"/>
      <c r="K18" s="186"/>
      <c r="L18" s="187"/>
    </row>
    <row r="19" spans="2:16" ht="5.25" customHeight="1">
      <c r="C19" s="110"/>
      <c r="D19" s="111"/>
      <c r="E19" s="112"/>
      <c r="F19" s="112"/>
      <c r="G19" s="113"/>
      <c r="I19" s="185"/>
      <c r="J19" s="186"/>
      <c r="K19" s="186"/>
      <c r="L19" s="187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185"/>
      <c r="J20" s="186"/>
      <c r="K20" s="186"/>
      <c r="L20" s="187"/>
    </row>
    <row r="21" spans="2:16" ht="8.25" customHeight="1">
      <c r="C21" s="104"/>
      <c r="D21" s="100"/>
      <c r="E21" s="102"/>
      <c r="F21" s="102"/>
      <c r="G21" s="103"/>
      <c r="I21" s="185"/>
      <c r="J21" s="186"/>
      <c r="K21" s="186"/>
      <c r="L21" s="187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188"/>
      <c r="J22" s="189"/>
      <c r="K22" s="189"/>
      <c r="L22" s="190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192" t="s">
        <v>1255</v>
      </c>
      <c r="J24" s="186"/>
      <c r="K24" s="186"/>
      <c r="L24" s="186"/>
      <c r="M24" s="186"/>
      <c r="N24" s="186"/>
      <c r="O24" s="186"/>
      <c r="P24" s="186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71" t="s">
        <v>1274</v>
      </c>
      <c r="D39" s="172"/>
      <c r="E39" s="173" t="str">
        <f>IF(E37&lt;G37,E4,G4) &amp;" is better by ₹" &amp;TEXT(ABS(G37-E37),"#,##0")</f>
        <v>New Tax Regime is better by ₹25,376</v>
      </c>
      <c r="F39" s="172"/>
      <c r="G39" s="174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48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48" t="s">
        <v>17</v>
      </c>
      <c r="P2">
        <f>SUM(N2:N6)</f>
        <v>78.099999999999994</v>
      </c>
      <c r="R2" t="s">
        <v>25</v>
      </c>
      <c r="S2">
        <v>172000</v>
      </c>
      <c r="W2" s="148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48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48"/>
      <c r="C3">
        <v>-6.4</v>
      </c>
      <c r="G3" t="s">
        <v>22</v>
      </c>
      <c r="H3">
        <v>66000</v>
      </c>
      <c r="M3" s="148"/>
      <c r="N3">
        <v>20.2</v>
      </c>
      <c r="R3" t="s">
        <v>22</v>
      </c>
      <c r="S3">
        <v>142000</v>
      </c>
      <c r="W3" s="148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48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48"/>
      <c r="C4">
        <v>36.9</v>
      </c>
      <c r="G4" t="s">
        <v>26</v>
      </c>
      <c r="H4">
        <f>D25</f>
        <v>306390</v>
      </c>
      <c r="M4" s="148"/>
      <c r="N4">
        <v>22.4</v>
      </c>
      <c r="R4" t="s">
        <v>26</v>
      </c>
      <c r="S4">
        <f>O28</f>
        <v>115265</v>
      </c>
      <c r="W4" s="148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48"/>
      <c r="AI4" s="17">
        <f t="shared" si="1"/>
        <v>0</v>
      </c>
      <c r="AL4" t="s">
        <v>26</v>
      </c>
      <c r="AM4">
        <f>AH29</f>
        <v>103534</v>
      </c>
    </row>
    <row r="5" spans="2:41">
      <c r="B5" s="148"/>
      <c r="C5">
        <v>4.8</v>
      </c>
      <c r="G5" t="s">
        <v>23</v>
      </c>
      <c r="H5">
        <v>58000</v>
      </c>
      <c r="M5" s="148"/>
      <c r="N5">
        <v>10.8</v>
      </c>
      <c r="R5" t="s">
        <v>23</v>
      </c>
      <c r="S5">
        <v>65000</v>
      </c>
      <c r="W5" s="148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48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48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48"/>
      <c r="N6">
        <v>24.7</v>
      </c>
      <c r="R6" t="s">
        <v>24</v>
      </c>
      <c r="S6">
        <f>SUM(S2:S5)</f>
        <v>494265</v>
      </c>
      <c r="W6" s="148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48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48"/>
      <c r="C7">
        <v>19.3</v>
      </c>
      <c r="M7" s="148" t="s">
        <v>18</v>
      </c>
      <c r="N7">
        <v>8.1</v>
      </c>
      <c r="P7">
        <f>SUM(N7:N11)</f>
        <v>53.6</v>
      </c>
      <c r="W7" s="148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48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48"/>
      <c r="C8">
        <v>22.2</v>
      </c>
      <c r="M8" s="148"/>
      <c r="N8">
        <v>-6.8</v>
      </c>
      <c r="W8" s="148"/>
      <c r="X8">
        <v>12514</v>
      </c>
      <c r="Y8" s="17">
        <f t="shared" si="0"/>
        <v>7.8212500000000004E-2</v>
      </c>
      <c r="AG8" s="148"/>
      <c r="AH8">
        <v>13989</v>
      </c>
      <c r="AI8" s="17">
        <f t="shared" si="1"/>
        <v>6.9944999999999993E-2</v>
      </c>
      <c r="AM8" s="3"/>
    </row>
    <row r="9" spans="2:41">
      <c r="B9" s="148"/>
      <c r="C9">
        <v>10.8</v>
      </c>
      <c r="M9" s="148"/>
      <c r="N9">
        <v>23.2</v>
      </c>
      <c r="S9" s="10"/>
      <c r="W9" s="148"/>
      <c r="X9">
        <v>20811</v>
      </c>
      <c r="Y9" s="17">
        <f t="shared" si="0"/>
        <v>0.13006875000000001</v>
      </c>
      <c r="AC9" s="10"/>
      <c r="AG9" s="148"/>
      <c r="AH9">
        <v>23989</v>
      </c>
      <c r="AI9" s="17">
        <f t="shared" si="1"/>
        <v>0.119945</v>
      </c>
      <c r="AM9" s="10"/>
    </row>
    <row r="10" spans="2:41">
      <c r="B10" s="148" t="s">
        <v>19</v>
      </c>
      <c r="C10">
        <v>24.2</v>
      </c>
      <c r="E10">
        <f>SUM(C10:C13)</f>
        <v>64.599999999999994</v>
      </c>
      <c r="M10" s="148"/>
      <c r="N10">
        <v>17.100000000000001</v>
      </c>
      <c r="W10" s="148"/>
      <c r="X10">
        <v>13577</v>
      </c>
      <c r="Y10" s="17">
        <f t="shared" si="0"/>
        <v>8.4856249999999994E-2</v>
      </c>
      <c r="AG10" s="148"/>
      <c r="AH10">
        <v>12000</v>
      </c>
      <c r="AI10" s="17">
        <f t="shared" si="1"/>
        <v>0.06</v>
      </c>
    </row>
    <row r="11" spans="2:41">
      <c r="B11" s="148"/>
      <c r="C11">
        <v>0.8</v>
      </c>
      <c r="M11" s="148"/>
      <c r="N11">
        <v>12</v>
      </c>
      <c r="W11" s="148"/>
      <c r="X11">
        <v>1412</v>
      </c>
      <c r="Y11" s="17">
        <f t="shared" si="0"/>
        <v>8.8249999999999995E-3</v>
      </c>
      <c r="AG11" s="148"/>
      <c r="AH11">
        <v>13391</v>
      </c>
      <c r="AI11" s="17">
        <f t="shared" si="1"/>
        <v>6.6955000000000001E-2</v>
      </c>
    </row>
    <row r="12" spans="2:41">
      <c r="B12" s="148"/>
      <c r="C12">
        <v>28.1</v>
      </c>
      <c r="M12" s="148" t="s">
        <v>19</v>
      </c>
      <c r="N12">
        <v>7.5</v>
      </c>
      <c r="P12">
        <f>SUM(N12:N16)</f>
        <v>62.6</v>
      </c>
      <c r="W12" s="148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48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48"/>
      <c r="C13">
        <v>11.5</v>
      </c>
      <c r="M13" s="148"/>
      <c r="N13">
        <v>13</v>
      </c>
      <c r="W13" s="148"/>
      <c r="X13">
        <v>9637</v>
      </c>
      <c r="Y13" s="17">
        <f t="shared" si="0"/>
        <v>6.023125E-2</v>
      </c>
      <c r="AG13" s="148"/>
      <c r="AH13">
        <v>-2716</v>
      </c>
      <c r="AI13" s="17">
        <f t="shared" si="1"/>
        <v>-1.358E-2</v>
      </c>
    </row>
    <row r="14" spans="2:41">
      <c r="B14" s="148" t="s">
        <v>20</v>
      </c>
      <c r="C14">
        <v>4.9000000000000004</v>
      </c>
      <c r="E14">
        <f>SUM(C14:C18)</f>
        <v>65.5</v>
      </c>
      <c r="M14" s="148"/>
      <c r="N14">
        <v>4.8</v>
      </c>
      <c r="W14" s="148"/>
      <c r="X14">
        <v>6542</v>
      </c>
      <c r="Y14" s="17">
        <f t="shared" si="0"/>
        <v>4.08875E-2</v>
      </c>
      <c r="AG14" s="148"/>
      <c r="AH14">
        <v>-37463</v>
      </c>
      <c r="AI14" s="17">
        <f t="shared" si="1"/>
        <v>-0.18731500000000001</v>
      </c>
    </row>
    <row r="15" spans="2:41">
      <c r="B15" s="148"/>
      <c r="C15">
        <v>43.6</v>
      </c>
      <c r="M15" s="148"/>
      <c r="N15">
        <v>10.9</v>
      </c>
      <c r="W15" s="148"/>
      <c r="X15">
        <v>8408</v>
      </c>
      <c r="Y15" s="17">
        <f t="shared" si="0"/>
        <v>5.2549999999999999E-2</v>
      </c>
      <c r="AG15" s="148"/>
      <c r="AH15">
        <v>12412</v>
      </c>
      <c r="AI15" s="17">
        <f t="shared" si="1"/>
        <v>6.2059999999999997E-2</v>
      </c>
    </row>
    <row r="16" spans="2:41">
      <c r="B16" s="148"/>
      <c r="C16">
        <v>-4.2</v>
      </c>
      <c r="M16" s="148"/>
      <c r="N16">
        <v>26.4</v>
      </c>
      <c r="W16" s="148"/>
      <c r="X16">
        <v>-6006</v>
      </c>
      <c r="Y16" s="17">
        <f t="shared" si="0"/>
        <v>-3.7537500000000001E-2</v>
      </c>
      <c r="AG16" s="148"/>
      <c r="AH16">
        <v>10060</v>
      </c>
      <c r="AI16" s="17">
        <f t="shared" si="1"/>
        <v>5.0299999999999997E-2</v>
      </c>
    </row>
    <row r="17" spans="2:38">
      <c r="B17" s="148"/>
      <c r="C17">
        <v>8.1999999999999993</v>
      </c>
      <c r="M17" s="148" t="s">
        <v>20</v>
      </c>
      <c r="N17">
        <v>-118.2</v>
      </c>
      <c r="P17">
        <f>SUM(N17:N21)</f>
        <v>-90.300000000000011</v>
      </c>
      <c r="W17" s="148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48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48"/>
      <c r="C18">
        <v>13</v>
      </c>
      <c r="M18" s="148"/>
      <c r="N18">
        <v>-4</v>
      </c>
      <c r="W18" s="148"/>
      <c r="X18">
        <v>16136</v>
      </c>
      <c r="Y18" s="17">
        <f t="shared" si="0"/>
        <v>0.10085</v>
      </c>
      <c r="AG18" s="148"/>
      <c r="AH18">
        <v>5687</v>
      </c>
      <c r="AI18" s="17">
        <f t="shared" si="1"/>
        <v>2.8434999999999998E-2</v>
      </c>
    </row>
    <row r="19" spans="2:38">
      <c r="B19" s="148" t="s">
        <v>21</v>
      </c>
      <c r="C19">
        <v>9</v>
      </c>
      <c r="E19">
        <f>SUM(C19:C23)</f>
        <v>62</v>
      </c>
      <c r="M19" s="148"/>
      <c r="N19">
        <v>16.3</v>
      </c>
      <c r="W19" s="148"/>
      <c r="Y19" s="17">
        <f t="shared" si="0"/>
        <v>0</v>
      </c>
      <c r="AG19" s="148"/>
      <c r="AH19">
        <v>21733</v>
      </c>
      <c r="AI19" s="17">
        <f t="shared" si="1"/>
        <v>0.108665</v>
      </c>
    </row>
    <row r="20" spans="2:38">
      <c r="B20" s="148"/>
      <c r="C20">
        <v>30.1</v>
      </c>
      <c r="M20" s="148"/>
      <c r="N20">
        <v>15.6</v>
      </c>
      <c r="W20" s="148"/>
      <c r="X20">
        <v>49619</v>
      </c>
      <c r="Y20" s="17">
        <f t="shared" si="0"/>
        <v>0.31011875</v>
      </c>
      <c r="AG20" s="148"/>
      <c r="AH20">
        <f>17976+3580</f>
        <v>21556</v>
      </c>
      <c r="AI20" s="17">
        <f t="shared" si="1"/>
        <v>0.10778</v>
      </c>
    </row>
    <row r="21" spans="2:38">
      <c r="B21" s="148"/>
      <c r="M21" s="148"/>
      <c r="W21" s="148"/>
      <c r="X21">
        <v>19404</v>
      </c>
      <c r="Y21" s="17">
        <f t="shared" si="0"/>
        <v>0.12127499999999999</v>
      </c>
      <c r="AG21" s="148"/>
      <c r="AH21">
        <v>10789</v>
      </c>
      <c r="AI21" s="17">
        <f t="shared" si="1"/>
        <v>5.3945E-2</v>
      </c>
    </row>
    <row r="22" spans="2:38">
      <c r="B22" s="148"/>
      <c r="C22">
        <v>22.9</v>
      </c>
      <c r="M22" s="148" t="s">
        <v>21</v>
      </c>
      <c r="N22">
        <v>-10</v>
      </c>
      <c r="P22">
        <f>SUM(N22:N26)</f>
        <v>11.2</v>
      </c>
      <c r="W22" s="148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48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48"/>
      <c r="M23" s="148"/>
      <c r="N23">
        <v>21.2</v>
      </c>
      <c r="W23" s="148"/>
      <c r="Y23" s="17">
        <f t="shared" si="0"/>
        <v>0</v>
      </c>
      <c r="AG23" s="148"/>
      <c r="AH23">
        <v>9722</v>
      </c>
      <c r="AI23" s="17">
        <f t="shared" si="1"/>
        <v>4.861E-2</v>
      </c>
    </row>
    <row r="24" spans="2:38">
      <c r="D24" t="s">
        <v>29</v>
      </c>
      <c r="M24" s="148"/>
      <c r="W24" s="148"/>
      <c r="Y24" s="17">
        <f t="shared" si="0"/>
        <v>0</v>
      </c>
      <c r="AG24" s="148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48"/>
      <c r="W25" s="148"/>
      <c r="Y25" s="17">
        <f t="shared" si="0"/>
        <v>0</v>
      </c>
      <c r="AG25" s="148"/>
      <c r="AH25">
        <f>27071+14672-7637-3380</f>
        <v>30726</v>
      </c>
      <c r="AI25" s="17">
        <f t="shared" si="1"/>
        <v>0.15362999999999999</v>
      </c>
    </row>
    <row r="26" spans="2:38">
      <c r="M26" s="148"/>
      <c r="W26" s="148"/>
      <c r="Y26" s="17">
        <f t="shared" si="0"/>
        <v>0</v>
      </c>
      <c r="AG26" s="148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193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193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193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48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193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48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193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48"/>
      <c r="N34">
        <v>27.4</v>
      </c>
      <c r="O34" s="17">
        <f t="shared" si="2"/>
        <v>0.1957142857142857</v>
      </c>
      <c r="R34" t="s">
        <v>26</v>
      </c>
      <c r="S34">
        <v>197885</v>
      </c>
      <c r="W34" s="148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48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193"/>
      <c r="C35" s="10">
        <v>4.0999999999999996</v>
      </c>
      <c r="D35" s="10"/>
      <c r="E35" s="10"/>
      <c r="F35" s="10"/>
      <c r="M35" s="148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48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48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193" t="s">
        <v>18</v>
      </c>
      <c r="C36" s="10">
        <v>10.9</v>
      </c>
      <c r="D36" s="10"/>
      <c r="E36" s="10">
        <f>SUM(C36:C40)</f>
        <v>48.900000000000006</v>
      </c>
      <c r="F36" s="10"/>
      <c r="M36" s="148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48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48"/>
      <c r="AI36" s="17">
        <f t="shared" si="4"/>
        <v>0</v>
      </c>
      <c r="AL36" t="s">
        <v>26</v>
      </c>
      <c r="AM36">
        <f>AH61</f>
        <v>176019</v>
      </c>
    </row>
    <row r="37" spans="2:41">
      <c r="B37" s="193"/>
      <c r="C37" s="10">
        <v>3.7</v>
      </c>
      <c r="D37" s="10"/>
      <c r="E37" s="10"/>
      <c r="F37" s="10"/>
      <c r="G37" s="10"/>
      <c r="H37" s="10"/>
      <c r="M37" s="148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48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48"/>
      <c r="AI37" s="17">
        <f t="shared" si="4"/>
        <v>0</v>
      </c>
      <c r="AL37" t="s">
        <v>178</v>
      </c>
      <c r="AM37">
        <v>182216</v>
      </c>
    </row>
    <row r="38" spans="2:41">
      <c r="B38" s="193"/>
      <c r="C38" s="10">
        <v>-6.2</v>
      </c>
      <c r="D38" s="10"/>
      <c r="E38" s="10"/>
      <c r="F38" s="10"/>
      <c r="G38" s="10"/>
      <c r="H38" s="10"/>
      <c r="M38" s="148"/>
      <c r="N38">
        <v>-0.9</v>
      </c>
      <c r="O38" s="17">
        <f t="shared" si="2"/>
        <v>-6.4285714285714285E-3</v>
      </c>
      <c r="W38" s="148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48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193"/>
      <c r="C39" s="10">
        <v>20.100000000000001</v>
      </c>
      <c r="D39" s="10"/>
      <c r="E39" s="10"/>
      <c r="F39" s="10"/>
      <c r="G39" s="10"/>
      <c r="H39" s="10"/>
      <c r="M39" s="148"/>
      <c r="N39">
        <v>21.3</v>
      </c>
      <c r="O39" s="17">
        <f t="shared" si="2"/>
        <v>0.15214285714285714</v>
      </c>
      <c r="S39" s="10"/>
      <c r="W39" s="148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48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193"/>
      <c r="C40" s="10">
        <v>20.399999999999999</v>
      </c>
      <c r="D40" s="10"/>
      <c r="E40" s="10"/>
      <c r="F40" s="10"/>
      <c r="M40" s="148"/>
      <c r="N40">
        <v>10.199999999999999</v>
      </c>
      <c r="O40" s="17">
        <f t="shared" si="2"/>
        <v>7.2857142857142843E-2</v>
      </c>
      <c r="W40" s="148"/>
      <c r="X40">
        <v>-33678</v>
      </c>
      <c r="Y40" s="17">
        <f t="shared" si="3"/>
        <v>-0.19810588235294119</v>
      </c>
      <c r="AG40" s="148"/>
      <c r="AH40">
        <v>21305</v>
      </c>
      <c r="AI40" s="17">
        <f t="shared" si="4"/>
        <v>9.5968468468468474E-2</v>
      </c>
    </row>
    <row r="41" spans="2:41">
      <c r="B41" s="193" t="s">
        <v>19</v>
      </c>
      <c r="C41" s="10">
        <v>18.5</v>
      </c>
      <c r="D41" s="10"/>
      <c r="E41" s="10">
        <f>SUM(C41:C45)</f>
        <v>73.8</v>
      </c>
      <c r="F41" s="10"/>
      <c r="M41" s="148"/>
      <c r="N41">
        <v>7.3</v>
      </c>
      <c r="O41" s="17">
        <f t="shared" si="2"/>
        <v>5.2142857142857144E-2</v>
      </c>
      <c r="W41" s="148"/>
      <c r="X41">
        <v>15143</v>
      </c>
      <c r="Y41" s="17">
        <f t="shared" si="3"/>
        <v>8.9076470588235299E-2</v>
      </c>
      <c r="AC41" s="10"/>
      <c r="AG41" s="148"/>
      <c r="AH41">
        <v>12952</v>
      </c>
      <c r="AI41" s="17">
        <f t="shared" si="4"/>
        <v>5.834234234234234E-2</v>
      </c>
      <c r="AM41" s="10"/>
    </row>
    <row r="42" spans="2:41">
      <c r="B42" s="193"/>
      <c r="C42" s="10"/>
      <c r="D42" s="10"/>
      <c r="E42" s="10"/>
      <c r="F42" s="10"/>
      <c r="M42" s="148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48"/>
      <c r="X42">
        <v>6921</v>
      </c>
      <c r="Y42" s="17">
        <f t="shared" si="3"/>
        <v>4.071176470588235E-2</v>
      </c>
      <c r="AG42" s="148"/>
      <c r="AH42">
        <v>13077</v>
      </c>
      <c r="AI42" s="17">
        <f t="shared" si="4"/>
        <v>5.8905405405405405E-2</v>
      </c>
    </row>
    <row r="43" spans="2:41">
      <c r="B43" s="193"/>
      <c r="C43" s="10">
        <v>34</v>
      </c>
      <c r="D43" s="10"/>
      <c r="E43" s="10"/>
      <c r="M43" s="148"/>
      <c r="O43" s="17">
        <f t="shared" si="2"/>
        <v>0</v>
      </c>
      <c r="W43" s="148"/>
      <c r="X43">
        <v>1053</v>
      </c>
      <c r="Y43" s="17">
        <f t="shared" si="3"/>
        <v>6.1941176470588239E-3</v>
      </c>
      <c r="AG43" s="148"/>
      <c r="AI43" s="17">
        <f t="shared" si="4"/>
        <v>0</v>
      </c>
    </row>
    <row r="44" spans="2:41">
      <c r="B44" s="193"/>
      <c r="C44" s="10">
        <v>13.2</v>
      </c>
      <c r="D44" s="10"/>
      <c r="E44" s="10"/>
      <c r="F44" s="10"/>
      <c r="M44" s="148"/>
      <c r="N44">
        <v>19.2</v>
      </c>
      <c r="O44" s="17">
        <f t="shared" si="2"/>
        <v>0.13714285714285715</v>
      </c>
      <c r="W44" s="148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48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193"/>
      <c r="C45" s="10">
        <v>8.1</v>
      </c>
      <c r="D45" s="10"/>
      <c r="E45" s="10"/>
      <c r="F45" s="10"/>
      <c r="M45" s="148"/>
      <c r="N45">
        <v>-1.9</v>
      </c>
      <c r="O45" s="17">
        <f t="shared" si="2"/>
        <v>-1.3571428571428571E-2</v>
      </c>
      <c r="W45" s="148"/>
      <c r="X45">
        <v>13430</v>
      </c>
      <c r="Y45" s="17">
        <f t="shared" si="3"/>
        <v>7.9000000000000001E-2</v>
      </c>
      <c r="AG45" s="148"/>
      <c r="AH45">
        <v>229</v>
      </c>
      <c r="AI45" s="17">
        <f t="shared" si="4"/>
        <v>1.0315315315315315E-3</v>
      </c>
    </row>
    <row r="46" spans="2:41">
      <c r="B46" s="193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48"/>
      <c r="N46">
        <v>22.3</v>
      </c>
      <c r="O46" s="17">
        <f t="shared" si="2"/>
        <v>0.15928571428571428</v>
      </c>
      <c r="W46" s="148"/>
      <c r="X46">
        <v>-13924</v>
      </c>
      <c r="Y46" s="17">
        <f t="shared" si="3"/>
        <v>-8.1905882352941176E-2</v>
      </c>
      <c r="AG46" s="148"/>
      <c r="AH46">
        <v>19551</v>
      </c>
      <c r="AI46" s="17">
        <f t="shared" si="4"/>
        <v>8.8067567567567562E-2</v>
      </c>
    </row>
    <row r="47" spans="2:41">
      <c r="B47" s="193"/>
      <c r="C47" s="10">
        <v>29.2</v>
      </c>
      <c r="D47" s="10"/>
      <c r="E47" s="10"/>
      <c r="F47" s="10"/>
      <c r="G47" s="10"/>
      <c r="H47" s="10"/>
      <c r="M47" s="148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48"/>
      <c r="X47">
        <v>15018</v>
      </c>
      <c r="Y47" s="17">
        <f t="shared" si="3"/>
        <v>8.8341176470588229E-2</v>
      </c>
      <c r="AG47" s="148"/>
      <c r="AH47">
        <v>16372</v>
      </c>
      <c r="AI47" s="17">
        <f t="shared" si="4"/>
        <v>7.3747747747747741E-2</v>
      </c>
    </row>
    <row r="48" spans="2:41">
      <c r="B48" s="193"/>
      <c r="C48" s="10">
        <v>6.4</v>
      </c>
      <c r="D48" s="10"/>
      <c r="E48" s="10"/>
      <c r="F48" s="10"/>
      <c r="G48" s="10"/>
      <c r="H48" s="10"/>
      <c r="M48" s="148"/>
      <c r="N48">
        <v>16.3</v>
      </c>
      <c r="O48" s="17">
        <f t="shared" si="2"/>
        <v>0.11642857142857142</v>
      </c>
      <c r="W48" s="148"/>
      <c r="X48">
        <v>13405</v>
      </c>
      <c r="Y48" s="17">
        <f t="shared" si="3"/>
        <v>7.8852941176470584E-2</v>
      </c>
      <c r="AG48" s="148"/>
      <c r="AH48">
        <v>9432</v>
      </c>
      <c r="AI48" s="17">
        <f t="shared" si="4"/>
        <v>4.2486486486486487E-2</v>
      </c>
    </row>
    <row r="49" spans="2:38">
      <c r="B49" s="193"/>
      <c r="C49" s="10">
        <v>37</v>
      </c>
      <c r="D49" s="10"/>
      <c r="E49" s="10"/>
      <c r="F49" s="10"/>
      <c r="G49" s="10"/>
      <c r="H49" s="10"/>
      <c r="M49" s="148"/>
      <c r="N49">
        <v>11.3</v>
      </c>
      <c r="O49" s="17">
        <f t="shared" si="2"/>
        <v>8.0714285714285711E-2</v>
      </c>
      <c r="W49" s="148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48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193"/>
      <c r="C50" s="10">
        <v>4</v>
      </c>
      <c r="D50" s="10"/>
      <c r="E50" s="10"/>
      <c r="F50" s="10"/>
      <c r="G50" s="10"/>
      <c r="H50" s="10"/>
      <c r="M50" s="148"/>
      <c r="N50">
        <v>7.6</v>
      </c>
      <c r="O50" s="17">
        <f t="shared" si="2"/>
        <v>5.4285714285714284E-2</v>
      </c>
      <c r="W50" s="148"/>
      <c r="X50">
        <v>-714</v>
      </c>
      <c r="Y50" s="17">
        <f t="shared" si="3"/>
        <v>-4.1999999999999997E-3</v>
      </c>
      <c r="AG50" s="148"/>
      <c r="AH50">
        <v>13468</v>
      </c>
      <c r="AI50" s="17">
        <f t="shared" si="4"/>
        <v>6.0666666666666667E-2</v>
      </c>
    </row>
    <row r="51" spans="2:38">
      <c r="B51" s="193"/>
      <c r="C51" s="10">
        <v>9.8000000000000007</v>
      </c>
      <c r="D51" s="10"/>
      <c r="E51" s="10"/>
      <c r="F51" s="10"/>
      <c r="G51" s="10"/>
      <c r="H51" s="10"/>
      <c r="M51" s="148"/>
      <c r="N51">
        <v>11.6</v>
      </c>
      <c r="O51" s="17">
        <f t="shared" si="2"/>
        <v>8.2857142857142851E-2</v>
      </c>
      <c r="W51" s="148"/>
      <c r="X51">
        <v>-450</v>
      </c>
      <c r="Y51" s="17">
        <f t="shared" si="3"/>
        <v>-2.6470588235294116E-3</v>
      </c>
      <c r="AG51" s="148"/>
      <c r="AH51">
        <v>9439</v>
      </c>
      <c r="AI51" s="17">
        <f t="shared" si="4"/>
        <v>4.2518018018018015E-2</v>
      </c>
    </row>
    <row r="52" spans="2:38">
      <c r="B52" s="193" t="s">
        <v>21</v>
      </c>
      <c r="C52" s="10"/>
      <c r="D52" s="10"/>
      <c r="E52" s="10">
        <f>SUM(C52:C56)</f>
        <v>0</v>
      </c>
      <c r="F52" s="10"/>
      <c r="G52" s="10"/>
      <c r="H52" s="10"/>
      <c r="M52" s="148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48"/>
      <c r="X52">
        <v>51238</v>
      </c>
      <c r="Y52" s="17">
        <f t="shared" si="3"/>
        <v>0.3014</v>
      </c>
      <c r="AG52" s="148"/>
      <c r="AH52">
        <v>23888</v>
      </c>
      <c r="AI52" s="17">
        <f t="shared" si="4"/>
        <v>0.1076036036036036</v>
      </c>
    </row>
    <row r="53" spans="2:38">
      <c r="B53" s="193"/>
      <c r="C53" s="10"/>
      <c r="D53" s="10"/>
      <c r="E53" s="10"/>
      <c r="F53" s="10"/>
      <c r="G53" s="10"/>
      <c r="H53" s="10"/>
      <c r="M53" s="148"/>
      <c r="O53" s="17">
        <f t="shared" si="2"/>
        <v>0</v>
      </c>
      <c r="W53" s="148"/>
      <c r="Y53" s="17">
        <f t="shared" si="3"/>
        <v>0</v>
      </c>
      <c r="AG53" s="148"/>
      <c r="AH53">
        <v>7555</v>
      </c>
      <c r="AI53" s="17">
        <f t="shared" si="4"/>
        <v>3.4031531531531531E-2</v>
      </c>
    </row>
    <row r="54" spans="2:38">
      <c r="B54" s="193"/>
      <c r="C54" s="10"/>
      <c r="D54" s="10"/>
      <c r="E54" s="10"/>
      <c r="F54" s="10"/>
      <c r="G54" s="10"/>
      <c r="H54" s="10"/>
      <c r="M54" s="148"/>
      <c r="O54" s="17">
        <f t="shared" si="2"/>
        <v>0</v>
      </c>
      <c r="W54" s="148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48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193"/>
      <c r="C55" s="10"/>
      <c r="D55" s="10"/>
      <c r="E55" s="10"/>
      <c r="F55" s="10"/>
      <c r="G55" s="10"/>
      <c r="H55" s="10"/>
      <c r="M55" s="148"/>
      <c r="O55" s="17">
        <f t="shared" si="2"/>
        <v>0</v>
      </c>
      <c r="W55" s="148"/>
      <c r="X55">
        <v>21835</v>
      </c>
      <c r="Y55" s="17">
        <f t="shared" si="3"/>
        <v>0.12844117647058823</v>
      </c>
      <c r="AG55" s="148"/>
      <c r="AH55">
        <v>14479</v>
      </c>
      <c r="AI55" s="17">
        <f t="shared" si="4"/>
        <v>6.5220720720720715E-2</v>
      </c>
    </row>
    <row r="56" spans="2:38">
      <c r="B56" s="193"/>
      <c r="C56" s="10"/>
      <c r="D56" s="10"/>
      <c r="E56" s="10"/>
      <c r="F56" s="10"/>
      <c r="G56" s="10"/>
      <c r="H56" s="10"/>
      <c r="M56" s="148"/>
      <c r="O56" s="17">
        <f t="shared" si="2"/>
        <v>0</v>
      </c>
      <c r="W56" s="148"/>
      <c r="X56">
        <v>12411</v>
      </c>
      <c r="Y56" s="17">
        <f t="shared" si="3"/>
        <v>7.300588235294117E-2</v>
      </c>
      <c r="AG56" s="148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48"/>
      <c r="Y57" s="17">
        <f t="shared" si="3"/>
        <v>0</v>
      </c>
      <c r="AG57" s="148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48"/>
      <c r="Y58" s="17">
        <f t="shared" si="3"/>
        <v>0</v>
      </c>
      <c r="AG58" s="148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total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2025-02-28T10:52:55Z</dcterms:modified>
</cp:coreProperties>
</file>