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05993A88-A154-C747-B3D2-5C0A28364C99}" xr6:coauthVersionLast="47" xr6:coauthVersionMax="47" xr10:uidLastSave="{00000000-0000-0000-0000-000000000000}"/>
  <bookViews>
    <workbookView xWindow="0" yWindow="760" windowWidth="34560" windowHeight="20340" activeTab="1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5" i="1" l="1"/>
  <c r="AF12" i="1"/>
  <c r="AF11" i="1" s="1"/>
  <c r="AF23" i="1" s="1"/>
  <c r="AF20" i="1"/>
  <c r="AF9" i="1"/>
  <c r="AF24" i="1" s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T24" i="37"/>
  <c r="R24" i="37"/>
  <c r="O31" i="37"/>
  <c r="O29" i="37"/>
  <c r="E5" i="45"/>
  <c r="G5" i="45" s="1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27" i="1" l="1"/>
  <c r="AF21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J6" i="51" l="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I63" i="1" l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<sst xmlns="http://schemas.openxmlformats.org/spreadsheetml/2006/main" count="5794" uniqueCount="3570">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</sst>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06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32" fillId="16" borderId="0" xfId="0" applyFont="1" applyFill="1"/>
    <xf numFmtId="0" fontId="36" fillId="16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G5" sqref="AG5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tabSelected="1" workbookViewId="0">
      <selection activeCell="H11" sqref="H11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8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58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58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58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58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58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58"/>
      <c r="C3">
        <v>25900</v>
      </c>
      <c r="D3" s="17">
        <f>C3*100/D$1</f>
        <v>0.12333333333333334</v>
      </c>
      <c r="G3" t="s">
        <v>22</v>
      </c>
      <c r="H3">
        <v>86000</v>
      </c>
      <c r="L3" s="158"/>
      <c r="N3" s="17">
        <f>M3*100/N$1</f>
        <v>0</v>
      </c>
      <c r="Q3" t="s">
        <v>22</v>
      </c>
      <c r="R3">
        <v>86000</v>
      </c>
      <c r="V3" s="158"/>
      <c r="X3" s="17">
        <f>W3*100/X$1</f>
        <v>0</v>
      </c>
      <c r="AA3" t="s">
        <v>22</v>
      </c>
      <c r="AB3">
        <v>86000</v>
      </c>
      <c r="AG3" s="158"/>
      <c r="AI3" s="17">
        <f>AH3*100/AI$1</f>
        <v>0</v>
      </c>
      <c r="AL3" t="s">
        <v>22</v>
      </c>
      <c r="AM3">
        <v>86000</v>
      </c>
      <c r="AQ3" s="158"/>
      <c r="AS3" s="17">
        <f>AR3*100/AS$1</f>
        <v>0</v>
      </c>
      <c r="AV3" t="s">
        <v>22</v>
      </c>
      <c r="AW3">
        <v>86000</v>
      </c>
      <c r="BA3" s="158"/>
      <c r="BC3" s="17">
        <f>BB3*100/BC$1</f>
        <v>0</v>
      </c>
      <c r="BF3" t="s">
        <v>22</v>
      </c>
      <c r="BG3">
        <v>86000</v>
      </c>
    </row>
    <row r="4" spans="2:61">
      <c r="B4" s="158"/>
      <c r="D4" s="17">
        <f t="shared" ref="D4" si="0">C4*100/D$1</f>
        <v>0</v>
      </c>
      <c r="G4" t="s">
        <v>26</v>
      </c>
      <c r="H4">
        <f>C29</f>
        <v>-703985</v>
      </c>
      <c r="L4" s="158"/>
      <c r="N4" s="17">
        <f t="shared" ref="N4" si="1">M4*100/N$1</f>
        <v>0</v>
      </c>
      <c r="Q4" t="s">
        <v>26</v>
      </c>
      <c r="R4">
        <f>M29</f>
        <v>0</v>
      </c>
      <c r="V4" s="158"/>
      <c r="X4" s="17">
        <f t="shared" ref="X4" si="2">W4*100/X$1</f>
        <v>0</v>
      </c>
      <c r="AA4" t="s">
        <v>26</v>
      </c>
      <c r="AB4">
        <f>W29</f>
        <v>0</v>
      </c>
      <c r="AG4" s="158"/>
      <c r="AI4" s="17">
        <f t="shared" ref="AI4" si="3">AH4*100/AI$1</f>
        <v>0</v>
      </c>
      <c r="AL4" t="s">
        <v>26</v>
      </c>
      <c r="AM4">
        <f>AH29</f>
        <v>0</v>
      </c>
      <c r="AQ4" s="158"/>
      <c r="AS4" s="17">
        <f t="shared" ref="AS4" si="4">AR4*100/AS$1</f>
        <v>0</v>
      </c>
      <c r="AV4" t="s">
        <v>26</v>
      </c>
      <c r="AW4">
        <f>AR29</f>
        <v>0</v>
      </c>
      <c r="BA4" s="158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58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58"/>
      <c r="N5" s="17">
        <f>M5*100/N$1</f>
        <v>0</v>
      </c>
      <c r="Q5" t="s">
        <v>178</v>
      </c>
      <c r="R5">
        <f>5250+14380</f>
        <v>19630</v>
      </c>
      <c r="V5" s="158"/>
      <c r="X5" s="17">
        <f>W5*100/X$1</f>
        <v>0</v>
      </c>
      <c r="AA5" t="s">
        <v>178</v>
      </c>
      <c r="AB5">
        <f>5250+14380</f>
        <v>19630</v>
      </c>
      <c r="AG5" s="158"/>
      <c r="AI5" s="17">
        <f>AH5*100/AI$1</f>
        <v>0</v>
      </c>
      <c r="AL5" t="s">
        <v>178</v>
      </c>
      <c r="AM5">
        <f>5250+14380</f>
        <v>19630</v>
      </c>
      <c r="AQ5" s="158"/>
      <c r="AS5" s="17">
        <f>AR5*100/AS$1</f>
        <v>0</v>
      </c>
      <c r="AV5" t="s">
        <v>178</v>
      </c>
      <c r="AW5">
        <f>5250+14380</f>
        <v>19630</v>
      </c>
      <c r="BA5" s="158"/>
      <c r="BC5" s="17">
        <f>BB5*100/BC$1</f>
        <v>0</v>
      </c>
      <c r="BF5" t="s">
        <v>178</v>
      </c>
      <c r="BG5">
        <f>5250+14380</f>
        <v>19630</v>
      </c>
    </row>
    <row r="6" spans="2:61">
      <c r="B6" s="158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-596355</v>
      </c>
      <c r="L6" s="158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58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58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58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58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58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-301355</v>
      </c>
      <c r="L7" s="158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58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58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58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58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58"/>
      <c r="C8">
        <v>-764031</v>
      </c>
      <c r="D8" s="17">
        <f t="shared" si="6"/>
        <v>-3.6382428571428571</v>
      </c>
      <c r="H8" s="3"/>
      <c r="L8" s="158"/>
      <c r="N8" s="17">
        <f t="shared" si="7"/>
        <v>0</v>
      </c>
      <c r="R8" s="3"/>
      <c r="V8" s="158"/>
      <c r="X8" s="17">
        <f t="shared" si="8"/>
        <v>0</v>
      </c>
      <c r="AB8" s="3"/>
      <c r="AG8" s="158"/>
      <c r="AI8" s="17">
        <f t="shared" si="9"/>
        <v>0</v>
      </c>
      <c r="AM8" s="3"/>
      <c r="AQ8" s="158"/>
      <c r="AS8" s="17">
        <f t="shared" si="10"/>
        <v>0</v>
      </c>
      <c r="AW8" s="3"/>
      <c r="BA8" s="158"/>
      <c r="BC8" s="17">
        <f t="shared" si="11"/>
        <v>0</v>
      </c>
      <c r="BG8" s="3"/>
    </row>
    <row r="9" spans="2:61">
      <c r="B9" s="158"/>
      <c r="C9">
        <v>17268</v>
      </c>
      <c r="D9" s="17">
        <f t="shared" si="6"/>
        <v>8.2228571428571429E-2</v>
      </c>
      <c r="H9" s="10"/>
      <c r="L9" s="158"/>
      <c r="N9" s="17">
        <f t="shared" si="7"/>
        <v>0</v>
      </c>
      <c r="R9" s="10"/>
      <c r="V9" s="158"/>
      <c r="X9" s="17">
        <f t="shared" si="8"/>
        <v>0</v>
      </c>
      <c r="AB9" s="10"/>
      <c r="AG9" s="158"/>
      <c r="AI9" s="17">
        <f t="shared" si="9"/>
        <v>0</v>
      </c>
      <c r="AM9" s="10"/>
      <c r="AQ9" s="158"/>
      <c r="AS9" s="17">
        <f t="shared" si="10"/>
        <v>0</v>
      </c>
      <c r="AW9" s="10"/>
      <c r="BA9" s="158"/>
      <c r="BC9" s="17">
        <f t="shared" si="11"/>
        <v>0</v>
      </c>
      <c r="BG9" s="10"/>
    </row>
    <row r="10" spans="2:61">
      <c r="B10" s="158"/>
      <c r="D10" s="17">
        <f t="shared" si="6"/>
        <v>0</v>
      </c>
      <c r="L10" s="158"/>
      <c r="N10" s="17">
        <f t="shared" si="7"/>
        <v>0</v>
      </c>
      <c r="V10" s="158"/>
      <c r="X10" s="17">
        <f t="shared" si="8"/>
        <v>0</v>
      </c>
      <c r="AG10" s="158"/>
      <c r="AI10" s="17">
        <f t="shared" si="9"/>
        <v>0</v>
      </c>
      <c r="AQ10" s="158"/>
      <c r="AS10" s="17">
        <f t="shared" si="10"/>
        <v>0</v>
      </c>
      <c r="BA10" s="158"/>
      <c r="BC10" s="17">
        <f t="shared" si="11"/>
        <v>0</v>
      </c>
    </row>
    <row r="11" spans="2:61">
      <c r="B11" s="158"/>
      <c r="D11" s="17">
        <f t="shared" si="6"/>
        <v>0</v>
      </c>
      <c r="L11" s="158"/>
      <c r="N11" s="17">
        <f t="shared" si="7"/>
        <v>0</v>
      </c>
      <c r="V11" s="158"/>
      <c r="X11" s="17">
        <f t="shared" si="8"/>
        <v>0</v>
      </c>
      <c r="AG11" s="158"/>
      <c r="AI11" s="17">
        <f t="shared" si="9"/>
        <v>0</v>
      </c>
      <c r="AQ11" s="158"/>
      <c r="AS11" s="17">
        <f t="shared" si="10"/>
        <v>0</v>
      </c>
      <c r="BA11" s="158"/>
      <c r="BC11" s="17">
        <f t="shared" si="11"/>
        <v>0</v>
      </c>
    </row>
    <row r="12" spans="2:61">
      <c r="B12" s="158" t="s">
        <v>19</v>
      </c>
      <c r="D12" s="17">
        <f t="shared" si="6"/>
        <v>0</v>
      </c>
      <c r="E12">
        <f>SUM(C12:C16)</f>
        <v>0</v>
      </c>
      <c r="F12" s="17">
        <f>E12*100/D1</f>
        <v>0</v>
      </c>
      <c r="L12" s="158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58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58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58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58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58"/>
      <c r="D13" s="17">
        <f t="shared" si="6"/>
        <v>0</v>
      </c>
      <c r="L13" s="158"/>
      <c r="N13" s="17">
        <f t="shared" si="7"/>
        <v>0</v>
      </c>
      <c r="V13" s="158"/>
      <c r="X13" s="17">
        <f t="shared" si="8"/>
        <v>0</v>
      </c>
      <c r="AG13" s="158"/>
      <c r="AI13" s="17">
        <f t="shared" si="9"/>
        <v>0</v>
      </c>
      <c r="AQ13" s="158"/>
      <c r="AS13" s="17">
        <f t="shared" si="10"/>
        <v>0</v>
      </c>
      <c r="BA13" s="158"/>
      <c r="BC13" s="17">
        <f t="shared" si="11"/>
        <v>0</v>
      </c>
    </row>
    <row r="14" spans="2:61">
      <c r="B14" s="158"/>
      <c r="D14" s="17">
        <f t="shared" si="6"/>
        <v>0</v>
      </c>
      <c r="L14" s="158"/>
      <c r="N14" s="17">
        <f t="shared" si="7"/>
        <v>0</v>
      </c>
      <c r="V14" s="158"/>
      <c r="X14" s="17">
        <f t="shared" si="8"/>
        <v>0</v>
      </c>
      <c r="AG14" s="158"/>
      <c r="AI14" s="17">
        <f t="shared" si="9"/>
        <v>0</v>
      </c>
      <c r="AQ14" s="158"/>
      <c r="AS14" s="17">
        <f t="shared" si="10"/>
        <v>0</v>
      </c>
      <c r="BA14" s="158"/>
      <c r="BC14" s="17">
        <f t="shared" si="11"/>
        <v>0</v>
      </c>
    </row>
    <row r="15" spans="2:61">
      <c r="B15" s="158"/>
      <c r="D15" s="17">
        <f t="shared" si="6"/>
        <v>0</v>
      </c>
      <c r="L15" s="158"/>
      <c r="N15" s="17">
        <f t="shared" si="7"/>
        <v>0</v>
      </c>
      <c r="V15" s="158"/>
      <c r="X15" s="17">
        <f t="shared" si="8"/>
        <v>0</v>
      </c>
      <c r="AG15" s="158"/>
      <c r="AI15" s="17">
        <f t="shared" si="9"/>
        <v>0</v>
      </c>
      <c r="AQ15" s="158"/>
      <c r="AS15" s="17">
        <f t="shared" si="10"/>
        <v>0</v>
      </c>
      <c r="BA15" s="158"/>
      <c r="BC15" s="17">
        <f t="shared" si="11"/>
        <v>0</v>
      </c>
    </row>
    <row r="16" spans="2:61">
      <c r="B16" s="158"/>
      <c r="D16" s="17">
        <f t="shared" si="6"/>
        <v>0</v>
      </c>
      <c r="L16" s="158"/>
      <c r="N16" s="17">
        <f t="shared" si="7"/>
        <v>0</v>
      </c>
      <c r="V16" s="158"/>
      <c r="X16" s="17">
        <f t="shared" si="8"/>
        <v>0</v>
      </c>
      <c r="AG16" s="158"/>
      <c r="AI16" s="17">
        <f t="shared" si="9"/>
        <v>0</v>
      </c>
      <c r="AQ16" s="158"/>
      <c r="AS16" s="17">
        <f t="shared" si="10"/>
        <v>0</v>
      </c>
      <c r="BA16" s="158"/>
      <c r="BC16" s="17">
        <f t="shared" si="11"/>
        <v>0</v>
      </c>
    </row>
    <row r="17" spans="2:58">
      <c r="B17" s="158" t="s">
        <v>20</v>
      </c>
      <c r="D17" s="17">
        <f t="shared" si="6"/>
        <v>0</v>
      </c>
      <c r="E17">
        <f>SUM(C17:C21)</f>
        <v>0</v>
      </c>
      <c r="F17" s="17">
        <f>E17*100/D1</f>
        <v>0</v>
      </c>
      <c r="L17" s="158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58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58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58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58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58"/>
      <c r="D18" s="17">
        <f t="shared" si="6"/>
        <v>0</v>
      </c>
      <c r="L18" s="158"/>
      <c r="N18" s="17">
        <f t="shared" si="7"/>
        <v>0</v>
      </c>
      <c r="V18" s="158"/>
      <c r="X18" s="17">
        <f t="shared" si="8"/>
        <v>0</v>
      </c>
      <c r="AG18" s="158"/>
      <c r="AI18" s="17">
        <f t="shared" si="9"/>
        <v>0</v>
      </c>
      <c r="AQ18" s="158"/>
      <c r="AS18" s="17">
        <f t="shared" si="10"/>
        <v>0</v>
      </c>
      <c r="BA18" s="158"/>
      <c r="BC18" s="17">
        <f t="shared" si="11"/>
        <v>0</v>
      </c>
    </row>
    <row r="19" spans="2:58">
      <c r="B19" s="158"/>
      <c r="D19" s="17">
        <f t="shared" si="6"/>
        <v>0</v>
      </c>
      <c r="L19" s="158"/>
      <c r="N19" s="17">
        <f t="shared" si="7"/>
        <v>0</v>
      </c>
      <c r="V19" s="158"/>
      <c r="X19" s="17">
        <f t="shared" si="8"/>
        <v>0</v>
      </c>
      <c r="AG19" s="158"/>
      <c r="AI19" s="17">
        <f t="shared" si="9"/>
        <v>0</v>
      </c>
      <c r="AQ19" s="158"/>
      <c r="AS19" s="17">
        <f t="shared" si="10"/>
        <v>0</v>
      </c>
      <c r="BA19" s="158"/>
      <c r="BC19" s="17">
        <f t="shared" si="11"/>
        <v>0</v>
      </c>
    </row>
    <row r="20" spans="2:58">
      <c r="B20" s="158"/>
      <c r="D20" s="17">
        <f t="shared" si="6"/>
        <v>0</v>
      </c>
      <c r="L20" s="158"/>
      <c r="N20" s="17">
        <f t="shared" si="7"/>
        <v>0</v>
      </c>
      <c r="V20" s="158"/>
      <c r="X20" s="17">
        <f t="shared" si="8"/>
        <v>0</v>
      </c>
      <c r="AG20" s="158"/>
      <c r="AI20" s="17">
        <f t="shared" si="9"/>
        <v>0</v>
      </c>
      <c r="AQ20" s="158"/>
      <c r="AS20" s="17">
        <f t="shared" si="10"/>
        <v>0</v>
      </c>
      <c r="BA20" s="158"/>
      <c r="BC20" s="17">
        <f t="shared" si="11"/>
        <v>0</v>
      </c>
    </row>
    <row r="21" spans="2:58">
      <c r="B21" s="158"/>
      <c r="D21" s="17">
        <f t="shared" si="6"/>
        <v>0</v>
      </c>
      <c r="L21" s="158"/>
      <c r="N21" s="17">
        <f t="shared" si="7"/>
        <v>0</v>
      </c>
      <c r="V21" s="158"/>
      <c r="X21" s="17">
        <f t="shared" si="8"/>
        <v>0</v>
      </c>
      <c r="AG21" s="158"/>
      <c r="AI21" s="17">
        <f t="shared" si="9"/>
        <v>0</v>
      </c>
      <c r="AQ21" s="158"/>
      <c r="AS21" s="17">
        <f t="shared" si="10"/>
        <v>0</v>
      </c>
      <c r="BA21" s="158"/>
      <c r="BC21" s="17">
        <f t="shared" si="11"/>
        <v>0</v>
      </c>
    </row>
    <row r="22" spans="2:58">
      <c r="B22" s="158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L22" s="158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58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58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58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58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58"/>
      <c r="D23" s="17">
        <f t="shared" si="6"/>
        <v>0</v>
      </c>
      <c r="L23" s="158"/>
      <c r="N23" s="17">
        <f t="shared" si="7"/>
        <v>0</v>
      </c>
      <c r="V23" s="158"/>
      <c r="X23" s="17">
        <f t="shared" si="8"/>
        <v>0</v>
      </c>
      <c r="AG23" s="158"/>
      <c r="AI23" s="17">
        <f t="shared" si="9"/>
        <v>0</v>
      </c>
      <c r="AQ23" s="158"/>
      <c r="AS23" s="17">
        <f t="shared" si="10"/>
        <v>0</v>
      </c>
      <c r="BA23" s="158"/>
      <c r="BC23" s="17">
        <f t="shared" si="11"/>
        <v>0</v>
      </c>
    </row>
    <row r="24" spans="2:58">
      <c r="B24" s="158"/>
      <c r="D24" s="17">
        <f t="shared" si="6"/>
        <v>0</v>
      </c>
      <c r="L24" s="158"/>
      <c r="N24" s="17">
        <f t="shared" si="7"/>
        <v>0</v>
      </c>
      <c r="V24" s="158"/>
      <c r="X24" s="17">
        <f t="shared" si="8"/>
        <v>0</v>
      </c>
      <c r="AG24" s="158"/>
      <c r="AI24" s="17">
        <f t="shared" si="9"/>
        <v>0</v>
      </c>
      <c r="AQ24" s="158"/>
      <c r="AS24" s="17">
        <f t="shared" si="10"/>
        <v>0</v>
      </c>
      <c r="BA24" s="158"/>
      <c r="BC24" s="17">
        <f t="shared" si="11"/>
        <v>0</v>
      </c>
    </row>
    <row r="25" spans="2:58">
      <c r="B25" s="158"/>
      <c r="D25" s="17">
        <f t="shared" si="6"/>
        <v>0</v>
      </c>
      <c r="L25" s="158"/>
      <c r="N25" s="17">
        <f t="shared" si="7"/>
        <v>0</v>
      </c>
      <c r="V25" s="158"/>
      <c r="X25" s="17">
        <f t="shared" si="8"/>
        <v>0</v>
      </c>
      <c r="AG25" s="158"/>
      <c r="AI25" s="17">
        <f t="shared" si="9"/>
        <v>0</v>
      </c>
      <c r="AQ25" s="158"/>
      <c r="AS25" s="17">
        <f t="shared" si="10"/>
        <v>0</v>
      </c>
      <c r="BA25" s="158"/>
      <c r="BC25" s="17">
        <f t="shared" si="11"/>
        <v>0</v>
      </c>
    </row>
    <row r="26" spans="2:58">
      <c r="B26" s="158"/>
      <c r="D26" s="17">
        <f t="shared" si="6"/>
        <v>0</v>
      </c>
      <c r="L26" s="158"/>
      <c r="N26" s="17">
        <f t="shared" si="7"/>
        <v>0</v>
      </c>
      <c r="V26" s="158"/>
      <c r="X26" s="17">
        <f t="shared" si="8"/>
        <v>0</v>
      </c>
      <c r="AG26" s="158"/>
      <c r="AI26" s="17">
        <f t="shared" si="9"/>
        <v>0</v>
      </c>
      <c r="AQ26" s="158"/>
      <c r="AS26" s="17">
        <f t="shared" si="10"/>
        <v>0</v>
      </c>
      <c r="BA26" s="158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-703985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-3.3523095238095237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-2.8397857142857141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8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58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58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58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58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58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58"/>
      <c r="D35" s="17">
        <f t="shared" ref="D35:D58" si="12">C35*100/D$33</f>
        <v>0</v>
      </c>
      <c r="G35" t="s">
        <v>22</v>
      </c>
      <c r="H35">
        <v>83000</v>
      </c>
      <c r="L35" s="158"/>
      <c r="N35" s="17">
        <f t="shared" ref="N35:N58" si="13">M35*100/N$33</f>
        <v>0</v>
      </c>
      <c r="Q35" t="s">
        <v>22</v>
      </c>
      <c r="R35">
        <v>83000</v>
      </c>
      <c r="V35" s="158"/>
      <c r="X35" s="17">
        <f t="shared" ref="X35:X58" si="14">W35*100/X$33</f>
        <v>0</v>
      </c>
      <c r="AA35" t="s">
        <v>22</v>
      </c>
      <c r="AB35">
        <v>83000</v>
      </c>
      <c r="AG35" s="158"/>
      <c r="AI35" s="17">
        <f t="shared" ref="AI35:AI58" si="15">AH35*100/AI$33</f>
        <v>0</v>
      </c>
      <c r="AL35" t="s">
        <v>22</v>
      </c>
      <c r="AM35">
        <v>83000</v>
      </c>
      <c r="AQ35" s="158"/>
      <c r="AS35" s="17">
        <f t="shared" ref="AS35:AS58" si="16">AR35*100/AS$33</f>
        <v>0</v>
      </c>
      <c r="AV35" t="s">
        <v>22</v>
      </c>
      <c r="AW35">
        <v>83000</v>
      </c>
      <c r="BA35" s="158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58"/>
      <c r="D36" s="17">
        <f t="shared" si="12"/>
        <v>0</v>
      </c>
      <c r="G36" t="s">
        <v>26</v>
      </c>
      <c r="H36">
        <f>C61</f>
        <v>0</v>
      </c>
      <c r="L36" s="158"/>
      <c r="N36" s="17">
        <f t="shared" si="13"/>
        <v>0</v>
      </c>
      <c r="Q36" t="s">
        <v>26</v>
      </c>
      <c r="R36">
        <f>M61</f>
        <v>0</v>
      </c>
      <c r="V36" s="158"/>
      <c r="X36" s="17">
        <f t="shared" si="14"/>
        <v>0</v>
      </c>
      <c r="AA36" t="s">
        <v>26</v>
      </c>
      <c r="AB36">
        <f>W61</f>
        <v>0</v>
      </c>
      <c r="AG36" s="158"/>
      <c r="AI36" s="17">
        <f t="shared" si="15"/>
        <v>0</v>
      </c>
      <c r="AL36" t="s">
        <v>26</v>
      </c>
      <c r="AM36">
        <f>AH61</f>
        <v>0</v>
      </c>
      <c r="AQ36" s="158"/>
      <c r="AS36" s="17">
        <f t="shared" si="16"/>
        <v>0</v>
      </c>
      <c r="AV36" t="s">
        <v>26</v>
      </c>
      <c r="AW36">
        <f>AR61</f>
        <v>0</v>
      </c>
      <c r="BA36" s="158"/>
      <c r="BC36" s="17">
        <f t="shared" si="17"/>
        <v>0</v>
      </c>
      <c r="BF36" t="s">
        <v>26</v>
      </c>
      <c r="BG36">
        <f>BB61</f>
        <v>0</v>
      </c>
    </row>
    <row r="37" spans="2:61">
      <c r="B37" s="158"/>
      <c r="D37" s="17">
        <f t="shared" si="12"/>
        <v>0</v>
      </c>
      <c r="G37" t="s">
        <v>178</v>
      </c>
      <c r="H37">
        <v>0</v>
      </c>
      <c r="L37" s="158"/>
      <c r="N37" s="17">
        <f t="shared" si="13"/>
        <v>0</v>
      </c>
      <c r="Q37" t="s">
        <v>178</v>
      </c>
      <c r="R37">
        <v>0</v>
      </c>
      <c r="V37" s="158"/>
      <c r="X37" s="17">
        <f t="shared" si="14"/>
        <v>0</v>
      </c>
      <c r="AA37" t="s">
        <v>178</v>
      </c>
      <c r="AB37">
        <v>0</v>
      </c>
      <c r="AG37" s="158"/>
      <c r="AI37" s="17">
        <f t="shared" si="15"/>
        <v>0</v>
      </c>
      <c r="AL37" t="s">
        <v>178</v>
      </c>
      <c r="AM37">
        <v>0</v>
      </c>
      <c r="AQ37" s="158"/>
      <c r="AS37" s="17">
        <f t="shared" si="16"/>
        <v>0</v>
      </c>
      <c r="AV37" t="s">
        <v>178</v>
      </c>
      <c r="AW37">
        <v>0</v>
      </c>
      <c r="BA37" s="158"/>
      <c r="BC37" s="17">
        <f t="shared" si="17"/>
        <v>0</v>
      </c>
      <c r="BF37" t="s">
        <v>178</v>
      </c>
      <c r="BG37">
        <v>0</v>
      </c>
    </row>
    <row r="38" spans="2:61">
      <c r="B38" s="158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58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58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58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58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58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58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58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58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58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58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58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58"/>
      <c r="D40" s="17">
        <f t="shared" si="12"/>
        <v>0</v>
      </c>
      <c r="L40" s="158"/>
      <c r="N40" s="17">
        <f t="shared" si="13"/>
        <v>0</v>
      </c>
      <c r="V40" s="158"/>
      <c r="X40" s="17">
        <f t="shared" si="14"/>
        <v>0</v>
      </c>
      <c r="AG40" s="158"/>
      <c r="AI40" s="17">
        <f t="shared" si="15"/>
        <v>0</v>
      </c>
      <c r="AQ40" s="158"/>
      <c r="AS40" s="17">
        <f t="shared" si="16"/>
        <v>0</v>
      </c>
      <c r="BA40" s="158"/>
      <c r="BC40" s="17">
        <f t="shared" si="17"/>
        <v>0</v>
      </c>
    </row>
    <row r="41" spans="2:61">
      <c r="B41" s="158"/>
      <c r="D41" s="17">
        <f t="shared" si="12"/>
        <v>0</v>
      </c>
      <c r="H41" s="10"/>
      <c r="L41" s="158"/>
      <c r="N41" s="17">
        <f t="shared" si="13"/>
        <v>0</v>
      </c>
      <c r="R41" s="10"/>
      <c r="V41" s="158"/>
      <c r="X41" s="17">
        <f t="shared" si="14"/>
        <v>0</v>
      </c>
      <c r="AB41" s="10"/>
      <c r="AG41" s="158"/>
      <c r="AI41" s="17">
        <f t="shared" si="15"/>
        <v>0</v>
      </c>
      <c r="AM41" s="10"/>
      <c r="AQ41" s="158"/>
      <c r="AS41" s="17">
        <f t="shared" si="16"/>
        <v>0</v>
      </c>
      <c r="AW41" s="10"/>
      <c r="BA41" s="158"/>
      <c r="BC41" s="17">
        <f t="shared" si="17"/>
        <v>0</v>
      </c>
      <c r="BG41" s="10"/>
    </row>
    <row r="42" spans="2:61">
      <c r="B42" s="158"/>
      <c r="D42" s="17">
        <f t="shared" si="12"/>
        <v>0</v>
      </c>
      <c r="L42" s="158"/>
      <c r="N42" s="17">
        <f t="shared" si="13"/>
        <v>0</v>
      </c>
      <c r="V42" s="158"/>
      <c r="X42" s="17">
        <f t="shared" si="14"/>
        <v>0</v>
      </c>
      <c r="AG42" s="158"/>
      <c r="AI42" s="17">
        <f t="shared" si="15"/>
        <v>0</v>
      </c>
      <c r="AQ42" s="158"/>
      <c r="AS42" s="17">
        <f t="shared" si="16"/>
        <v>0</v>
      </c>
      <c r="BA42" s="158"/>
      <c r="BC42" s="17">
        <f t="shared" si="17"/>
        <v>0</v>
      </c>
    </row>
    <row r="43" spans="2:61">
      <c r="B43" s="158"/>
      <c r="D43" s="17">
        <f t="shared" si="12"/>
        <v>0</v>
      </c>
      <c r="L43" s="158"/>
      <c r="N43" s="17">
        <f t="shared" si="13"/>
        <v>0</v>
      </c>
      <c r="V43" s="158"/>
      <c r="X43" s="17">
        <f t="shared" si="14"/>
        <v>0</v>
      </c>
      <c r="AG43" s="158"/>
      <c r="AI43" s="17">
        <f t="shared" si="15"/>
        <v>0</v>
      </c>
      <c r="AQ43" s="158"/>
      <c r="AS43" s="17">
        <f t="shared" si="16"/>
        <v>0</v>
      </c>
      <c r="BA43" s="158"/>
      <c r="BC43" s="17">
        <f t="shared" si="17"/>
        <v>0</v>
      </c>
    </row>
    <row r="44" spans="2:61">
      <c r="B44" s="158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58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58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58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58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58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58"/>
      <c r="D45" s="17">
        <f t="shared" si="12"/>
        <v>0</v>
      </c>
      <c r="L45" s="158"/>
      <c r="N45" s="17">
        <f t="shared" si="13"/>
        <v>0</v>
      </c>
      <c r="V45" s="158"/>
      <c r="X45" s="17">
        <f t="shared" si="14"/>
        <v>0</v>
      </c>
      <c r="AG45" s="158"/>
      <c r="AI45" s="17">
        <f t="shared" si="15"/>
        <v>0</v>
      </c>
      <c r="AQ45" s="158"/>
      <c r="AS45" s="17">
        <f t="shared" si="16"/>
        <v>0</v>
      </c>
      <c r="BA45" s="158"/>
      <c r="BC45" s="17">
        <f t="shared" si="17"/>
        <v>0</v>
      </c>
    </row>
    <row r="46" spans="2:61">
      <c r="B46" s="158"/>
      <c r="D46" s="17">
        <f t="shared" si="12"/>
        <v>0</v>
      </c>
      <c r="L46" s="158"/>
      <c r="N46" s="17">
        <f t="shared" si="13"/>
        <v>0</v>
      </c>
      <c r="V46" s="158"/>
      <c r="X46" s="17">
        <f t="shared" si="14"/>
        <v>0</v>
      </c>
      <c r="AG46" s="158"/>
      <c r="AI46" s="17">
        <f t="shared" si="15"/>
        <v>0</v>
      </c>
      <c r="AQ46" s="158"/>
      <c r="AS46" s="17">
        <f t="shared" si="16"/>
        <v>0</v>
      </c>
      <c r="BA46" s="158"/>
      <c r="BC46" s="17">
        <f t="shared" si="17"/>
        <v>0</v>
      </c>
    </row>
    <row r="47" spans="2:61">
      <c r="B47" s="158"/>
      <c r="D47" s="17">
        <f t="shared" si="12"/>
        <v>0</v>
      </c>
      <c r="L47" s="158"/>
      <c r="N47" s="17">
        <f t="shared" si="13"/>
        <v>0</v>
      </c>
      <c r="V47" s="158"/>
      <c r="X47" s="17">
        <f t="shared" si="14"/>
        <v>0</v>
      </c>
      <c r="AG47" s="158"/>
      <c r="AI47" s="17">
        <f t="shared" si="15"/>
        <v>0</v>
      </c>
      <c r="AQ47" s="158"/>
      <c r="AS47" s="17">
        <f t="shared" si="16"/>
        <v>0</v>
      </c>
      <c r="BA47" s="158"/>
      <c r="BC47" s="17">
        <f t="shared" si="17"/>
        <v>0</v>
      </c>
    </row>
    <row r="48" spans="2:61">
      <c r="B48" s="158"/>
      <c r="D48" s="17">
        <f t="shared" si="12"/>
        <v>0</v>
      </c>
      <c r="L48" s="158"/>
      <c r="N48" s="17">
        <f t="shared" si="13"/>
        <v>0</v>
      </c>
      <c r="V48" s="158"/>
      <c r="X48" s="17">
        <f t="shared" si="14"/>
        <v>0</v>
      </c>
      <c r="AG48" s="158"/>
      <c r="AI48" s="17">
        <f t="shared" si="15"/>
        <v>0</v>
      </c>
      <c r="AQ48" s="158"/>
      <c r="AS48" s="17">
        <f t="shared" si="16"/>
        <v>0</v>
      </c>
      <c r="BA48" s="158"/>
      <c r="BC48" s="17">
        <f t="shared" si="17"/>
        <v>0</v>
      </c>
    </row>
    <row r="49" spans="2:58">
      <c r="B49" s="158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58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58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58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58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58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58"/>
      <c r="D50" s="17">
        <f t="shared" si="12"/>
        <v>0</v>
      </c>
      <c r="L50" s="158"/>
      <c r="N50" s="17">
        <f t="shared" si="13"/>
        <v>0</v>
      </c>
      <c r="V50" s="158"/>
      <c r="X50" s="17">
        <f t="shared" si="14"/>
        <v>0</v>
      </c>
      <c r="AG50" s="158"/>
      <c r="AI50" s="17">
        <f t="shared" si="15"/>
        <v>0</v>
      </c>
      <c r="AQ50" s="158"/>
      <c r="AS50" s="17">
        <f t="shared" si="16"/>
        <v>0</v>
      </c>
      <c r="BA50" s="158"/>
      <c r="BC50" s="17">
        <f t="shared" si="17"/>
        <v>0</v>
      </c>
    </row>
    <row r="51" spans="2:58">
      <c r="B51" s="158"/>
      <c r="D51" s="17">
        <f t="shared" si="12"/>
        <v>0</v>
      </c>
      <c r="L51" s="158"/>
      <c r="N51" s="17">
        <f t="shared" si="13"/>
        <v>0</v>
      </c>
      <c r="V51" s="158"/>
      <c r="X51" s="17">
        <f t="shared" si="14"/>
        <v>0</v>
      </c>
      <c r="AG51" s="158"/>
      <c r="AI51" s="17">
        <f t="shared" si="15"/>
        <v>0</v>
      </c>
      <c r="AQ51" s="158"/>
      <c r="AS51" s="17">
        <f t="shared" si="16"/>
        <v>0</v>
      </c>
      <c r="BA51" s="158"/>
      <c r="BC51" s="17">
        <f t="shared" si="17"/>
        <v>0</v>
      </c>
    </row>
    <row r="52" spans="2:58">
      <c r="B52" s="158"/>
      <c r="D52" s="17">
        <f t="shared" si="12"/>
        <v>0</v>
      </c>
      <c r="L52" s="158"/>
      <c r="N52" s="17">
        <f t="shared" si="13"/>
        <v>0</v>
      </c>
      <c r="V52" s="158"/>
      <c r="X52" s="17">
        <f t="shared" si="14"/>
        <v>0</v>
      </c>
      <c r="AG52" s="158"/>
      <c r="AI52" s="17">
        <f t="shared" si="15"/>
        <v>0</v>
      </c>
      <c r="AQ52" s="158"/>
      <c r="AS52" s="17">
        <f t="shared" si="16"/>
        <v>0</v>
      </c>
      <c r="BA52" s="158"/>
      <c r="BC52" s="17">
        <f t="shared" si="17"/>
        <v>0</v>
      </c>
    </row>
    <row r="53" spans="2:58">
      <c r="B53" s="158"/>
      <c r="D53" s="17">
        <f t="shared" si="12"/>
        <v>0</v>
      </c>
      <c r="L53" s="158"/>
      <c r="N53" s="17">
        <f t="shared" si="13"/>
        <v>0</v>
      </c>
      <c r="V53" s="158"/>
      <c r="X53" s="17">
        <f t="shared" si="14"/>
        <v>0</v>
      </c>
      <c r="AG53" s="158"/>
      <c r="AI53" s="17">
        <f t="shared" si="15"/>
        <v>0</v>
      </c>
      <c r="AQ53" s="158"/>
      <c r="AS53" s="17">
        <f t="shared" si="16"/>
        <v>0</v>
      </c>
      <c r="BA53" s="158"/>
      <c r="BC53" s="17">
        <f t="shared" si="17"/>
        <v>0</v>
      </c>
    </row>
    <row r="54" spans="2:58">
      <c r="B54" s="158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58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58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58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58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58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58"/>
      <c r="D55" s="17">
        <f t="shared" si="12"/>
        <v>0</v>
      </c>
      <c r="L55" s="158"/>
      <c r="N55" s="17">
        <f t="shared" si="13"/>
        <v>0</v>
      </c>
      <c r="V55" s="158"/>
      <c r="X55" s="17">
        <f t="shared" si="14"/>
        <v>0</v>
      </c>
      <c r="AG55" s="158"/>
      <c r="AI55" s="17">
        <f t="shared" si="15"/>
        <v>0</v>
      </c>
      <c r="AQ55" s="158"/>
      <c r="AS55" s="17">
        <f t="shared" si="16"/>
        <v>0</v>
      </c>
      <c r="BA55" s="158"/>
      <c r="BC55" s="17">
        <f t="shared" si="17"/>
        <v>0</v>
      </c>
    </row>
    <row r="56" spans="2:58">
      <c r="B56" s="158"/>
      <c r="D56" s="17">
        <f t="shared" si="12"/>
        <v>0</v>
      </c>
      <c r="L56" s="158"/>
      <c r="N56" s="17">
        <f t="shared" si="13"/>
        <v>0</v>
      </c>
      <c r="V56" s="158"/>
      <c r="X56" s="17">
        <f t="shared" si="14"/>
        <v>0</v>
      </c>
      <c r="AG56" s="158"/>
      <c r="AI56" s="17">
        <f t="shared" si="15"/>
        <v>0</v>
      </c>
      <c r="AQ56" s="158"/>
      <c r="AS56" s="17">
        <f t="shared" si="16"/>
        <v>0</v>
      </c>
      <c r="BA56" s="158"/>
      <c r="BC56" s="17">
        <f t="shared" si="17"/>
        <v>0</v>
      </c>
    </row>
    <row r="57" spans="2:58">
      <c r="B57" s="158"/>
      <c r="D57" s="17">
        <f t="shared" si="12"/>
        <v>0</v>
      </c>
      <c r="L57" s="158"/>
      <c r="N57" s="17">
        <f t="shared" si="13"/>
        <v>0</v>
      </c>
      <c r="V57" s="158"/>
      <c r="X57" s="17">
        <f t="shared" si="14"/>
        <v>0</v>
      </c>
      <c r="AG57" s="158"/>
      <c r="AI57" s="17">
        <f t="shared" si="15"/>
        <v>0</v>
      </c>
      <c r="AQ57" s="158"/>
      <c r="AS57" s="17">
        <f t="shared" si="16"/>
        <v>0</v>
      </c>
      <c r="BA57" s="158"/>
      <c r="BC57" s="17">
        <f t="shared" si="17"/>
        <v>0</v>
      </c>
    </row>
    <row r="58" spans="2:58">
      <c r="B58" s="158"/>
      <c r="D58" s="17">
        <f t="shared" si="12"/>
        <v>0</v>
      </c>
      <c r="L58" s="158"/>
      <c r="N58" s="17">
        <f t="shared" si="13"/>
        <v>0</v>
      </c>
      <c r="V58" s="158"/>
      <c r="X58" s="17">
        <f t="shared" si="14"/>
        <v>0</v>
      </c>
      <c r="AG58" s="158"/>
      <c r="AI58" s="17">
        <f t="shared" si="15"/>
        <v>0</v>
      </c>
      <c r="AQ58" s="158"/>
      <c r="AS58" s="17">
        <f t="shared" si="16"/>
        <v>0</v>
      </c>
      <c r="BA58" s="158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8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58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58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58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58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58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58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58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58"/>
      <c r="X3" s="17">
        <f t="shared" ref="X3:X4" si="2">W3*100/X$1</f>
        <v>0</v>
      </c>
      <c r="AA3" t="s">
        <v>22</v>
      </c>
      <c r="AB3">
        <v>70000</v>
      </c>
      <c r="AG3" s="158"/>
      <c r="AH3">
        <v>32543</v>
      </c>
      <c r="AI3" s="17">
        <f>AH3*100/AI$1</f>
        <v>0.15496666666666667</v>
      </c>
      <c r="AL3" t="s">
        <v>22</v>
      </c>
      <c r="AM3">
        <v>145000</v>
      </c>
      <c r="AQ3" s="158"/>
      <c r="AS3" s="17">
        <f>AR3*100/AS$1</f>
        <v>0</v>
      </c>
      <c r="AV3" t="s">
        <v>22</v>
      </c>
      <c r="AW3">
        <v>83000</v>
      </c>
      <c r="BA3" s="158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58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58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58"/>
      <c r="X4" s="17">
        <f t="shared" si="2"/>
        <v>0</v>
      </c>
      <c r="AA4" t="s">
        <v>26</v>
      </c>
      <c r="AB4">
        <f>W29</f>
        <v>117564</v>
      </c>
      <c r="AG4" s="158"/>
      <c r="AI4" s="17">
        <f t="shared" ref="AI4:AI26" si="3">AH4*100/AI$1</f>
        <v>0</v>
      </c>
      <c r="AL4" t="s">
        <v>26</v>
      </c>
      <c r="AM4">
        <f>AH29</f>
        <v>182871</v>
      </c>
      <c r="AQ4" s="158"/>
      <c r="AS4" s="17">
        <f t="shared" ref="AS4" si="4">AR4*100/AS$1</f>
        <v>0</v>
      </c>
      <c r="AV4" t="s">
        <v>26</v>
      </c>
      <c r="AW4">
        <f>AR29</f>
        <v>108694</v>
      </c>
      <c r="BA4" s="158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58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58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58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58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58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58"/>
      <c r="BC5" s="17">
        <f>BB5*100/BC$1</f>
        <v>0</v>
      </c>
      <c r="BF5" t="s">
        <v>178</v>
      </c>
      <c r="BG5">
        <f>5250+14380</f>
        <v>19630</v>
      </c>
    </row>
    <row r="6" spans="2:61">
      <c r="B6" s="158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58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58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58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58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58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58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58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58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58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58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58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58"/>
      <c r="C8">
        <v>1135</v>
      </c>
      <c r="D8" s="17">
        <f t="shared" si="0"/>
        <v>5.1126126126126124E-3</v>
      </c>
      <c r="H8" s="3"/>
      <c r="L8" s="158"/>
      <c r="N8" s="17">
        <f t="shared" si="6"/>
        <v>0</v>
      </c>
      <c r="R8" s="3"/>
      <c r="V8" s="158"/>
      <c r="W8">
        <v>2000</v>
      </c>
      <c r="X8" s="17">
        <f t="shared" si="7"/>
        <v>9.0090090090090089E-3</v>
      </c>
      <c r="AB8" s="3"/>
      <c r="AG8" s="158"/>
      <c r="AI8" s="17">
        <f t="shared" si="3"/>
        <v>0</v>
      </c>
      <c r="AM8" s="3"/>
      <c r="AQ8" s="158"/>
      <c r="AS8" s="17">
        <f t="shared" si="8"/>
        <v>0</v>
      </c>
      <c r="AW8" s="3"/>
      <c r="BA8" s="158"/>
      <c r="BB8">
        <v>10234</v>
      </c>
      <c r="BC8" s="17">
        <f t="shared" si="9"/>
        <v>4.873333333333333E-2</v>
      </c>
      <c r="BG8" s="3"/>
    </row>
    <row r="9" spans="2:61">
      <c r="B9" s="158"/>
      <c r="C9">
        <v>27760</v>
      </c>
      <c r="D9" s="17">
        <f t="shared" si="0"/>
        <v>0.12504504504504504</v>
      </c>
      <c r="H9" s="10"/>
      <c r="L9" s="158"/>
      <c r="M9">
        <v>25562</v>
      </c>
      <c r="N9" s="17">
        <f t="shared" si="6"/>
        <v>0.11514414414414414</v>
      </c>
      <c r="R9" s="10"/>
      <c r="V9" s="158"/>
      <c r="W9">
        <v>20000</v>
      </c>
      <c r="X9" s="17">
        <f t="shared" si="7"/>
        <v>9.0090090090090086E-2</v>
      </c>
      <c r="AB9" s="10"/>
      <c r="AG9" s="158"/>
      <c r="AH9">
        <v>28330</v>
      </c>
      <c r="AI9" s="17">
        <f t="shared" si="3"/>
        <v>0.13490476190476192</v>
      </c>
      <c r="AM9" s="10"/>
      <c r="AQ9" s="158"/>
      <c r="AS9" s="17">
        <f t="shared" si="8"/>
        <v>0</v>
      </c>
      <c r="AW9" s="10"/>
      <c r="BA9" s="158"/>
      <c r="BC9" s="17">
        <f t="shared" si="9"/>
        <v>0</v>
      </c>
      <c r="BG9" s="10"/>
    </row>
    <row r="10" spans="2:61">
      <c r="B10" s="158"/>
      <c r="D10" s="17">
        <f t="shared" si="0"/>
        <v>0</v>
      </c>
      <c r="L10" s="158"/>
      <c r="N10" s="17">
        <f t="shared" si="6"/>
        <v>0</v>
      </c>
      <c r="V10" s="158"/>
      <c r="W10">
        <v>7300</v>
      </c>
      <c r="X10" s="17">
        <f t="shared" si="7"/>
        <v>3.288288288288288E-2</v>
      </c>
      <c r="AG10" s="158"/>
      <c r="AH10">
        <v>6666</v>
      </c>
      <c r="AI10" s="17">
        <f t="shared" si="3"/>
        <v>3.1742857142857142E-2</v>
      </c>
      <c r="AQ10" s="158"/>
      <c r="AR10">
        <v>33356</v>
      </c>
      <c r="AS10" s="17">
        <f t="shared" si="8"/>
        <v>0.15883809523809525</v>
      </c>
      <c r="BA10" s="158"/>
      <c r="BB10">
        <v>10806</v>
      </c>
      <c r="BC10" s="17">
        <f t="shared" si="9"/>
        <v>5.1457142857142854E-2</v>
      </c>
    </row>
    <row r="11" spans="2:61">
      <c r="B11" s="158"/>
      <c r="C11">
        <v>-85944</v>
      </c>
      <c r="D11" s="17">
        <f t="shared" si="0"/>
        <v>-0.38713513513513514</v>
      </c>
      <c r="L11" s="158"/>
      <c r="N11" s="17">
        <f t="shared" si="6"/>
        <v>0</v>
      </c>
      <c r="V11" s="158"/>
      <c r="W11">
        <v>-1400</v>
      </c>
      <c r="X11" s="17">
        <f t="shared" si="7"/>
        <v>-6.3063063063063061E-3</v>
      </c>
      <c r="AG11" s="158"/>
      <c r="AH11">
        <v>7917</v>
      </c>
      <c r="AI11" s="17">
        <f t="shared" si="3"/>
        <v>3.7699999999999997E-2</v>
      </c>
      <c r="AQ11" s="158"/>
      <c r="AR11">
        <v>1985</v>
      </c>
      <c r="AS11" s="17">
        <f t="shared" si="8"/>
        <v>9.4523809523809517E-3</v>
      </c>
      <c r="BA11" s="158"/>
      <c r="BC11" s="17">
        <f t="shared" si="9"/>
        <v>0</v>
      </c>
    </row>
    <row r="12" spans="2:61">
      <c r="B12" s="158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58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58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58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58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58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58"/>
      <c r="C13">
        <v>18486</v>
      </c>
      <c r="D13" s="17">
        <f t="shared" si="0"/>
        <v>8.3270270270270272E-2</v>
      </c>
      <c r="L13" s="158"/>
      <c r="M13">
        <v>16088</v>
      </c>
      <c r="N13" s="17">
        <f t="shared" si="6"/>
        <v>7.2468468468468467E-2</v>
      </c>
      <c r="V13" s="158"/>
      <c r="W13">
        <v>1000</v>
      </c>
      <c r="X13" s="17">
        <f t="shared" si="7"/>
        <v>4.5045045045045045E-3</v>
      </c>
      <c r="AG13" s="158"/>
      <c r="AH13">
        <v>5576</v>
      </c>
      <c r="AI13" s="17">
        <f t="shared" si="3"/>
        <v>2.6552380952380952E-2</v>
      </c>
      <c r="AQ13" s="158"/>
      <c r="AS13" s="17">
        <f t="shared" si="8"/>
        <v>0</v>
      </c>
      <c r="BA13" s="158"/>
      <c r="BB13">
        <v>12700</v>
      </c>
      <c r="BC13" s="17">
        <f t="shared" si="9"/>
        <v>6.0476190476190475E-2</v>
      </c>
    </row>
    <row r="14" spans="2:61">
      <c r="B14" s="158"/>
      <c r="D14" s="17">
        <f t="shared" si="0"/>
        <v>0</v>
      </c>
      <c r="L14" s="158"/>
      <c r="M14">
        <v>4952</v>
      </c>
      <c r="N14" s="17">
        <f t="shared" si="6"/>
        <v>2.2306306306306305E-2</v>
      </c>
      <c r="V14" s="158"/>
      <c r="W14">
        <v>17124</v>
      </c>
      <c r="X14" s="17">
        <f t="shared" si="7"/>
        <v>7.7135135135135133E-2</v>
      </c>
      <c r="AG14" s="158"/>
      <c r="AH14">
        <v>3261</v>
      </c>
      <c r="AI14" s="17">
        <f t="shared" si="3"/>
        <v>1.5528571428571428E-2</v>
      </c>
      <c r="AQ14" s="158"/>
      <c r="AS14" s="17">
        <f t="shared" si="8"/>
        <v>0</v>
      </c>
      <c r="BA14" s="158"/>
      <c r="BC14" s="17">
        <f t="shared" si="9"/>
        <v>0</v>
      </c>
    </row>
    <row r="15" spans="2:61">
      <c r="B15" s="158"/>
      <c r="C15">
        <v>-7607</v>
      </c>
      <c r="D15" s="17">
        <f t="shared" si="0"/>
        <v>-3.4265765765765767E-2</v>
      </c>
      <c r="L15" s="158"/>
      <c r="M15">
        <v>6295</v>
      </c>
      <c r="N15" s="17">
        <f t="shared" si="6"/>
        <v>2.8355855855855854E-2</v>
      </c>
      <c r="V15" s="158"/>
      <c r="X15" s="17">
        <f t="shared" si="7"/>
        <v>0</v>
      </c>
      <c r="AG15" s="158"/>
      <c r="AH15">
        <v>2782</v>
      </c>
      <c r="AI15" s="17">
        <f t="shared" si="3"/>
        <v>1.3247619047619048E-2</v>
      </c>
      <c r="AQ15" s="158"/>
      <c r="AR15">
        <v>16363</v>
      </c>
      <c r="AS15" s="17">
        <f t="shared" si="8"/>
        <v>7.7919047619047624E-2</v>
      </c>
      <c r="BA15" s="158"/>
      <c r="BB15">
        <v>9388</v>
      </c>
      <c r="BC15" s="17">
        <f t="shared" si="9"/>
        <v>4.4704761904761907E-2</v>
      </c>
    </row>
    <row r="16" spans="2:61">
      <c r="B16" s="158"/>
      <c r="C16">
        <v>-284</v>
      </c>
      <c r="D16" s="17">
        <f t="shared" si="0"/>
        <v>-1.2792792792792793E-3</v>
      </c>
      <c r="L16" s="158"/>
      <c r="N16" s="17">
        <f t="shared" si="6"/>
        <v>0</v>
      </c>
      <c r="V16" s="158"/>
      <c r="X16" s="17">
        <f t="shared" si="7"/>
        <v>0</v>
      </c>
      <c r="AG16" s="158"/>
      <c r="AH16">
        <v>7502</v>
      </c>
      <c r="AI16" s="17">
        <f t="shared" si="3"/>
        <v>3.5723809523809526E-2</v>
      </c>
      <c r="AQ16" s="158"/>
      <c r="AR16">
        <v>15701</v>
      </c>
      <c r="AS16" s="17">
        <f t="shared" si="8"/>
        <v>7.4766666666666662E-2</v>
      </c>
      <c r="BA16" s="158"/>
      <c r="BC16" s="17">
        <f t="shared" si="9"/>
        <v>0</v>
      </c>
    </row>
    <row r="17" spans="2:58">
      <c r="B17" s="158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58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58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58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58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58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58"/>
      <c r="C18">
        <v>6364</v>
      </c>
      <c r="D18" s="17">
        <f t="shared" si="0"/>
        <v>2.8666666666666667E-2</v>
      </c>
      <c r="L18" s="158"/>
      <c r="N18" s="17">
        <f t="shared" si="6"/>
        <v>0</v>
      </c>
      <c r="V18" s="158"/>
      <c r="W18">
        <v>9271</v>
      </c>
      <c r="X18" s="17">
        <f t="shared" si="7"/>
        <v>4.1761261261261264E-2</v>
      </c>
      <c r="AG18" s="158"/>
      <c r="AI18" s="17">
        <f t="shared" si="3"/>
        <v>0</v>
      </c>
      <c r="AQ18" s="158"/>
      <c r="AR18">
        <v>-23032</v>
      </c>
      <c r="AS18" s="17">
        <f t="shared" si="8"/>
        <v>-0.10967619047619048</v>
      </c>
      <c r="BA18" s="158"/>
      <c r="BB18">
        <v>8900</v>
      </c>
      <c r="BC18" s="17">
        <f t="shared" si="9"/>
        <v>4.238095238095238E-2</v>
      </c>
    </row>
    <row r="19" spans="2:58">
      <c r="B19" s="158"/>
      <c r="C19">
        <v>13823</v>
      </c>
      <c r="D19" s="17">
        <f t="shared" si="0"/>
        <v>6.2265765765765764E-2</v>
      </c>
      <c r="L19" s="158"/>
      <c r="M19">
        <v>35029</v>
      </c>
      <c r="N19" s="17">
        <f t="shared" si="6"/>
        <v>0.15778828828828828</v>
      </c>
      <c r="V19" s="158"/>
      <c r="W19">
        <f>11013-5559</f>
        <v>5454</v>
      </c>
      <c r="X19" s="17">
        <f t="shared" si="7"/>
        <v>2.4567567567567568E-2</v>
      </c>
      <c r="AG19" s="158"/>
      <c r="AH19">
        <v>13273</v>
      </c>
      <c r="AI19" s="17">
        <f t="shared" si="3"/>
        <v>6.3204761904761902E-2</v>
      </c>
      <c r="AQ19" s="158"/>
      <c r="AR19">
        <v>26616</v>
      </c>
      <c r="AS19" s="17">
        <f t="shared" si="8"/>
        <v>0.12674285714285713</v>
      </c>
      <c r="BA19" s="158"/>
      <c r="BC19" s="17">
        <f t="shared" si="9"/>
        <v>0</v>
      </c>
    </row>
    <row r="20" spans="2:58">
      <c r="B20" s="158"/>
      <c r="D20" s="17">
        <f t="shared" si="0"/>
        <v>0</v>
      </c>
      <c r="L20" s="158"/>
      <c r="M20">
        <v>43096</v>
      </c>
      <c r="N20" s="17">
        <f t="shared" si="6"/>
        <v>0.19412612612612612</v>
      </c>
      <c r="V20" s="158"/>
      <c r="W20">
        <v>6955</v>
      </c>
      <c r="X20" s="17">
        <f t="shared" si="7"/>
        <v>3.1328828828828828E-2</v>
      </c>
      <c r="AG20" s="158"/>
      <c r="AH20">
        <v>6000</v>
      </c>
      <c r="AI20" s="17">
        <f t="shared" si="3"/>
        <v>2.8571428571428571E-2</v>
      </c>
      <c r="AQ20" s="158"/>
      <c r="AR20">
        <v>13771</v>
      </c>
      <c r="AS20" s="17">
        <f t="shared" si="8"/>
        <v>6.5576190476190482E-2</v>
      </c>
      <c r="BA20" s="158"/>
      <c r="BB20">
        <v>14642</v>
      </c>
      <c r="BC20" s="17">
        <f t="shared" si="9"/>
        <v>6.9723809523809521E-2</v>
      </c>
    </row>
    <row r="21" spans="2:58">
      <c r="B21" s="158"/>
      <c r="D21" s="17">
        <f t="shared" si="0"/>
        <v>0</v>
      </c>
      <c r="L21" s="158"/>
      <c r="M21">
        <v>6928</v>
      </c>
      <c r="N21" s="17">
        <f t="shared" si="6"/>
        <v>3.1207207207207207E-2</v>
      </c>
      <c r="V21" s="158"/>
      <c r="X21" s="17">
        <f t="shared" si="7"/>
        <v>0</v>
      </c>
      <c r="AG21" s="158"/>
      <c r="AH21">
        <f>3226-5862+5576</f>
        <v>2940</v>
      </c>
      <c r="AI21" s="17">
        <f t="shared" si="3"/>
        <v>1.4E-2</v>
      </c>
      <c r="AQ21" s="158"/>
      <c r="AR21">
        <v>8753</v>
      </c>
      <c r="AS21" s="17">
        <f t="shared" si="8"/>
        <v>4.1680952380952381E-2</v>
      </c>
      <c r="BA21" s="158"/>
      <c r="BC21" s="17">
        <f t="shared" si="9"/>
        <v>0</v>
      </c>
    </row>
    <row r="22" spans="2:58">
      <c r="B22" s="158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58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58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58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58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58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58"/>
      <c r="C23">
        <v>16934</v>
      </c>
      <c r="D23" s="17">
        <f t="shared" si="0"/>
        <v>7.6279279279279286E-2</v>
      </c>
      <c r="L23" s="158"/>
      <c r="M23">
        <v>-8980</v>
      </c>
      <c r="N23" s="17">
        <f t="shared" si="6"/>
        <v>-4.0450450450450454E-2</v>
      </c>
      <c r="V23" s="158"/>
      <c r="W23">
        <v>1022</v>
      </c>
      <c r="X23" s="17">
        <f t="shared" si="7"/>
        <v>4.6036036036036032E-3</v>
      </c>
      <c r="AG23" s="158"/>
      <c r="AH23">
        <v>5696</v>
      </c>
      <c r="AI23" s="17">
        <f t="shared" si="3"/>
        <v>2.7123809523809522E-2</v>
      </c>
      <c r="AQ23" s="158"/>
      <c r="AR23">
        <v>525</v>
      </c>
      <c r="AS23" s="17">
        <f t="shared" si="8"/>
        <v>2.5000000000000001E-3</v>
      </c>
      <c r="BA23" s="158"/>
      <c r="BC23" s="17">
        <f t="shared" si="9"/>
        <v>0</v>
      </c>
    </row>
    <row r="24" spans="2:58">
      <c r="B24" s="158"/>
      <c r="D24" s="17">
        <f t="shared" si="0"/>
        <v>0</v>
      </c>
      <c r="L24" s="158"/>
      <c r="N24" s="17">
        <f t="shared" si="6"/>
        <v>0</v>
      </c>
      <c r="V24" s="158"/>
      <c r="W24">
        <v>22704</v>
      </c>
      <c r="X24" s="17">
        <f t="shared" si="7"/>
        <v>0.10227027027027027</v>
      </c>
      <c r="AG24" s="158"/>
      <c r="AH24">
        <v>25309</v>
      </c>
      <c r="AI24" s="17">
        <f t="shared" si="3"/>
        <v>0.12051904761904762</v>
      </c>
      <c r="AQ24" s="158"/>
      <c r="AS24" s="17">
        <f t="shared" si="8"/>
        <v>0</v>
      </c>
      <c r="BA24" s="158"/>
      <c r="BC24" s="17">
        <f t="shared" si="9"/>
        <v>0</v>
      </c>
    </row>
    <row r="25" spans="2:58">
      <c r="B25" s="158"/>
      <c r="D25" s="17">
        <f t="shared" si="0"/>
        <v>0</v>
      </c>
      <c r="L25" s="158"/>
      <c r="N25" s="17">
        <f t="shared" si="6"/>
        <v>0</v>
      </c>
      <c r="V25" s="158"/>
      <c r="X25" s="17">
        <f t="shared" si="7"/>
        <v>0</v>
      </c>
      <c r="AG25" s="158"/>
      <c r="AH25">
        <v>7812</v>
      </c>
      <c r="AI25" s="17">
        <f t="shared" si="3"/>
        <v>3.7199999999999997E-2</v>
      </c>
      <c r="AQ25" s="158"/>
      <c r="AS25" s="17">
        <f t="shared" si="8"/>
        <v>0</v>
      </c>
      <c r="BA25" s="158"/>
      <c r="BC25" s="17">
        <f t="shared" si="9"/>
        <v>0</v>
      </c>
    </row>
    <row r="26" spans="2:58">
      <c r="B26" s="158"/>
      <c r="D26" s="17">
        <f t="shared" si="0"/>
        <v>0</v>
      </c>
      <c r="L26" s="158"/>
      <c r="N26" s="17">
        <f t="shared" si="6"/>
        <v>0</v>
      </c>
      <c r="V26" s="158"/>
      <c r="W26">
        <v>10300</v>
      </c>
      <c r="X26" s="17">
        <f t="shared" si="7"/>
        <v>4.6396396396396394E-2</v>
      </c>
      <c r="AG26" s="158"/>
      <c r="AI26" s="17">
        <f t="shared" si="3"/>
        <v>0</v>
      </c>
      <c r="AQ26" s="158"/>
      <c r="AS26" s="17">
        <f t="shared" si="8"/>
        <v>0</v>
      </c>
      <c r="BA26" s="158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8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58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58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58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58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58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58"/>
      <c r="D35" s="17">
        <f t="shared" ref="D35:D58" si="10">C35*100/D$33</f>
        <v>0</v>
      </c>
      <c r="G35" t="s">
        <v>22</v>
      </c>
      <c r="H35">
        <v>70000</v>
      </c>
      <c r="L35" s="158"/>
      <c r="N35" s="17">
        <f t="shared" ref="N35:N58" si="11">M35*100/N$33</f>
        <v>0</v>
      </c>
      <c r="Q35" t="s">
        <v>22</v>
      </c>
      <c r="R35">
        <v>130000</v>
      </c>
      <c r="V35" s="158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58"/>
      <c r="AI35" s="17">
        <f t="shared" ref="AI35:AI58" si="13">AH35*100/AI$33</f>
        <v>0</v>
      </c>
      <c r="AL35" t="s">
        <v>22</v>
      </c>
      <c r="AM35">
        <v>83000</v>
      </c>
      <c r="AQ35" s="158"/>
      <c r="AS35" s="17">
        <f t="shared" ref="AS35:AS58" si="14">AR35*100/AS$33</f>
        <v>0</v>
      </c>
      <c r="AV35" t="s">
        <v>22</v>
      </c>
      <c r="AW35">
        <v>160000</v>
      </c>
      <c r="BA35" s="158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58"/>
      <c r="D36" s="17">
        <f t="shared" si="10"/>
        <v>0</v>
      </c>
      <c r="G36" t="s">
        <v>26</v>
      </c>
      <c r="H36">
        <f>C61</f>
        <v>205902</v>
      </c>
      <c r="L36" s="158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58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58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58"/>
      <c r="AS36" s="17">
        <f t="shared" si="14"/>
        <v>0</v>
      </c>
      <c r="AV36" t="s">
        <v>26</v>
      </c>
      <c r="AW36">
        <f>AR61</f>
        <v>128348</v>
      </c>
      <c r="BA36" s="158"/>
      <c r="BC36" s="17">
        <f t="shared" si="15"/>
        <v>0</v>
      </c>
      <c r="BF36" t="s">
        <v>26</v>
      </c>
      <c r="BG36">
        <f>BB61</f>
        <v>91521</v>
      </c>
    </row>
    <row r="37" spans="2:61">
      <c r="B37" s="158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58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58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58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58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58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58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58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58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58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58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58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58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58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58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58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58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58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58"/>
      <c r="D40" s="17">
        <f t="shared" si="10"/>
        <v>0</v>
      </c>
      <c r="L40" s="158"/>
      <c r="N40" s="17">
        <f t="shared" si="11"/>
        <v>0</v>
      </c>
      <c r="V40" s="158"/>
      <c r="W40">
        <v>19421</v>
      </c>
      <c r="X40" s="17">
        <f t="shared" si="12"/>
        <v>8.7481981981981982E-2</v>
      </c>
      <c r="AG40" s="158"/>
      <c r="AI40" s="17">
        <f t="shared" si="13"/>
        <v>0</v>
      </c>
      <c r="AQ40" s="158"/>
      <c r="AR40">
        <v>15999</v>
      </c>
      <c r="AS40" s="17">
        <f t="shared" si="14"/>
        <v>7.6185714285714287E-2</v>
      </c>
      <c r="BA40" s="158"/>
      <c r="BB40">
        <v>10596</v>
      </c>
      <c r="BC40" s="17">
        <f t="shared" si="15"/>
        <v>5.045714285714286E-2</v>
      </c>
    </row>
    <row r="41" spans="2:61">
      <c r="B41" s="158"/>
      <c r="C41">
        <v>92350</v>
      </c>
      <c r="D41" s="17">
        <f t="shared" si="10"/>
        <v>0.41599099099099102</v>
      </c>
      <c r="H41" s="10"/>
      <c r="L41" s="158"/>
      <c r="M41">
        <v>32031</v>
      </c>
      <c r="N41" s="17">
        <f t="shared" si="11"/>
        <v>0.14428378378378379</v>
      </c>
      <c r="R41" s="10"/>
      <c r="V41" s="158"/>
      <c r="W41">
        <v>1918</v>
      </c>
      <c r="X41" s="17">
        <f t="shared" si="12"/>
        <v>8.6396396396396392E-3</v>
      </c>
      <c r="AB41" s="10"/>
      <c r="AG41" s="158"/>
      <c r="AH41">
        <v>15745</v>
      </c>
      <c r="AI41" s="17">
        <f t="shared" si="13"/>
        <v>7.4976190476190474E-2</v>
      </c>
      <c r="AM41" s="10"/>
      <c r="AQ41" s="158"/>
      <c r="AS41" s="17">
        <f>AR41*100/AS$33</f>
        <v>0</v>
      </c>
      <c r="AW41" s="10"/>
      <c r="BA41" s="158"/>
      <c r="BC41" s="17">
        <f t="shared" si="15"/>
        <v>0</v>
      </c>
      <c r="BG41" s="10"/>
    </row>
    <row r="42" spans="2:61">
      <c r="B42" s="158"/>
      <c r="C42">
        <v>4280</v>
      </c>
      <c r="D42" s="17">
        <f t="shared" si="10"/>
        <v>1.927927927927928E-2</v>
      </c>
      <c r="L42" s="158"/>
      <c r="N42" s="17">
        <f t="shared" si="11"/>
        <v>0</v>
      </c>
      <c r="V42" s="158"/>
      <c r="W42">
        <v>4777</v>
      </c>
      <c r="X42" s="17">
        <f t="shared" si="12"/>
        <v>2.1518018018018018E-2</v>
      </c>
      <c r="AG42" s="158"/>
      <c r="AH42">
        <v>12430</v>
      </c>
      <c r="AI42" s="17">
        <f t="shared" si="13"/>
        <v>5.9190476190476189E-2</v>
      </c>
      <c r="AQ42" s="158"/>
      <c r="AR42">
        <v>13288</v>
      </c>
      <c r="AS42" s="17">
        <f>AR42*100/AS$33</f>
        <v>6.3276190476190472E-2</v>
      </c>
      <c r="BA42" s="158"/>
      <c r="BB42">
        <v>6150</v>
      </c>
      <c r="BC42" s="17">
        <f t="shared" si="15"/>
        <v>2.9285714285714286E-2</v>
      </c>
    </row>
    <row r="43" spans="2:61">
      <c r="B43" s="158"/>
      <c r="D43" s="17">
        <f t="shared" si="10"/>
        <v>0</v>
      </c>
      <c r="L43" s="158"/>
      <c r="N43" s="17">
        <f t="shared" si="11"/>
        <v>0</v>
      </c>
      <c r="V43" s="158"/>
      <c r="W43">
        <f>14431+1090</f>
        <v>15521</v>
      </c>
      <c r="X43" s="17">
        <f t="shared" si="12"/>
        <v>6.9914414414414414E-2</v>
      </c>
      <c r="AG43" s="158"/>
      <c r="AI43" s="17">
        <f t="shared" si="13"/>
        <v>0</v>
      </c>
      <c r="AQ43" s="158"/>
      <c r="AS43" s="17">
        <f t="shared" si="14"/>
        <v>0</v>
      </c>
      <c r="BA43" s="158"/>
      <c r="BC43" s="17">
        <f t="shared" si="15"/>
        <v>0</v>
      </c>
    </row>
    <row r="44" spans="2:61">
      <c r="B44" s="158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58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58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58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58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58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58"/>
      <c r="C45">
        <v>15387</v>
      </c>
      <c r="D45" s="17">
        <f t="shared" si="10"/>
        <v>6.9310810810810808E-2</v>
      </c>
      <c r="L45" s="158"/>
      <c r="M45">
        <v>28902</v>
      </c>
      <c r="N45" s="17">
        <f>M45*100/N$33</f>
        <v>0.1301891891891892</v>
      </c>
      <c r="V45" s="158"/>
      <c r="W45">
        <v>2194</v>
      </c>
      <c r="X45" s="17">
        <f t="shared" si="12"/>
        <v>9.8828828828828822E-3</v>
      </c>
      <c r="AG45" s="158"/>
      <c r="AH45">
        <v>1210</v>
      </c>
      <c r="AI45" s="17">
        <f t="shared" si="13"/>
        <v>5.7619047619047615E-3</v>
      </c>
      <c r="AQ45" s="158"/>
      <c r="AR45">
        <v>12747</v>
      </c>
      <c r="AS45" s="17">
        <f>AR45*100/AS$33</f>
        <v>6.0699999999999997E-2</v>
      </c>
      <c r="BA45" s="158"/>
      <c r="BB45">
        <v>9678</v>
      </c>
      <c r="BC45" s="17">
        <f t="shared" si="15"/>
        <v>4.6085714285714285E-2</v>
      </c>
    </row>
    <row r="46" spans="2:61">
      <c r="B46" s="158"/>
      <c r="C46">
        <v>6591</v>
      </c>
      <c r="D46" s="17">
        <f t="shared" si="10"/>
        <v>2.968918918918919E-2</v>
      </c>
      <c r="L46" s="158"/>
      <c r="N46" s="17">
        <f>M46*100/N$33</f>
        <v>0</v>
      </c>
      <c r="V46" s="158"/>
      <c r="W46">
        <v>21380</v>
      </c>
      <c r="X46" s="17">
        <f t="shared" si="12"/>
        <v>9.6306306306306308E-2</v>
      </c>
      <c r="AG46" s="158"/>
      <c r="AI46" s="17">
        <f t="shared" si="13"/>
        <v>0</v>
      </c>
      <c r="AQ46" s="158"/>
      <c r="AS46" s="17">
        <f>AR46*100/AS$33</f>
        <v>0</v>
      </c>
      <c r="BA46" s="158"/>
      <c r="BC46" s="17">
        <f t="shared" si="15"/>
        <v>0</v>
      </c>
    </row>
    <row r="47" spans="2:61">
      <c r="B47" s="158"/>
      <c r="C47">
        <v>7649</v>
      </c>
      <c r="D47" s="17">
        <f t="shared" si="10"/>
        <v>3.4454954954954958E-2</v>
      </c>
      <c r="L47" s="158"/>
      <c r="M47">
        <v>7200</v>
      </c>
      <c r="N47" s="17">
        <f t="shared" si="11"/>
        <v>3.2432432432432434E-2</v>
      </c>
      <c r="V47" s="158"/>
      <c r="W47">
        <v>7152</v>
      </c>
      <c r="X47" s="17">
        <f t="shared" si="12"/>
        <v>3.2216216216216217E-2</v>
      </c>
      <c r="AG47" s="158"/>
      <c r="AH47">
        <v>20876</v>
      </c>
      <c r="AI47" s="17">
        <f t="shared" si="13"/>
        <v>9.9409523809523809E-2</v>
      </c>
      <c r="AQ47" s="158"/>
      <c r="AR47">
        <v>9117</v>
      </c>
      <c r="AS47" s="17">
        <f t="shared" si="14"/>
        <v>4.3414285714285718E-2</v>
      </c>
      <c r="BA47" s="158"/>
      <c r="BB47">
        <v>15000</v>
      </c>
      <c r="BC47" s="17">
        <f t="shared" si="15"/>
        <v>7.1428571428571425E-2</v>
      </c>
    </row>
    <row r="48" spans="2:61">
      <c r="B48" s="158"/>
      <c r="D48" s="17">
        <f t="shared" si="10"/>
        <v>0</v>
      </c>
      <c r="L48" s="158"/>
      <c r="M48">
        <v>5823</v>
      </c>
      <c r="N48" s="17">
        <f t="shared" si="11"/>
        <v>2.6229729729729728E-2</v>
      </c>
      <c r="V48" s="158"/>
      <c r="W48">
        <v>-24109</v>
      </c>
      <c r="X48" s="17">
        <f t="shared" si="12"/>
        <v>-0.10859909909909909</v>
      </c>
      <c r="AG48" s="158"/>
      <c r="AH48">
        <v>7775</v>
      </c>
      <c r="AI48" s="17">
        <f t="shared" si="13"/>
        <v>3.7023809523809521E-2</v>
      </c>
      <c r="AQ48" s="158"/>
      <c r="AS48" s="17">
        <f t="shared" si="14"/>
        <v>0</v>
      </c>
      <c r="BA48" s="158"/>
      <c r="BC48" s="17">
        <f t="shared" si="15"/>
        <v>0</v>
      </c>
    </row>
    <row r="49" spans="2:58">
      <c r="B49" s="158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58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58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58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58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58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58"/>
      <c r="C50">
        <v>-9964</v>
      </c>
      <c r="D50" s="17">
        <f t="shared" si="10"/>
        <v>-4.4882882882882884E-2</v>
      </c>
      <c r="L50" s="158"/>
      <c r="M50">
        <v>11981</v>
      </c>
      <c r="N50" s="17">
        <f t="shared" si="11"/>
        <v>5.3968468468468471E-2</v>
      </c>
      <c r="V50" s="158"/>
      <c r="W50">
        <v>-2194</v>
      </c>
      <c r="X50" s="17">
        <f t="shared" si="12"/>
        <v>-9.8828828828828822E-3</v>
      </c>
      <c r="AG50" s="158"/>
      <c r="AI50" s="17">
        <f t="shared" si="13"/>
        <v>0</v>
      </c>
      <c r="AQ50" s="158"/>
      <c r="AR50">
        <v>-5844</v>
      </c>
      <c r="AS50" s="17">
        <f t="shared" si="14"/>
        <v>-2.7828571428571428E-2</v>
      </c>
      <c r="BA50" s="158"/>
      <c r="BB50">
        <v>7102</v>
      </c>
      <c r="BC50" s="17">
        <f t="shared" si="15"/>
        <v>3.3819047619047617E-2</v>
      </c>
    </row>
    <row r="51" spans="2:58">
      <c r="B51" s="158"/>
      <c r="C51">
        <v>17253</v>
      </c>
      <c r="D51" s="17">
        <f t="shared" si="10"/>
        <v>7.7716216216216216E-2</v>
      </c>
      <c r="L51" s="158"/>
      <c r="M51">
        <v>27753</v>
      </c>
      <c r="N51" s="17">
        <f t="shared" si="11"/>
        <v>0.1250135135135135</v>
      </c>
      <c r="V51" s="158"/>
      <c r="W51">
        <f>44528-1973</f>
        <v>42555</v>
      </c>
      <c r="X51" s="17">
        <f t="shared" si="12"/>
        <v>0.1916891891891892</v>
      </c>
      <c r="AG51" s="158"/>
      <c r="AH51">
        <f>7146+6075</f>
        <v>13221</v>
      </c>
      <c r="AI51" s="17">
        <f t="shared" si="13"/>
        <v>6.295714285714285E-2</v>
      </c>
      <c r="AQ51" s="158"/>
      <c r="AR51">
        <v>17290</v>
      </c>
      <c r="AS51" s="17">
        <f t="shared" si="14"/>
        <v>8.2333333333333328E-2</v>
      </c>
      <c r="BA51" s="158"/>
      <c r="BC51" s="17">
        <f t="shared" si="15"/>
        <v>0</v>
      </c>
    </row>
    <row r="52" spans="2:58">
      <c r="B52" s="158"/>
      <c r="C52">
        <v>4187</v>
      </c>
      <c r="D52" s="17">
        <f t="shared" si="10"/>
        <v>1.8860360360360359E-2</v>
      </c>
      <c r="L52" s="158"/>
      <c r="M52">
        <v>15021</v>
      </c>
      <c r="N52" s="17">
        <f t="shared" si="11"/>
        <v>6.7662162162162157E-2</v>
      </c>
      <c r="V52" s="158"/>
      <c r="W52">
        <v>11270</v>
      </c>
      <c r="X52" s="17">
        <f t="shared" si="12"/>
        <v>5.0765765765765768E-2</v>
      </c>
      <c r="AG52" s="158"/>
      <c r="AH52">
        <f>5871-21771</f>
        <v>-15900</v>
      </c>
      <c r="AI52" s="17">
        <f t="shared" si="13"/>
        <v>-7.571428571428572E-2</v>
      </c>
      <c r="AQ52" s="158"/>
      <c r="AR52">
        <v>16351</v>
      </c>
      <c r="AS52" s="17">
        <f t="shared" si="14"/>
        <v>7.7861904761904757E-2</v>
      </c>
      <c r="BA52" s="158"/>
      <c r="BB52">
        <v>26370</v>
      </c>
      <c r="BC52" s="17">
        <f t="shared" si="15"/>
        <v>0.12557142857142858</v>
      </c>
    </row>
    <row r="53" spans="2:58">
      <c r="B53" s="158"/>
      <c r="D53" s="17">
        <f t="shared" si="10"/>
        <v>0</v>
      </c>
      <c r="L53" s="158"/>
      <c r="N53" s="17">
        <f t="shared" si="11"/>
        <v>0</v>
      </c>
      <c r="V53" s="158"/>
      <c r="W53">
        <v>13782</v>
      </c>
      <c r="X53" s="17">
        <f t="shared" si="12"/>
        <v>6.2081081081081083E-2</v>
      </c>
      <c r="AG53" s="158"/>
      <c r="AH53">
        <v>13064</v>
      </c>
      <c r="AI53" s="17">
        <f t="shared" si="13"/>
        <v>6.2209523809523812E-2</v>
      </c>
      <c r="AQ53" s="158"/>
      <c r="AR53">
        <v>15026</v>
      </c>
      <c r="AS53" s="17">
        <f t="shared" si="14"/>
        <v>7.1552380952380951E-2</v>
      </c>
      <c r="BA53" s="158"/>
      <c r="BC53" s="17">
        <f t="shared" si="15"/>
        <v>0</v>
      </c>
    </row>
    <row r="54" spans="2:58">
      <c r="B54" s="158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58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58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58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58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58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58"/>
      <c r="D55" s="17">
        <f t="shared" si="10"/>
        <v>0</v>
      </c>
      <c r="L55" s="158"/>
      <c r="N55" s="17">
        <f t="shared" si="11"/>
        <v>0</v>
      </c>
      <c r="V55" s="158"/>
      <c r="X55" s="17">
        <f t="shared" si="12"/>
        <v>0</v>
      </c>
      <c r="AG55" s="158"/>
      <c r="AI55" s="17">
        <f t="shared" si="13"/>
        <v>0</v>
      </c>
      <c r="AQ55" s="158"/>
      <c r="AR55">
        <v>8533</v>
      </c>
      <c r="AS55" s="17">
        <f t="shared" si="14"/>
        <v>4.0633333333333334E-2</v>
      </c>
      <c r="BA55" s="158"/>
      <c r="BC55" s="17">
        <f t="shared" si="15"/>
        <v>0</v>
      </c>
    </row>
    <row r="56" spans="2:58">
      <c r="B56" s="158"/>
      <c r="C56">
        <v>21350</v>
      </c>
      <c r="D56" s="17">
        <f t="shared" si="10"/>
        <v>9.6171171171171174E-2</v>
      </c>
      <c r="L56" s="158"/>
      <c r="M56">
        <v>20162</v>
      </c>
      <c r="N56" s="17">
        <f t="shared" si="11"/>
        <v>9.0819819819819819E-2</v>
      </c>
      <c r="V56" s="158"/>
      <c r="X56" s="17">
        <f t="shared" si="12"/>
        <v>0</v>
      </c>
      <c r="AG56" s="158"/>
      <c r="AI56" s="17">
        <f t="shared" si="13"/>
        <v>0</v>
      </c>
      <c r="AQ56" s="158"/>
      <c r="AR56">
        <v>6891</v>
      </c>
      <c r="AS56" s="17">
        <f t="shared" si="14"/>
        <v>3.2814285714285713E-2</v>
      </c>
      <c r="BA56" s="158"/>
      <c r="BC56" s="17">
        <f t="shared" si="15"/>
        <v>0</v>
      </c>
    </row>
    <row r="57" spans="2:58">
      <c r="B57" s="158"/>
      <c r="C57">
        <v>41626</v>
      </c>
      <c r="D57" s="17">
        <f t="shared" si="10"/>
        <v>0.18750450450450451</v>
      </c>
      <c r="H57" s="5"/>
      <c r="L57" s="158"/>
      <c r="N57" s="17">
        <f t="shared" si="11"/>
        <v>0</v>
      </c>
      <c r="V57" s="158"/>
      <c r="X57" s="17">
        <f t="shared" si="12"/>
        <v>0</v>
      </c>
      <c r="AG57" s="158"/>
      <c r="AI57" s="17">
        <f t="shared" si="13"/>
        <v>0</v>
      </c>
      <c r="AQ57" s="158"/>
      <c r="AR57">
        <v>18827</v>
      </c>
      <c r="AS57" s="17">
        <f t="shared" si="14"/>
        <v>8.9652380952380956E-2</v>
      </c>
      <c r="BA57" s="158"/>
      <c r="BC57" s="17">
        <f t="shared" si="15"/>
        <v>0</v>
      </c>
    </row>
    <row r="58" spans="2:58">
      <c r="B58" s="158"/>
      <c r="D58" s="17">
        <f t="shared" si="10"/>
        <v>0</v>
      </c>
      <c r="H58" s="11"/>
      <c r="L58" s="158"/>
      <c r="N58" s="17">
        <f t="shared" si="11"/>
        <v>0</v>
      </c>
      <c r="V58" s="158"/>
      <c r="X58" s="17">
        <f t="shared" si="12"/>
        <v>0</v>
      </c>
      <c r="AG58" s="158"/>
      <c r="AI58" s="17">
        <f t="shared" si="13"/>
        <v>0</v>
      </c>
      <c r="AQ58" s="158"/>
      <c r="AS58" s="17">
        <f t="shared" si="14"/>
        <v>0</v>
      </c>
      <c r="BA58" s="158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E1" workbookViewId="0">
      <selection activeCell="CE19" sqref="CE19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E23" sqref="E23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s="205" t="s">
        <v>3500</v>
      </c>
      <c r="B23" s="204"/>
      <c r="C23" s="204"/>
      <c r="S23">
        <f>SUM(S2:S22)</f>
        <v>3456</v>
      </c>
      <c r="T23" t="s">
        <v>1208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452</v>
      </c>
      <c r="S24">
        <f>R24+S23</f>
        <v>3908</v>
      </c>
      <c r="T24" t="s">
        <v>1209</v>
      </c>
      <c r="U24" s="12">
        <v>4100000</v>
      </c>
      <c r="X24" s="12"/>
    </row>
    <row r="25" spans="1:30">
      <c r="T25" t="s">
        <v>1212</v>
      </c>
      <c r="U25" s="12">
        <v>20000000</v>
      </c>
      <c r="X25" s="12"/>
    </row>
    <row r="26" spans="1:30">
      <c r="L26">
        <f>16008000+1120600+30000</f>
        <v>17158600</v>
      </c>
      <c r="T26" t="s">
        <v>1210</v>
      </c>
      <c r="U26" s="12">
        <f>U23*U24/U25</f>
        <v>4069250</v>
      </c>
      <c r="X26" s="12"/>
    </row>
    <row r="27" spans="1:30">
      <c r="T27" t="s">
        <v>1211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M37" sqref="M37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7" t="s">
        <v>1286</v>
      </c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t="s">
        <v>3562</v>
      </c>
      <c r="R24">
        <f>O10+O17</f>
        <v>332313.05000320019</v>
      </c>
      <c r="S24" t="s">
        <v>3563</v>
      </c>
      <c r="T24">
        <f>P31</f>
        <v>108278.212</v>
      </c>
      <c r="V24" t="s">
        <v>1288</v>
      </c>
      <c r="W2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t="s">
        <v>1287</v>
      </c>
      <c r="R25" s="11">
        <v>0.125</v>
      </c>
      <c r="S25" t="s">
        <v>1287</v>
      </c>
      <c r="T25" s="5">
        <v>0.3</v>
      </c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t="s">
        <v>1132</v>
      </c>
      <c r="R26">
        <f>R24*R25</f>
        <v>41539.131250400023</v>
      </c>
      <c r="S26" t="s">
        <v>1132</v>
      </c>
      <c r="T26">
        <f>T24*T25</f>
        <v>32483.463599999999</v>
      </c>
      <c r="U26" t="s">
        <v>3564</v>
      </c>
      <c r="V26">
        <f>R26+T26</f>
        <v>74022.594850400026</v>
      </c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E6" sqref="E6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63" t="s">
        <v>1226</v>
      </c>
      <c r="D1" s="164"/>
      <c r="E1" s="164"/>
      <c r="F1" s="164"/>
      <c r="G1" s="165"/>
      <c r="I1" s="47" t="s">
        <v>1227</v>
      </c>
    </row>
    <row r="2" spans="3:25" ht="27" customHeight="1" thickBot="1">
      <c r="C2" s="166"/>
      <c r="D2" s="160"/>
      <c r="E2" s="160"/>
      <c r="F2" s="160"/>
      <c r="G2" s="162"/>
      <c r="I2" s="48" t="s">
        <v>1228</v>
      </c>
    </row>
    <row r="3" spans="3:25" ht="15">
      <c r="C3" s="167" t="s">
        <v>1229</v>
      </c>
      <c r="D3" s="168"/>
      <c r="E3" s="168"/>
      <c r="F3" s="168"/>
      <c r="G3" s="169"/>
      <c r="I3" s="170" t="s">
        <v>1230</v>
      </c>
      <c r="J3" s="171"/>
      <c r="K3" s="171"/>
      <c r="L3" s="172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73"/>
      <c r="J4" s="174"/>
      <c r="K4" s="174"/>
      <c r="L4" s="175"/>
      <c r="N4" s="54" t="s">
        <v>1233</v>
      </c>
    </row>
    <row r="5" spans="3:25" ht="15" customHeight="1">
      <c r="C5" s="55" t="s">
        <v>1234</v>
      </c>
      <c r="D5" s="56"/>
      <c r="E5" s="57">
        <f>3342000-21600-63854</f>
        <v>3256546</v>
      </c>
      <c r="F5" s="58"/>
      <c r="G5" s="59">
        <f>E5</f>
        <v>3256546</v>
      </c>
      <c r="I5" s="173"/>
      <c r="J5" s="174"/>
      <c r="K5" s="174"/>
      <c r="L5" s="175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73"/>
      <c r="J6" s="174"/>
      <c r="K6" s="174"/>
      <c r="L6" s="175"/>
    </row>
    <row r="7" spans="3:25" ht="15" customHeight="1">
      <c r="C7" s="60" t="s">
        <v>1236</v>
      </c>
      <c r="D7" s="56"/>
      <c r="E7" s="58"/>
      <c r="F7" s="58"/>
      <c r="G7" s="59"/>
      <c r="I7" s="173"/>
      <c r="J7" s="174"/>
      <c r="K7" s="174"/>
      <c r="L7" s="175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76"/>
      <c r="J8" s="177"/>
      <c r="K8" s="177"/>
      <c r="L8" s="178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0" t="s">
        <v>1240</v>
      </c>
      <c r="J10" s="171"/>
      <c r="K10" s="171"/>
      <c r="L10" s="172"/>
    </row>
    <row r="11" spans="3:25" ht="15">
      <c r="C11" s="60" t="s">
        <v>1241</v>
      </c>
      <c r="D11" s="56"/>
      <c r="E11" s="61">
        <v>0</v>
      </c>
      <c r="F11" s="58"/>
      <c r="G11" s="62"/>
      <c r="I11" s="173"/>
      <c r="J11" s="174"/>
      <c r="K11" s="174"/>
      <c r="L11" s="175"/>
    </row>
    <row r="12" spans="3:25" ht="15">
      <c r="C12" s="60" t="s">
        <v>1242</v>
      </c>
      <c r="D12" s="56"/>
      <c r="E12" s="61">
        <v>50000</v>
      </c>
      <c r="F12" s="58"/>
      <c r="G12" s="59"/>
      <c r="I12" s="173"/>
      <c r="J12" s="174"/>
      <c r="K12" s="174"/>
      <c r="L12" s="175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73"/>
      <c r="J13" s="174"/>
      <c r="K13" s="174"/>
      <c r="L13" s="175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73"/>
      <c r="J14" s="174"/>
      <c r="K14" s="174"/>
      <c r="L14" s="175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76"/>
      <c r="J15" s="177"/>
      <c r="K15" s="177"/>
      <c r="L15" s="178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79" t="s">
        <v>1248</v>
      </c>
      <c r="J17" s="171"/>
      <c r="K17" s="171"/>
      <c r="L17" s="172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73"/>
      <c r="J18" s="174"/>
      <c r="K18" s="174"/>
      <c r="L18" s="175"/>
    </row>
    <row r="19" spans="2:16" ht="5.25" customHeight="1">
      <c r="C19" s="66"/>
      <c r="D19" s="67"/>
      <c r="E19" s="68"/>
      <c r="F19" s="68"/>
      <c r="G19" s="69"/>
      <c r="I19" s="173"/>
      <c r="J19" s="174"/>
      <c r="K19" s="174"/>
      <c r="L19" s="175"/>
    </row>
    <row r="20" spans="2:16" ht="15">
      <c r="C20" s="70" t="s">
        <v>1250</v>
      </c>
      <c r="D20" s="67"/>
      <c r="E20" s="71">
        <f>MAX(E5+E6-E18,0)</f>
        <v>2854546</v>
      </c>
      <c r="F20" s="71"/>
      <c r="G20" s="72">
        <f>MAX(G5+G6-G18-E13,0)</f>
        <v>3181546</v>
      </c>
      <c r="I20" s="173"/>
      <c r="J20" s="174"/>
      <c r="K20" s="174"/>
      <c r="L20" s="175"/>
    </row>
    <row r="21" spans="2:16" ht="8.25" customHeight="1">
      <c r="C21" s="60"/>
      <c r="D21" s="56"/>
      <c r="E21" s="58"/>
      <c r="F21" s="58"/>
      <c r="G21" s="59"/>
      <c r="I21" s="173"/>
      <c r="J21" s="174"/>
      <c r="K21" s="174"/>
      <c r="L21" s="175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76"/>
      <c r="J22" s="177"/>
      <c r="K22" s="177"/>
      <c r="L22" s="178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0" t="s">
        <v>1255</v>
      </c>
      <c r="J24" s="174"/>
      <c r="K24" s="174"/>
      <c r="L24" s="174"/>
      <c r="M24" s="174"/>
      <c r="N24" s="174"/>
      <c r="O24" s="174"/>
      <c r="P24" s="174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556363.79999999993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234463.8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668863.79999999993</v>
      </c>
      <c r="F36" s="81"/>
      <c r="G36" s="82">
        <f>IF(AND(G20&gt;700000,SUM(G23:G35)&gt;(G20-700000)),G20-700000,SUM(G23:G35))</f>
        <v>534463.80000000005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26754.551999999996</v>
      </c>
      <c r="F37" s="84"/>
      <c r="G37" s="85">
        <f>G36*$D$37*IF(G20/10^5&lt;50,1,1.1)</f>
        <v>21378.552000000003</v>
      </c>
    </row>
    <row r="38" spans="2:8" ht="15">
      <c r="C38" s="86" t="s">
        <v>1273</v>
      </c>
      <c r="D38" s="51"/>
      <c r="E38" s="87">
        <f>SUM(E36:E37)+IF(E20&gt;50*10^5,0.1,0)*E36</f>
        <v>695618.35199999996</v>
      </c>
      <c r="F38" s="84"/>
      <c r="G38" s="88">
        <f>SUM(G36:G37)+IF(G20&gt;50*10^5,0.1,0)*G36</f>
        <v>555842.35200000007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59" t="s">
        <v>1274</v>
      </c>
      <c r="D40" s="160"/>
      <c r="E40" s="161" t="str">
        <f>IF(E38&lt;G38,E4,G4) &amp;" is better by ₹" &amp;TEXT(ABS(G38-E38),"#,##0")</f>
        <v>New Tax Regime is better by ₹1,39,776</v>
      </c>
      <c r="F40" s="160"/>
      <c r="G40" s="162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85" t="s">
        <v>1275</v>
      </c>
      <c r="D1" s="186"/>
      <c r="E1" s="186"/>
      <c r="F1" s="186"/>
      <c r="G1" s="187"/>
      <c r="I1" s="91" t="s">
        <v>1276</v>
      </c>
    </row>
    <row r="2" spans="3:25" ht="15" thickBot="1">
      <c r="C2" s="188"/>
      <c r="D2" s="182"/>
      <c r="E2" s="182"/>
      <c r="F2" s="182"/>
      <c r="G2" s="184"/>
      <c r="I2" s="92" t="s">
        <v>1277</v>
      </c>
    </row>
    <row r="3" spans="3:25" ht="15">
      <c r="C3" s="189" t="s">
        <v>1229</v>
      </c>
      <c r="D3" s="190"/>
      <c r="E3" s="190"/>
      <c r="F3" s="190"/>
      <c r="G3" s="191"/>
      <c r="I3" s="192" t="s">
        <v>1230</v>
      </c>
      <c r="J3" s="193"/>
      <c r="K3" s="193"/>
      <c r="L3" s="194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95"/>
      <c r="J4" s="196"/>
      <c r="K4" s="196"/>
      <c r="L4" s="197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95"/>
      <c r="J5" s="196"/>
      <c r="K5" s="196"/>
      <c r="L5" s="197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95"/>
      <c r="J6" s="196"/>
      <c r="K6" s="196"/>
      <c r="L6" s="197"/>
    </row>
    <row r="7" spans="3:25" ht="15" customHeight="1">
      <c r="C7" s="104" t="s">
        <v>1236</v>
      </c>
      <c r="D7" s="100"/>
      <c r="E7" s="102"/>
      <c r="F7" s="102"/>
      <c r="G7" s="103"/>
      <c r="I7" s="195"/>
      <c r="J7" s="196"/>
      <c r="K7" s="196"/>
      <c r="L7" s="197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198"/>
      <c r="J8" s="199"/>
      <c r="K8" s="199"/>
      <c r="L8" s="200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92" t="s">
        <v>1240</v>
      </c>
      <c r="J10" s="193"/>
      <c r="K10" s="193"/>
      <c r="L10" s="194"/>
    </row>
    <row r="11" spans="3:25" ht="15">
      <c r="C11" s="104" t="s">
        <v>1241</v>
      </c>
      <c r="D11" s="100"/>
      <c r="E11" s="105">
        <v>0</v>
      </c>
      <c r="F11" s="102"/>
      <c r="G11" s="106"/>
      <c r="I11" s="195"/>
      <c r="J11" s="196"/>
      <c r="K11" s="196"/>
      <c r="L11" s="197"/>
    </row>
    <row r="12" spans="3:25" ht="15">
      <c r="C12" s="104" t="s">
        <v>1242</v>
      </c>
      <c r="D12" s="100"/>
      <c r="E12" s="105">
        <v>50000</v>
      </c>
      <c r="F12" s="102"/>
      <c r="G12" s="103"/>
      <c r="I12" s="195"/>
      <c r="J12" s="196"/>
      <c r="K12" s="196"/>
      <c r="L12" s="197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95"/>
      <c r="J13" s="196"/>
      <c r="K13" s="196"/>
      <c r="L13" s="197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95"/>
      <c r="J14" s="196"/>
      <c r="K14" s="196"/>
      <c r="L14" s="197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198"/>
      <c r="J15" s="199"/>
      <c r="K15" s="199"/>
      <c r="L15" s="200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01" t="s">
        <v>1248</v>
      </c>
      <c r="J17" s="193"/>
      <c r="K17" s="193"/>
      <c r="L17" s="194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95"/>
      <c r="J18" s="196"/>
      <c r="K18" s="196"/>
      <c r="L18" s="197"/>
    </row>
    <row r="19" spans="2:16" ht="5.25" customHeight="1">
      <c r="C19" s="110"/>
      <c r="D19" s="111"/>
      <c r="E19" s="112"/>
      <c r="F19" s="112"/>
      <c r="G19" s="113"/>
      <c r="I19" s="195"/>
      <c r="J19" s="196"/>
      <c r="K19" s="196"/>
      <c r="L19" s="197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95"/>
      <c r="J20" s="196"/>
      <c r="K20" s="196"/>
      <c r="L20" s="197"/>
    </row>
    <row r="21" spans="2:16" ht="8.25" customHeight="1">
      <c r="C21" s="104"/>
      <c r="D21" s="100"/>
      <c r="E21" s="102"/>
      <c r="F21" s="102"/>
      <c r="G21" s="103"/>
      <c r="I21" s="195"/>
      <c r="J21" s="196"/>
      <c r="K21" s="196"/>
      <c r="L21" s="197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198"/>
      <c r="J22" s="199"/>
      <c r="K22" s="199"/>
      <c r="L22" s="200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02" t="s">
        <v>1255</v>
      </c>
      <c r="J24" s="196"/>
      <c r="K24" s="196"/>
      <c r="L24" s="196"/>
      <c r="M24" s="196"/>
      <c r="N24" s="196"/>
      <c r="O24" s="196"/>
      <c r="P24" s="196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81" t="s">
        <v>1274</v>
      </c>
      <c r="D39" s="182"/>
      <c r="E39" s="183" t="str">
        <f>IF(E37&lt;G37,E4,G4) &amp;" is better by ₹" &amp;TEXT(ABS(G37-E37),"#,##0")</f>
        <v>New Tax Regime is better by ₹25,376</v>
      </c>
      <c r="F39" s="182"/>
      <c r="G39" s="184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58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58" t="s">
        <v>17</v>
      </c>
      <c r="P2">
        <f>SUM(N2:N6)</f>
        <v>78.099999999999994</v>
      </c>
      <c r="R2" t="s">
        <v>25</v>
      </c>
      <c r="S2">
        <v>172000</v>
      </c>
      <c r="W2" s="158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58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58"/>
      <c r="C3">
        <v>-6.4</v>
      </c>
      <c r="G3" t="s">
        <v>22</v>
      </c>
      <c r="H3">
        <v>66000</v>
      </c>
      <c r="M3" s="158"/>
      <c r="N3">
        <v>20.2</v>
      </c>
      <c r="R3" t="s">
        <v>22</v>
      </c>
      <c r="S3">
        <v>142000</v>
      </c>
      <c r="W3" s="158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58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58"/>
      <c r="C4">
        <v>36.9</v>
      </c>
      <c r="G4" t="s">
        <v>26</v>
      </c>
      <c r="H4">
        <f>D25</f>
        <v>306390</v>
      </c>
      <c r="M4" s="158"/>
      <c r="N4">
        <v>22.4</v>
      </c>
      <c r="R4" t="s">
        <v>26</v>
      </c>
      <c r="S4">
        <f>O28</f>
        <v>115265</v>
      </c>
      <c r="W4" s="158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58"/>
      <c r="AI4" s="17">
        <f t="shared" si="1"/>
        <v>0</v>
      </c>
      <c r="AL4" t="s">
        <v>26</v>
      </c>
      <c r="AM4">
        <f>AH29</f>
        <v>103534</v>
      </c>
    </row>
    <row r="5" spans="2:41">
      <c r="B5" s="158"/>
      <c r="C5">
        <v>4.8</v>
      </c>
      <c r="G5" t="s">
        <v>23</v>
      </c>
      <c r="H5">
        <v>58000</v>
      </c>
      <c r="M5" s="158"/>
      <c r="N5">
        <v>10.8</v>
      </c>
      <c r="R5" t="s">
        <v>23</v>
      </c>
      <c r="S5">
        <v>65000</v>
      </c>
      <c r="W5" s="158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58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58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58"/>
      <c r="N6">
        <v>24.7</v>
      </c>
      <c r="R6" t="s">
        <v>24</v>
      </c>
      <c r="S6">
        <f>SUM(S2:S5)</f>
        <v>494265</v>
      </c>
      <c r="W6" s="158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58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58"/>
      <c r="C7">
        <v>19.3</v>
      </c>
      <c r="M7" s="158" t="s">
        <v>18</v>
      </c>
      <c r="N7">
        <v>8.1</v>
      </c>
      <c r="P7">
        <f>SUM(N7:N11)</f>
        <v>53.6</v>
      </c>
      <c r="W7" s="158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58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58"/>
      <c r="C8">
        <v>22.2</v>
      </c>
      <c r="M8" s="158"/>
      <c r="N8">
        <v>-6.8</v>
      </c>
      <c r="W8" s="158"/>
      <c r="X8">
        <v>12514</v>
      </c>
      <c r="Y8" s="17">
        <f t="shared" si="0"/>
        <v>7.8212500000000004E-2</v>
      </c>
      <c r="AG8" s="158"/>
      <c r="AH8">
        <v>13989</v>
      </c>
      <c r="AI8" s="17">
        <f t="shared" si="1"/>
        <v>6.9944999999999993E-2</v>
      </c>
      <c r="AM8" s="3"/>
    </row>
    <row r="9" spans="2:41">
      <c r="B9" s="158"/>
      <c r="C9">
        <v>10.8</v>
      </c>
      <c r="M9" s="158"/>
      <c r="N9">
        <v>23.2</v>
      </c>
      <c r="S9" s="10"/>
      <c r="W9" s="158"/>
      <c r="X9">
        <v>20811</v>
      </c>
      <c r="Y9" s="17">
        <f t="shared" si="0"/>
        <v>0.13006875000000001</v>
      </c>
      <c r="AC9" s="10"/>
      <c r="AG9" s="158"/>
      <c r="AH9">
        <v>23989</v>
      </c>
      <c r="AI9" s="17">
        <f t="shared" si="1"/>
        <v>0.119945</v>
      </c>
      <c r="AM9" s="10"/>
    </row>
    <row r="10" spans="2:41">
      <c r="B10" s="158" t="s">
        <v>19</v>
      </c>
      <c r="C10">
        <v>24.2</v>
      </c>
      <c r="E10">
        <f>SUM(C10:C13)</f>
        <v>64.599999999999994</v>
      </c>
      <c r="M10" s="158"/>
      <c r="N10">
        <v>17.100000000000001</v>
      </c>
      <c r="W10" s="158"/>
      <c r="X10">
        <v>13577</v>
      </c>
      <c r="Y10" s="17">
        <f t="shared" si="0"/>
        <v>8.4856249999999994E-2</v>
      </c>
      <c r="AG10" s="158"/>
      <c r="AH10">
        <v>12000</v>
      </c>
      <c r="AI10" s="17">
        <f t="shared" si="1"/>
        <v>0.06</v>
      </c>
    </row>
    <row r="11" spans="2:41">
      <c r="B11" s="158"/>
      <c r="C11">
        <v>0.8</v>
      </c>
      <c r="M11" s="158"/>
      <c r="N11">
        <v>12</v>
      </c>
      <c r="W11" s="158"/>
      <c r="X11">
        <v>1412</v>
      </c>
      <c r="Y11" s="17">
        <f t="shared" si="0"/>
        <v>8.8249999999999995E-3</v>
      </c>
      <c r="AG11" s="158"/>
      <c r="AH11">
        <v>13391</v>
      </c>
      <c r="AI11" s="17">
        <f t="shared" si="1"/>
        <v>6.6955000000000001E-2</v>
      </c>
    </row>
    <row r="12" spans="2:41">
      <c r="B12" s="158"/>
      <c r="C12">
        <v>28.1</v>
      </c>
      <c r="M12" s="158" t="s">
        <v>19</v>
      </c>
      <c r="N12">
        <v>7.5</v>
      </c>
      <c r="P12">
        <f>SUM(N12:N16)</f>
        <v>62.6</v>
      </c>
      <c r="W12" s="158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58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58"/>
      <c r="C13">
        <v>11.5</v>
      </c>
      <c r="M13" s="158"/>
      <c r="N13">
        <v>13</v>
      </c>
      <c r="W13" s="158"/>
      <c r="X13">
        <v>9637</v>
      </c>
      <c r="Y13" s="17">
        <f t="shared" si="0"/>
        <v>6.023125E-2</v>
      </c>
      <c r="AG13" s="158"/>
      <c r="AH13">
        <v>-2716</v>
      </c>
      <c r="AI13" s="17">
        <f t="shared" si="1"/>
        <v>-1.358E-2</v>
      </c>
    </row>
    <row r="14" spans="2:41">
      <c r="B14" s="158" t="s">
        <v>20</v>
      </c>
      <c r="C14">
        <v>4.9000000000000004</v>
      </c>
      <c r="E14">
        <f>SUM(C14:C18)</f>
        <v>65.5</v>
      </c>
      <c r="M14" s="158"/>
      <c r="N14">
        <v>4.8</v>
      </c>
      <c r="W14" s="158"/>
      <c r="X14">
        <v>6542</v>
      </c>
      <c r="Y14" s="17">
        <f t="shared" si="0"/>
        <v>4.08875E-2</v>
      </c>
      <c r="AG14" s="158"/>
      <c r="AH14">
        <v>-37463</v>
      </c>
      <c r="AI14" s="17">
        <f t="shared" si="1"/>
        <v>-0.18731500000000001</v>
      </c>
    </row>
    <row r="15" spans="2:41">
      <c r="B15" s="158"/>
      <c r="C15">
        <v>43.6</v>
      </c>
      <c r="M15" s="158"/>
      <c r="N15">
        <v>10.9</v>
      </c>
      <c r="W15" s="158"/>
      <c r="X15">
        <v>8408</v>
      </c>
      <c r="Y15" s="17">
        <f t="shared" si="0"/>
        <v>5.2549999999999999E-2</v>
      </c>
      <c r="AG15" s="158"/>
      <c r="AH15">
        <v>12412</v>
      </c>
      <c r="AI15" s="17">
        <f t="shared" si="1"/>
        <v>6.2059999999999997E-2</v>
      </c>
    </row>
    <row r="16" spans="2:41">
      <c r="B16" s="158"/>
      <c r="C16">
        <v>-4.2</v>
      </c>
      <c r="M16" s="158"/>
      <c r="N16">
        <v>26.4</v>
      </c>
      <c r="W16" s="158"/>
      <c r="X16">
        <v>-6006</v>
      </c>
      <c r="Y16" s="17">
        <f t="shared" si="0"/>
        <v>-3.7537500000000001E-2</v>
      </c>
      <c r="AG16" s="158"/>
      <c r="AH16">
        <v>10060</v>
      </c>
      <c r="AI16" s="17">
        <f t="shared" si="1"/>
        <v>5.0299999999999997E-2</v>
      </c>
    </row>
    <row r="17" spans="2:38">
      <c r="B17" s="158"/>
      <c r="C17">
        <v>8.1999999999999993</v>
      </c>
      <c r="M17" s="158" t="s">
        <v>20</v>
      </c>
      <c r="N17">
        <v>-118.2</v>
      </c>
      <c r="P17">
        <f>SUM(N17:N21)</f>
        <v>-90.300000000000011</v>
      </c>
      <c r="W17" s="158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58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58"/>
      <c r="C18">
        <v>13</v>
      </c>
      <c r="M18" s="158"/>
      <c r="N18">
        <v>-4</v>
      </c>
      <c r="W18" s="158"/>
      <c r="X18">
        <v>16136</v>
      </c>
      <c r="Y18" s="17">
        <f t="shared" si="0"/>
        <v>0.10085</v>
      </c>
      <c r="AG18" s="158"/>
      <c r="AH18">
        <v>5687</v>
      </c>
      <c r="AI18" s="17">
        <f t="shared" si="1"/>
        <v>2.8434999999999998E-2</v>
      </c>
    </row>
    <row r="19" spans="2:38">
      <c r="B19" s="158" t="s">
        <v>21</v>
      </c>
      <c r="C19">
        <v>9</v>
      </c>
      <c r="E19">
        <f>SUM(C19:C23)</f>
        <v>62</v>
      </c>
      <c r="M19" s="158"/>
      <c r="N19">
        <v>16.3</v>
      </c>
      <c r="W19" s="158"/>
      <c r="Y19" s="17">
        <f t="shared" si="0"/>
        <v>0</v>
      </c>
      <c r="AG19" s="158"/>
      <c r="AH19">
        <v>21733</v>
      </c>
      <c r="AI19" s="17">
        <f t="shared" si="1"/>
        <v>0.108665</v>
      </c>
    </row>
    <row r="20" spans="2:38">
      <c r="B20" s="158"/>
      <c r="C20">
        <v>30.1</v>
      </c>
      <c r="M20" s="158"/>
      <c r="N20">
        <v>15.6</v>
      </c>
      <c r="W20" s="158"/>
      <c r="X20">
        <v>49619</v>
      </c>
      <c r="Y20" s="17">
        <f t="shared" si="0"/>
        <v>0.31011875</v>
      </c>
      <c r="AG20" s="158"/>
      <c r="AH20">
        <f>17976+3580</f>
        <v>21556</v>
      </c>
      <c r="AI20" s="17">
        <f t="shared" si="1"/>
        <v>0.10778</v>
      </c>
    </row>
    <row r="21" spans="2:38">
      <c r="B21" s="158"/>
      <c r="M21" s="158"/>
      <c r="W21" s="158"/>
      <c r="X21">
        <v>19404</v>
      </c>
      <c r="Y21" s="17">
        <f t="shared" si="0"/>
        <v>0.12127499999999999</v>
      </c>
      <c r="AG21" s="158"/>
      <c r="AH21">
        <v>10789</v>
      </c>
      <c r="AI21" s="17">
        <f t="shared" si="1"/>
        <v>5.3945E-2</v>
      </c>
    </row>
    <row r="22" spans="2:38">
      <c r="B22" s="158"/>
      <c r="C22">
        <v>22.9</v>
      </c>
      <c r="M22" s="158" t="s">
        <v>21</v>
      </c>
      <c r="N22">
        <v>-10</v>
      </c>
      <c r="P22">
        <f>SUM(N22:N26)</f>
        <v>11.2</v>
      </c>
      <c r="W22" s="158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58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58"/>
      <c r="M23" s="158"/>
      <c r="N23">
        <v>21.2</v>
      </c>
      <c r="W23" s="158"/>
      <c r="Y23" s="17">
        <f t="shared" si="0"/>
        <v>0</v>
      </c>
      <c r="AG23" s="158"/>
      <c r="AH23">
        <v>9722</v>
      </c>
      <c r="AI23" s="17">
        <f t="shared" si="1"/>
        <v>4.861E-2</v>
      </c>
    </row>
    <row r="24" spans="2:38">
      <c r="D24" t="s">
        <v>29</v>
      </c>
      <c r="M24" s="158"/>
      <c r="W24" s="158"/>
      <c r="Y24" s="17">
        <f t="shared" si="0"/>
        <v>0</v>
      </c>
      <c r="AG24" s="158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58"/>
      <c r="W25" s="158"/>
      <c r="Y25" s="17">
        <f t="shared" si="0"/>
        <v>0</v>
      </c>
      <c r="AG25" s="158"/>
      <c r="AH25">
        <f>27071+14672-7637-3380</f>
        <v>30726</v>
      </c>
      <c r="AI25" s="17">
        <f t="shared" si="1"/>
        <v>0.15362999999999999</v>
      </c>
    </row>
    <row r="26" spans="2:38">
      <c r="M26" s="158"/>
      <c r="W26" s="158"/>
      <c r="Y26" s="17">
        <f t="shared" si="0"/>
        <v>0</v>
      </c>
      <c r="AG26" s="158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03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03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03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58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03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58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03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58"/>
      <c r="N34">
        <v>27.4</v>
      </c>
      <c r="O34" s="17">
        <f t="shared" si="2"/>
        <v>0.1957142857142857</v>
      </c>
      <c r="R34" t="s">
        <v>26</v>
      </c>
      <c r="S34">
        <v>197885</v>
      </c>
      <c r="W34" s="158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58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03"/>
      <c r="C35" s="10">
        <v>4.0999999999999996</v>
      </c>
      <c r="D35" s="10"/>
      <c r="E35" s="10"/>
      <c r="F35" s="10"/>
      <c r="M35" s="158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58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58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03" t="s">
        <v>18</v>
      </c>
      <c r="C36" s="10">
        <v>10.9</v>
      </c>
      <c r="D36" s="10"/>
      <c r="E36" s="10">
        <f>SUM(C36:C40)</f>
        <v>48.900000000000006</v>
      </c>
      <c r="F36" s="10"/>
      <c r="M36" s="158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58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58"/>
      <c r="AI36" s="17">
        <f t="shared" si="4"/>
        <v>0</v>
      </c>
      <c r="AL36" t="s">
        <v>26</v>
      </c>
      <c r="AM36">
        <f>AH61</f>
        <v>176019</v>
      </c>
    </row>
    <row r="37" spans="2:41">
      <c r="B37" s="203"/>
      <c r="C37" s="10">
        <v>3.7</v>
      </c>
      <c r="D37" s="10"/>
      <c r="E37" s="10"/>
      <c r="F37" s="10"/>
      <c r="G37" s="10"/>
      <c r="H37" s="10"/>
      <c r="M37" s="158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58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58"/>
      <c r="AI37" s="17">
        <f t="shared" si="4"/>
        <v>0</v>
      </c>
      <c r="AL37" t="s">
        <v>178</v>
      </c>
      <c r="AM37">
        <v>182216</v>
      </c>
    </row>
    <row r="38" spans="2:41">
      <c r="B38" s="203"/>
      <c r="C38" s="10">
        <v>-6.2</v>
      </c>
      <c r="D38" s="10"/>
      <c r="E38" s="10"/>
      <c r="F38" s="10"/>
      <c r="G38" s="10"/>
      <c r="H38" s="10"/>
      <c r="M38" s="158"/>
      <c r="N38">
        <v>-0.9</v>
      </c>
      <c r="O38" s="17">
        <f t="shared" si="2"/>
        <v>-6.4285714285714285E-3</v>
      </c>
      <c r="W38" s="158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58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03"/>
      <c r="C39" s="10">
        <v>20.100000000000001</v>
      </c>
      <c r="D39" s="10"/>
      <c r="E39" s="10"/>
      <c r="F39" s="10"/>
      <c r="G39" s="10"/>
      <c r="H39" s="10"/>
      <c r="M39" s="158"/>
      <c r="N39">
        <v>21.3</v>
      </c>
      <c r="O39" s="17">
        <f t="shared" si="2"/>
        <v>0.15214285714285714</v>
      </c>
      <c r="S39" s="10"/>
      <c r="W39" s="158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58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03"/>
      <c r="C40" s="10">
        <v>20.399999999999999</v>
      </c>
      <c r="D40" s="10"/>
      <c r="E40" s="10"/>
      <c r="F40" s="10"/>
      <c r="M40" s="158"/>
      <c r="N40">
        <v>10.199999999999999</v>
      </c>
      <c r="O40" s="17">
        <f t="shared" si="2"/>
        <v>7.2857142857142843E-2</v>
      </c>
      <c r="W40" s="158"/>
      <c r="X40">
        <v>-33678</v>
      </c>
      <c r="Y40" s="17">
        <f t="shared" si="3"/>
        <v>-0.19810588235294119</v>
      </c>
      <c r="AG40" s="158"/>
      <c r="AH40">
        <v>21305</v>
      </c>
      <c r="AI40" s="17">
        <f t="shared" si="4"/>
        <v>9.5968468468468474E-2</v>
      </c>
    </row>
    <row r="41" spans="2:41">
      <c r="B41" s="203" t="s">
        <v>19</v>
      </c>
      <c r="C41" s="10">
        <v>18.5</v>
      </c>
      <c r="D41" s="10"/>
      <c r="E41" s="10">
        <f>SUM(C41:C45)</f>
        <v>73.8</v>
      </c>
      <c r="F41" s="10"/>
      <c r="M41" s="158"/>
      <c r="N41">
        <v>7.3</v>
      </c>
      <c r="O41" s="17">
        <f t="shared" si="2"/>
        <v>5.2142857142857144E-2</v>
      </c>
      <c r="W41" s="158"/>
      <c r="X41">
        <v>15143</v>
      </c>
      <c r="Y41" s="17">
        <f t="shared" si="3"/>
        <v>8.9076470588235299E-2</v>
      </c>
      <c r="AC41" s="10"/>
      <c r="AG41" s="158"/>
      <c r="AH41">
        <v>12952</v>
      </c>
      <c r="AI41" s="17">
        <f t="shared" si="4"/>
        <v>5.834234234234234E-2</v>
      </c>
      <c r="AM41" s="10"/>
    </row>
    <row r="42" spans="2:41">
      <c r="B42" s="203"/>
      <c r="C42" s="10"/>
      <c r="D42" s="10"/>
      <c r="E42" s="10"/>
      <c r="F42" s="10"/>
      <c r="M42" s="158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58"/>
      <c r="X42">
        <v>6921</v>
      </c>
      <c r="Y42" s="17">
        <f t="shared" si="3"/>
        <v>4.071176470588235E-2</v>
      </c>
      <c r="AG42" s="158"/>
      <c r="AH42">
        <v>13077</v>
      </c>
      <c r="AI42" s="17">
        <f t="shared" si="4"/>
        <v>5.8905405405405405E-2</v>
      </c>
    </row>
    <row r="43" spans="2:41">
      <c r="B43" s="203"/>
      <c r="C43" s="10">
        <v>34</v>
      </c>
      <c r="D43" s="10"/>
      <c r="E43" s="10"/>
      <c r="M43" s="158"/>
      <c r="O43" s="17">
        <f t="shared" si="2"/>
        <v>0</v>
      </c>
      <c r="W43" s="158"/>
      <c r="X43">
        <v>1053</v>
      </c>
      <c r="Y43" s="17">
        <f t="shared" si="3"/>
        <v>6.1941176470588239E-3</v>
      </c>
      <c r="AG43" s="158"/>
      <c r="AI43" s="17">
        <f t="shared" si="4"/>
        <v>0</v>
      </c>
    </row>
    <row r="44" spans="2:41">
      <c r="B44" s="203"/>
      <c r="C44" s="10">
        <v>13.2</v>
      </c>
      <c r="D44" s="10"/>
      <c r="E44" s="10"/>
      <c r="F44" s="10"/>
      <c r="M44" s="158"/>
      <c r="N44">
        <v>19.2</v>
      </c>
      <c r="O44" s="17">
        <f t="shared" si="2"/>
        <v>0.13714285714285715</v>
      </c>
      <c r="W44" s="158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58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03"/>
      <c r="C45" s="10">
        <v>8.1</v>
      </c>
      <c r="D45" s="10"/>
      <c r="E45" s="10"/>
      <c r="F45" s="10"/>
      <c r="M45" s="158"/>
      <c r="N45">
        <v>-1.9</v>
      </c>
      <c r="O45" s="17">
        <f t="shared" si="2"/>
        <v>-1.3571428571428571E-2</v>
      </c>
      <c r="W45" s="158"/>
      <c r="X45">
        <v>13430</v>
      </c>
      <c r="Y45" s="17">
        <f t="shared" si="3"/>
        <v>7.9000000000000001E-2</v>
      </c>
      <c r="AG45" s="158"/>
      <c r="AH45">
        <v>229</v>
      </c>
      <c r="AI45" s="17">
        <f t="shared" si="4"/>
        <v>1.0315315315315315E-3</v>
      </c>
    </row>
    <row r="46" spans="2:41">
      <c r="B46" s="203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58"/>
      <c r="N46">
        <v>22.3</v>
      </c>
      <c r="O46" s="17">
        <f t="shared" si="2"/>
        <v>0.15928571428571428</v>
      </c>
      <c r="W46" s="158"/>
      <c r="X46">
        <v>-13924</v>
      </c>
      <c r="Y46" s="17">
        <f t="shared" si="3"/>
        <v>-8.1905882352941176E-2</v>
      </c>
      <c r="AG46" s="158"/>
      <c r="AH46">
        <v>19551</v>
      </c>
      <c r="AI46" s="17">
        <f t="shared" si="4"/>
        <v>8.8067567567567562E-2</v>
      </c>
    </row>
    <row r="47" spans="2:41">
      <c r="B47" s="203"/>
      <c r="C47" s="10">
        <v>29.2</v>
      </c>
      <c r="D47" s="10"/>
      <c r="E47" s="10"/>
      <c r="F47" s="10"/>
      <c r="G47" s="10"/>
      <c r="H47" s="10"/>
      <c r="M47" s="158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58"/>
      <c r="X47">
        <v>15018</v>
      </c>
      <c r="Y47" s="17">
        <f t="shared" si="3"/>
        <v>8.8341176470588229E-2</v>
      </c>
      <c r="AG47" s="158"/>
      <c r="AH47">
        <v>16372</v>
      </c>
      <c r="AI47" s="17">
        <f t="shared" si="4"/>
        <v>7.3747747747747741E-2</v>
      </c>
    </row>
    <row r="48" spans="2:41">
      <c r="B48" s="203"/>
      <c r="C48" s="10">
        <v>6.4</v>
      </c>
      <c r="D48" s="10"/>
      <c r="E48" s="10"/>
      <c r="F48" s="10"/>
      <c r="G48" s="10"/>
      <c r="H48" s="10"/>
      <c r="M48" s="158"/>
      <c r="N48">
        <v>16.3</v>
      </c>
      <c r="O48" s="17">
        <f t="shared" si="2"/>
        <v>0.11642857142857142</v>
      </c>
      <c r="W48" s="158"/>
      <c r="X48">
        <v>13405</v>
      </c>
      <c r="Y48" s="17">
        <f t="shared" si="3"/>
        <v>7.8852941176470584E-2</v>
      </c>
      <c r="AG48" s="158"/>
      <c r="AH48">
        <v>9432</v>
      </c>
      <c r="AI48" s="17">
        <f t="shared" si="4"/>
        <v>4.2486486486486487E-2</v>
      </c>
    </row>
    <row r="49" spans="2:38">
      <c r="B49" s="203"/>
      <c r="C49" s="10">
        <v>37</v>
      </c>
      <c r="D49" s="10"/>
      <c r="E49" s="10"/>
      <c r="F49" s="10"/>
      <c r="G49" s="10"/>
      <c r="H49" s="10"/>
      <c r="M49" s="158"/>
      <c r="N49">
        <v>11.3</v>
      </c>
      <c r="O49" s="17">
        <f t="shared" si="2"/>
        <v>8.0714285714285711E-2</v>
      </c>
      <c r="W49" s="158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58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03"/>
      <c r="C50" s="10">
        <v>4</v>
      </c>
      <c r="D50" s="10"/>
      <c r="E50" s="10"/>
      <c r="F50" s="10"/>
      <c r="G50" s="10"/>
      <c r="H50" s="10"/>
      <c r="M50" s="158"/>
      <c r="N50">
        <v>7.6</v>
      </c>
      <c r="O50" s="17">
        <f t="shared" si="2"/>
        <v>5.4285714285714284E-2</v>
      </c>
      <c r="W50" s="158"/>
      <c r="X50">
        <v>-714</v>
      </c>
      <c r="Y50" s="17">
        <f t="shared" si="3"/>
        <v>-4.1999999999999997E-3</v>
      </c>
      <c r="AG50" s="158"/>
      <c r="AH50">
        <v>13468</v>
      </c>
      <c r="AI50" s="17">
        <f t="shared" si="4"/>
        <v>6.0666666666666667E-2</v>
      </c>
    </row>
    <row r="51" spans="2:38">
      <c r="B51" s="203"/>
      <c r="C51" s="10">
        <v>9.8000000000000007</v>
      </c>
      <c r="D51" s="10"/>
      <c r="E51" s="10"/>
      <c r="F51" s="10"/>
      <c r="G51" s="10"/>
      <c r="H51" s="10"/>
      <c r="M51" s="158"/>
      <c r="N51">
        <v>11.6</v>
      </c>
      <c r="O51" s="17">
        <f t="shared" si="2"/>
        <v>8.2857142857142851E-2</v>
      </c>
      <c r="W51" s="158"/>
      <c r="X51">
        <v>-450</v>
      </c>
      <c r="Y51" s="17">
        <f t="shared" si="3"/>
        <v>-2.6470588235294116E-3</v>
      </c>
      <c r="AG51" s="158"/>
      <c r="AH51">
        <v>9439</v>
      </c>
      <c r="AI51" s="17">
        <f t="shared" si="4"/>
        <v>4.2518018018018015E-2</v>
      </c>
    </row>
    <row r="52" spans="2:38">
      <c r="B52" s="203" t="s">
        <v>21</v>
      </c>
      <c r="C52" s="10"/>
      <c r="D52" s="10"/>
      <c r="E52" s="10">
        <f>SUM(C52:C56)</f>
        <v>0</v>
      </c>
      <c r="F52" s="10"/>
      <c r="G52" s="10"/>
      <c r="H52" s="10"/>
      <c r="M52" s="158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58"/>
      <c r="X52">
        <v>51238</v>
      </c>
      <c r="Y52" s="17">
        <f t="shared" si="3"/>
        <v>0.3014</v>
      </c>
      <c r="AG52" s="158"/>
      <c r="AH52">
        <v>23888</v>
      </c>
      <c r="AI52" s="17">
        <f t="shared" si="4"/>
        <v>0.1076036036036036</v>
      </c>
    </row>
    <row r="53" spans="2:38">
      <c r="B53" s="203"/>
      <c r="C53" s="10"/>
      <c r="D53" s="10"/>
      <c r="E53" s="10"/>
      <c r="F53" s="10"/>
      <c r="G53" s="10"/>
      <c r="H53" s="10"/>
      <c r="M53" s="158"/>
      <c r="O53" s="17">
        <f t="shared" si="2"/>
        <v>0</v>
      </c>
      <c r="W53" s="158"/>
      <c r="Y53" s="17">
        <f t="shared" si="3"/>
        <v>0</v>
      </c>
      <c r="AG53" s="158"/>
      <c r="AH53">
        <v>7555</v>
      </c>
      <c r="AI53" s="17">
        <f t="shared" si="4"/>
        <v>3.4031531531531531E-2</v>
      </c>
    </row>
    <row r="54" spans="2:38">
      <c r="B54" s="203"/>
      <c r="C54" s="10"/>
      <c r="D54" s="10"/>
      <c r="E54" s="10"/>
      <c r="F54" s="10"/>
      <c r="G54" s="10"/>
      <c r="H54" s="10"/>
      <c r="M54" s="158"/>
      <c r="O54" s="17">
        <f t="shared" si="2"/>
        <v>0</v>
      </c>
      <c r="W54" s="158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58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03"/>
      <c r="C55" s="10"/>
      <c r="D55" s="10"/>
      <c r="E55" s="10"/>
      <c r="F55" s="10"/>
      <c r="G55" s="10"/>
      <c r="H55" s="10"/>
      <c r="M55" s="158"/>
      <c r="O55" s="17">
        <f t="shared" si="2"/>
        <v>0</v>
      </c>
      <c r="W55" s="158"/>
      <c r="X55">
        <v>21835</v>
      </c>
      <c r="Y55" s="17">
        <f t="shared" si="3"/>
        <v>0.12844117647058823</v>
      </c>
      <c r="AG55" s="158"/>
      <c r="AH55">
        <v>14479</v>
      </c>
      <c r="AI55" s="17">
        <f t="shared" si="4"/>
        <v>6.5220720720720715E-2</v>
      </c>
    </row>
    <row r="56" spans="2:38">
      <c r="B56" s="203"/>
      <c r="C56" s="10"/>
      <c r="D56" s="10"/>
      <c r="E56" s="10"/>
      <c r="F56" s="10"/>
      <c r="G56" s="10"/>
      <c r="H56" s="10"/>
      <c r="M56" s="158"/>
      <c r="O56" s="17">
        <f t="shared" si="2"/>
        <v>0</v>
      </c>
      <c r="W56" s="158"/>
      <c r="X56">
        <v>12411</v>
      </c>
      <c r="Y56" s="17">
        <f t="shared" si="3"/>
        <v>7.300588235294117E-2</v>
      </c>
      <c r="AG56" s="158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58"/>
      <c r="Y57" s="17">
        <f t="shared" si="3"/>
        <v>0</v>
      </c>
      <c r="AG57" s="158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58"/>
      <c r="Y58" s="17">
        <f t="shared" si="3"/>
        <v>0</v>
      </c>
      <c r="AG58" s="158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2025-04-09T09:37:12Z</dcterms:modified>
</cp:coreProperties>
</file>