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"/>
    </mc:Choice>
  </mc:AlternateContent>
  <xr:revisionPtr revIDLastSave="0" documentId="13_ncr:1_{13A2F1D8-C1A3-024E-BBB2-9E5DD836A12D}" xr6:coauthVersionLast="47" xr6:coauthVersionMax="47" xr10:uidLastSave="{00000000-0000-0000-0000-000000000000}"/>
  <bookViews>
    <workbookView xWindow="0" yWindow="760" windowWidth="34560" windowHeight="20100" activeTab="1" xr2:uid="{00000000-000D-0000-FFFF-FFFF00000000}"/>
  </bookViews>
  <sheets>
    <sheet name="month expiry to expiry" sheetId="4" r:id="rId1"/>
    <sheet name="P-bfly+Call" sheetId="12" r:id="rId2"/>
    <sheet name="month expiry - always ATM" sheetId="6" r:id="rId3"/>
    <sheet name="month expiry to expiry - 300otm" sheetId="5" r:id="rId4"/>
    <sheet name="calendar month" sheetId="2" r:id="rId5"/>
    <sheet name="close to close" sheetId="9" r:id="rId6"/>
    <sheet name="open close" sheetId="7" r:id="rId7"/>
  </sheets>
  <definedNames>
    <definedName name="_xlnm._FilterDatabase" localSheetId="5" hidden="1">'close to close'!$A$1:$D$35</definedName>
    <definedName name="_xlnm._FilterDatabase" localSheetId="6" hidden="1">'open close'!$A$1:$A$36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2" l="1"/>
  <c r="M4" i="12"/>
  <c r="M5" i="12"/>
  <c r="M6" i="12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M14" i="12"/>
  <c r="M15" i="12"/>
  <c r="M16" i="12"/>
  <c r="M17" i="12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M24" i="12"/>
  <c r="M25" i="12"/>
  <c r="M26" i="12"/>
  <c r="M27" i="12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N38" i="12" s="1"/>
  <c r="M2" i="12"/>
  <c r="G3" i="12"/>
  <c r="G4" i="12"/>
  <c r="G5" i="12"/>
  <c r="G6" i="12"/>
  <c r="G7" i="12"/>
  <c r="G8" i="12"/>
  <c r="G9" i="12"/>
  <c r="G10" i="12"/>
  <c r="J10" i="12" s="1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F3" i="12"/>
  <c r="F4" i="12"/>
  <c r="F5" i="12"/>
  <c r="F6" i="12"/>
  <c r="I6" i="12" s="1"/>
  <c r="F7" i="12"/>
  <c r="I7" i="12" s="1"/>
  <c r="F8" i="12"/>
  <c r="I8" i="12" s="1"/>
  <c r="F9" i="12"/>
  <c r="I9" i="12" s="1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G2" i="12"/>
  <c r="J2" i="12" s="1"/>
  <c r="F2" i="12"/>
  <c r="E38" i="12"/>
  <c r="E37" i="12"/>
  <c r="E36" i="12"/>
  <c r="E35" i="12"/>
  <c r="H35" i="12" s="1"/>
  <c r="E34" i="12"/>
  <c r="E33" i="12"/>
  <c r="H33" i="12" s="1"/>
  <c r="E32" i="12"/>
  <c r="H32" i="12" s="1"/>
  <c r="E31" i="12"/>
  <c r="E30" i="12"/>
  <c r="E29" i="12"/>
  <c r="H29" i="12" s="1"/>
  <c r="E28" i="12"/>
  <c r="E27" i="12"/>
  <c r="E26" i="12"/>
  <c r="E25" i="12"/>
  <c r="E24" i="12"/>
  <c r="E23" i="12"/>
  <c r="H23" i="12" s="1"/>
  <c r="E22" i="12"/>
  <c r="H22" i="12" s="1"/>
  <c r="E21" i="12"/>
  <c r="E20" i="12"/>
  <c r="H20" i="12" s="1"/>
  <c r="E19" i="12"/>
  <c r="H19" i="12" s="1"/>
  <c r="E18" i="12"/>
  <c r="E17" i="12"/>
  <c r="E16" i="12"/>
  <c r="E15" i="12"/>
  <c r="E14" i="12"/>
  <c r="H14" i="12" s="1"/>
  <c r="E13" i="12"/>
  <c r="H13" i="12" s="1"/>
  <c r="E12" i="12"/>
  <c r="H12" i="12" s="1"/>
  <c r="E11" i="12"/>
  <c r="E10" i="12"/>
  <c r="E9" i="12"/>
  <c r="H9" i="12" s="1"/>
  <c r="E8" i="12"/>
  <c r="E7" i="12"/>
  <c r="E6" i="12"/>
  <c r="E5" i="12"/>
  <c r="E4" i="12"/>
  <c r="E3" i="12"/>
  <c r="H3" i="12" s="1"/>
  <c r="H10" i="12"/>
  <c r="H11" i="12"/>
  <c r="H16" i="12"/>
  <c r="H17" i="12"/>
  <c r="H18" i="12"/>
  <c r="H21" i="12"/>
  <c r="H30" i="12"/>
  <c r="H31" i="12"/>
  <c r="H36" i="12"/>
  <c r="H37" i="12"/>
  <c r="H38" i="12"/>
  <c r="H7" i="12"/>
  <c r="H8" i="12"/>
  <c r="H27" i="12"/>
  <c r="H28" i="12"/>
  <c r="E2" i="12"/>
  <c r="H2" i="12" s="1"/>
  <c r="I2" i="12"/>
  <c r="Q4" i="12"/>
  <c r="Q5" i="12"/>
  <c r="Q6" i="12" s="1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2" i="12"/>
  <c r="N3" i="12"/>
  <c r="N4" i="12"/>
  <c r="N5" i="12"/>
  <c r="N6" i="12"/>
  <c r="N13" i="12"/>
  <c r="N14" i="12"/>
  <c r="N15" i="12"/>
  <c r="N16" i="12"/>
  <c r="N17" i="12"/>
  <c r="N23" i="12"/>
  <c r="N24" i="12"/>
  <c r="N25" i="12"/>
  <c r="N26" i="12"/>
  <c r="N27" i="12"/>
  <c r="N33" i="12"/>
  <c r="N34" i="12"/>
  <c r="N35" i="12"/>
  <c r="N36" i="12"/>
  <c r="N37" i="12"/>
  <c r="N2" i="12"/>
  <c r="O2" i="12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2" i="12"/>
  <c r="J3" i="12"/>
  <c r="J4" i="12"/>
  <c r="J5" i="12"/>
  <c r="J6" i="12"/>
  <c r="J7" i="12"/>
  <c r="J8" i="12"/>
  <c r="J9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I3" i="12"/>
  <c r="I4" i="12"/>
  <c r="I5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H4" i="12"/>
  <c r="H5" i="12"/>
  <c r="H6" i="12"/>
  <c r="H15" i="12"/>
  <c r="H24" i="12"/>
  <c r="H25" i="12"/>
  <c r="H26" i="12"/>
  <c r="H34" i="12"/>
  <c r="V5" i="12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L2" i="4"/>
  <c r="H34" i="6"/>
  <c r="I34" i="6" s="1"/>
  <c r="J34" i="6" s="1"/>
  <c r="H33" i="6"/>
  <c r="I33" i="6" s="1"/>
  <c r="J33" i="6" s="1"/>
  <c r="H32" i="6"/>
  <c r="I32" i="6" s="1"/>
  <c r="J32" i="6" s="1"/>
  <c r="H31" i="6"/>
  <c r="I31" i="6" s="1"/>
  <c r="J31" i="6" s="1"/>
  <c r="H30" i="6"/>
  <c r="I30" i="6" s="1"/>
  <c r="J30" i="6" s="1"/>
  <c r="H29" i="6"/>
  <c r="I29" i="6" s="1"/>
  <c r="J29" i="6" s="1"/>
  <c r="H28" i="6"/>
  <c r="I28" i="6" s="1"/>
  <c r="J28" i="6" s="1"/>
  <c r="H27" i="6"/>
  <c r="I27" i="6" s="1"/>
  <c r="J27" i="6" s="1"/>
  <c r="H26" i="6"/>
  <c r="I26" i="6" s="1"/>
  <c r="J26" i="6" s="1"/>
  <c r="I25" i="6"/>
  <c r="J25" i="6" s="1"/>
  <c r="H25" i="6"/>
  <c r="H24" i="6"/>
  <c r="I24" i="6" s="1"/>
  <c r="J24" i="6" s="1"/>
  <c r="I23" i="6"/>
  <c r="J23" i="6" s="1"/>
  <c r="H23" i="6"/>
  <c r="H22" i="6"/>
  <c r="I22" i="6" s="1"/>
  <c r="J22" i="6" s="1"/>
  <c r="H21" i="6"/>
  <c r="I21" i="6" s="1"/>
  <c r="J21" i="6" s="1"/>
  <c r="H20" i="6"/>
  <c r="I20" i="6" s="1"/>
  <c r="J20" i="6" s="1"/>
  <c r="H19" i="6"/>
  <c r="I19" i="6" s="1"/>
  <c r="J19" i="6" s="1"/>
  <c r="H18" i="6"/>
  <c r="I18" i="6" s="1"/>
  <c r="J18" i="6" s="1"/>
  <c r="H17" i="6"/>
  <c r="I17" i="6" s="1"/>
  <c r="J17" i="6" s="1"/>
  <c r="H16" i="6"/>
  <c r="I16" i="6" s="1"/>
  <c r="J16" i="6" s="1"/>
  <c r="H15" i="6"/>
  <c r="I15" i="6" s="1"/>
  <c r="J15" i="6" s="1"/>
  <c r="H14" i="6"/>
  <c r="I14" i="6" s="1"/>
  <c r="J14" i="6" s="1"/>
  <c r="H13" i="6"/>
  <c r="I13" i="6" s="1"/>
  <c r="J13" i="6" s="1"/>
  <c r="H12" i="6"/>
  <c r="I12" i="6" s="1"/>
  <c r="J12" i="6" s="1"/>
  <c r="H11" i="6"/>
  <c r="I11" i="6" s="1"/>
  <c r="J11" i="6" s="1"/>
  <c r="H10" i="6"/>
  <c r="I10" i="6" s="1"/>
  <c r="J10" i="6" s="1"/>
  <c r="H9" i="6"/>
  <c r="I9" i="6" s="1"/>
  <c r="J9" i="6" s="1"/>
  <c r="H8" i="6"/>
  <c r="I8" i="6" s="1"/>
  <c r="J8" i="6" s="1"/>
  <c r="H7" i="6"/>
  <c r="I7" i="6" s="1"/>
  <c r="J7" i="6" s="1"/>
  <c r="H6" i="6"/>
  <c r="I6" i="6" s="1"/>
  <c r="J6" i="6" s="1"/>
  <c r="H5" i="6"/>
  <c r="I5" i="6" s="1"/>
  <c r="J5" i="6" s="1"/>
  <c r="H4" i="6"/>
  <c r="I4" i="6" s="1"/>
  <c r="J4" i="6" s="1"/>
  <c r="H3" i="6"/>
  <c r="I3" i="6" s="1"/>
  <c r="J3" i="6" s="1"/>
  <c r="I2" i="6"/>
  <c r="J2" i="6" s="1"/>
  <c r="H2" i="6"/>
  <c r="H34" i="5"/>
  <c r="I34" i="5" s="1"/>
  <c r="J34" i="5" s="1"/>
  <c r="H33" i="5"/>
  <c r="I33" i="5" s="1"/>
  <c r="J33" i="5" s="1"/>
  <c r="H32" i="5"/>
  <c r="I32" i="5" s="1"/>
  <c r="J32" i="5" s="1"/>
  <c r="H31" i="5"/>
  <c r="I31" i="5" s="1"/>
  <c r="J31" i="5" s="1"/>
  <c r="H30" i="5"/>
  <c r="I30" i="5" s="1"/>
  <c r="J30" i="5" s="1"/>
  <c r="H29" i="5"/>
  <c r="I29" i="5" s="1"/>
  <c r="J29" i="5" s="1"/>
  <c r="H28" i="5"/>
  <c r="I28" i="5" s="1"/>
  <c r="J28" i="5" s="1"/>
  <c r="H27" i="5"/>
  <c r="I27" i="5" s="1"/>
  <c r="J27" i="5" s="1"/>
  <c r="J26" i="5"/>
  <c r="I26" i="5"/>
  <c r="H26" i="5"/>
  <c r="H25" i="5"/>
  <c r="I25" i="5" s="1"/>
  <c r="J25" i="5" s="1"/>
  <c r="H24" i="5"/>
  <c r="I24" i="5" s="1"/>
  <c r="J24" i="5" s="1"/>
  <c r="H23" i="5"/>
  <c r="I23" i="5" s="1"/>
  <c r="J23" i="5" s="1"/>
  <c r="H22" i="5"/>
  <c r="I22" i="5" s="1"/>
  <c r="J22" i="5" s="1"/>
  <c r="H21" i="5"/>
  <c r="I21" i="5" s="1"/>
  <c r="J21" i="5" s="1"/>
  <c r="H20" i="5"/>
  <c r="I20" i="5" s="1"/>
  <c r="J20" i="5" s="1"/>
  <c r="H19" i="5"/>
  <c r="I19" i="5" s="1"/>
  <c r="J19" i="5" s="1"/>
  <c r="I18" i="5"/>
  <c r="J18" i="5" s="1"/>
  <c r="H18" i="5"/>
  <c r="H17" i="5"/>
  <c r="I17" i="5" s="1"/>
  <c r="J17" i="5" s="1"/>
  <c r="H16" i="5"/>
  <c r="I16" i="5" s="1"/>
  <c r="J16" i="5" s="1"/>
  <c r="H15" i="5"/>
  <c r="I15" i="5" s="1"/>
  <c r="J15" i="5" s="1"/>
  <c r="H14" i="5"/>
  <c r="I14" i="5" s="1"/>
  <c r="J14" i="5" s="1"/>
  <c r="H13" i="5"/>
  <c r="I13" i="5" s="1"/>
  <c r="J13" i="5" s="1"/>
  <c r="H12" i="5"/>
  <c r="I12" i="5" s="1"/>
  <c r="J12" i="5" s="1"/>
  <c r="I11" i="5"/>
  <c r="J11" i="5" s="1"/>
  <c r="H11" i="5"/>
  <c r="H10" i="5"/>
  <c r="I10" i="5" s="1"/>
  <c r="J10" i="5" s="1"/>
  <c r="H9" i="5"/>
  <c r="I9" i="5" s="1"/>
  <c r="J9" i="5" s="1"/>
  <c r="H8" i="5"/>
  <c r="I8" i="5" s="1"/>
  <c r="J8" i="5" s="1"/>
  <c r="H7" i="5"/>
  <c r="I7" i="5" s="1"/>
  <c r="J7" i="5" s="1"/>
  <c r="H6" i="5"/>
  <c r="I6" i="5" s="1"/>
  <c r="J6" i="5" s="1"/>
  <c r="H5" i="5"/>
  <c r="I5" i="5" s="1"/>
  <c r="J5" i="5" s="1"/>
  <c r="H4" i="5"/>
  <c r="I4" i="5" s="1"/>
  <c r="J4" i="5" s="1"/>
  <c r="H3" i="5"/>
  <c r="I3" i="5" s="1"/>
  <c r="J3" i="5" s="1"/>
  <c r="H2" i="5"/>
  <c r="I2" i="5" s="1"/>
  <c r="J2" i="5" s="1"/>
  <c r="H27" i="4"/>
  <c r="I27" i="4" s="1"/>
  <c r="J27" i="4" s="1"/>
  <c r="H28" i="4"/>
  <c r="I28" i="4" s="1"/>
  <c r="J28" i="4" s="1"/>
  <c r="H29" i="4"/>
  <c r="I29" i="4" s="1"/>
  <c r="J29" i="4" s="1"/>
  <c r="H30" i="4"/>
  <c r="I30" i="4" s="1"/>
  <c r="H31" i="4"/>
  <c r="I31" i="4" s="1"/>
  <c r="H32" i="4"/>
  <c r="I32" i="4" s="1"/>
  <c r="H33" i="4"/>
  <c r="I33" i="4" s="1"/>
  <c r="H34" i="4"/>
  <c r="I34" i="4" s="1"/>
  <c r="J34" i="4" s="1"/>
  <c r="H26" i="4"/>
  <c r="H25" i="4"/>
  <c r="I25" i="4" s="1"/>
  <c r="J25" i="4" s="1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J3" i="4" s="1"/>
  <c r="H2" i="4"/>
  <c r="I2" i="4" s="1"/>
  <c r="J2" i="4" s="1"/>
  <c r="K2" i="4" s="1"/>
  <c r="H34" i="2"/>
  <c r="H33" i="2"/>
  <c r="H32" i="2"/>
  <c r="H31" i="2"/>
  <c r="H30" i="2"/>
  <c r="I30" i="2" s="1"/>
  <c r="J30" i="2" s="1"/>
  <c r="H29" i="2"/>
  <c r="I29" i="2" s="1"/>
  <c r="J29" i="2" s="1"/>
  <c r="H28" i="2"/>
  <c r="I28" i="2" s="1"/>
  <c r="J28" i="2" s="1"/>
  <c r="H27" i="2"/>
  <c r="I27" i="2" s="1"/>
  <c r="J27" i="2" s="1"/>
  <c r="H26" i="2"/>
  <c r="I26" i="2" s="1"/>
  <c r="J26" i="2" s="1"/>
  <c r="H25" i="2"/>
  <c r="I25" i="2" s="1"/>
  <c r="J25" i="2" s="1"/>
  <c r="H24" i="2"/>
  <c r="H23" i="2"/>
  <c r="H22" i="2"/>
  <c r="H21" i="2"/>
  <c r="H20" i="2"/>
  <c r="H19" i="2"/>
  <c r="H18" i="2"/>
  <c r="I18" i="2" s="1"/>
  <c r="J18" i="2" s="1"/>
  <c r="H17" i="2"/>
  <c r="I17" i="2" s="1"/>
  <c r="J17" i="2" s="1"/>
  <c r="H16" i="2"/>
  <c r="I16" i="2" s="1"/>
  <c r="J16" i="2" s="1"/>
  <c r="H15" i="2"/>
  <c r="I15" i="2" s="1"/>
  <c r="J15" i="2" s="1"/>
  <c r="H14" i="2"/>
  <c r="H13" i="2"/>
  <c r="H12" i="2"/>
  <c r="H11" i="2"/>
  <c r="I11" i="2" s="1"/>
  <c r="J11" i="2" s="1"/>
  <c r="H10" i="2"/>
  <c r="I10" i="2" s="1"/>
  <c r="J10" i="2" s="1"/>
  <c r="H9" i="2"/>
  <c r="I9" i="2" s="1"/>
  <c r="J9" i="2" s="1"/>
  <c r="H8" i="2"/>
  <c r="I8" i="2" s="1"/>
  <c r="J8" i="2" s="1"/>
  <c r="H7" i="2"/>
  <c r="I7" i="2" s="1"/>
  <c r="J7" i="2" s="1"/>
  <c r="H6" i="2"/>
  <c r="I6" i="2" s="1"/>
  <c r="J6" i="2" s="1"/>
  <c r="H5" i="2"/>
  <c r="I5" i="2" s="1"/>
  <c r="J5" i="2" s="1"/>
  <c r="H4" i="2"/>
  <c r="I4" i="2" s="1"/>
  <c r="J4" i="2" s="1"/>
  <c r="H3" i="2"/>
  <c r="I3" i="2" s="1"/>
  <c r="J3" i="2" s="1"/>
  <c r="I12" i="2"/>
  <c r="J12" i="2" s="1"/>
  <c r="I14" i="2"/>
  <c r="J14" i="2" s="1"/>
  <c r="I20" i="2"/>
  <c r="J20" i="2" s="1"/>
  <c r="I21" i="2"/>
  <c r="J21" i="2" s="1"/>
  <c r="I22" i="2"/>
  <c r="J22" i="2" s="1"/>
  <c r="I31" i="2"/>
  <c r="J31" i="2" s="1"/>
  <c r="I32" i="2"/>
  <c r="J32" i="2" s="1"/>
  <c r="H2" i="2"/>
  <c r="I2" i="2" s="1"/>
  <c r="J2" i="2" s="1"/>
  <c r="I34" i="2"/>
  <c r="J34" i="2" s="1"/>
  <c r="I33" i="2"/>
  <c r="J33" i="2" s="1"/>
  <c r="I24" i="2"/>
  <c r="J24" i="2" s="1"/>
  <c r="I23" i="2"/>
  <c r="J23" i="2" s="1"/>
  <c r="I19" i="2"/>
  <c r="J19" i="2" s="1"/>
  <c r="I13" i="2"/>
  <c r="J13" i="2" s="1"/>
  <c r="O3" i="12" l="1"/>
  <c r="O4" i="12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K36" i="12"/>
  <c r="K26" i="12"/>
  <c r="K16" i="12"/>
  <c r="K6" i="12"/>
  <c r="K28" i="12"/>
  <c r="K35" i="12"/>
  <c r="K25" i="12"/>
  <c r="K15" i="12"/>
  <c r="K5" i="12"/>
  <c r="K34" i="12"/>
  <c r="K24" i="12"/>
  <c r="K14" i="12"/>
  <c r="K4" i="12"/>
  <c r="K11" i="12"/>
  <c r="K22" i="12"/>
  <c r="K18" i="12"/>
  <c r="K33" i="12"/>
  <c r="K23" i="12"/>
  <c r="K13" i="12"/>
  <c r="K3" i="12"/>
  <c r="K12" i="12"/>
  <c r="K8" i="12"/>
  <c r="K31" i="12"/>
  <c r="K21" i="12"/>
  <c r="K30" i="12"/>
  <c r="K20" i="12"/>
  <c r="K10" i="12"/>
  <c r="K2" i="12"/>
  <c r="L2" i="12" s="1"/>
  <c r="R2" i="12" s="1"/>
  <c r="K29" i="12"/>
  <c r="K19" i="12"/>
  <c r="K9" i="12"/>
  <c r="K38" i="12"/>
  <c r="K37" i="12"/>
  <c r="K27" i="12"/>
  <c r="K17" i="12"/>
  <c r="K7" i="12"/>
  <c r="K32" i="12"/>
  <c r="K3" i="4"/>
  <c r="L3" i="4" s="1"/>
  <c r="J35" i="6"/>
  <c r="M11" i="6" s="1"/>
  <c r="J35" i="5"/>
  <c r="P11" i="5" s="1"/>
  <c r="P3" i="5"/>
  <c r="P8" i="5"/>
  <c r="P7" i="5"/>
  <c r="I26" i="4"/>
  <c r="J26" i="4" s="1"/>
  <c r="J32" i="4"/>
  <c r="J30" i="4"/>
  <c r="J33" i="4"/>
  <c r="J31" i="4"/>
  <c r="J35" i="2"/>
  <c r="M12" i="2"/>
  <c r="M8" i="2"/>
  <c r="M2" i="2"/>
  <c r="M7" i="2"/>
  <c r="M3" i="2"/>
  <c r="M4" i="2" s="1"/>
  <c r="M5" i="2" s="1"/>
  <c r="M14" i="2" s="1"/>
  <c r="M11" i="2"/>
  <c r="L3" i="12" l="1"/>
  <c r="K4" i="4"/>
  <c r="N2" i="4"/>
  <c r="M12" i="6"/>
  <c r="M2" i="6"/>
  <c r="M8" i="6"/>
  <c r="M7" i="6"/>
  <c r="M3" i="6"/>
  <c r="P12" i="5"/>
  <c r="P2" i="5"/>
  <c r="P4" i="5" s="1"/>
  <c r="P5" i="5" s="1"/>
  <c r="P9" i="5"/>
  <c r="J35" i="4"/>
  <c r="N12" i="4" s="1"/>
  <c r="M9" i="2"/>
  <c r="M15" i="2" s="1"/>
  <c r="L4" i="12" l="1"/>
  <c r="R3" i="12"/>
  <c r="K5" i="4"/>
  <c r="L4" i="4"/>
  <c r="N8" i="4"/>
  <c r="N3" i="4"/>
  <c r="N4" i="4" s="1"/>
  <c r="N7" i="4"/>
  <c r="N9" i="4" s="1"/>
  <c r="N11" i="4"/>
  <c r="M4" i="6"/>
  <c r="M5" i="6" s="1"/>
  <c r="M9" i="6"/>
  <c r="P15" i="5"/>
  <c r="P14" i="5"/>
  <c r="L5" i="12" l="1"/>
  <c r="R4" i="12"/>
  <c r="K6" i="4"/>
  <c r="L5" i="4"/>
  <c r="N5" i="4"/>
  <c r="N15" i="4" s="1"/>
  <c r="N14" i="4"/>
  <c r="M15" i="6"/>
  <c r="M14" i="6"/>
  <c r="L6" i="12" l="1"/>
  <c r="R5" i="12"/>
  <c r="K7" i="4"/>
  <c r="L6" i="4"/>
  <c r="L7" i="12" l="1"/>
  <c r="R6" i="12"/>
  <c r="K8" i="4"/>
  <c r="L7" i="4"/>
  <c r="L8" i="12" l="1"/>
  <c r="R7" i="12"/>
  <c r="K9" i="4"/>
  <c r="L8" i="4"/>
  <c r="L9" i="12" l="1"/>
  <c r="R8" i="12"/>
  <c r="K10" i="4"/>
  <c r="L9" i="4"/>
  <c r="L10" i="12" l="1"/>
  <c r="R9" i="12"/>
  <c r="K11" i="4"/>
  <c r="L10" i="4"/>
  <c r="L11" i="12" l="1"/>
  <c r="R10" i="12"/>
  <c r="K12" i="4"/>
  <c r="L11" i="4"/>
  <c r="L12" i="12" l="1"/>
  <c r="R11" i="12"/>
  <c r="K13" i="4"/>
  <c r="L12" i="4"/>
  <c r="L13" i="12" l="1"/>
  <c r="R12" i="12"/>
  <c r="K14" i="4"/>
  <c r="L13" i="4"/>
  <c r="L14" i="12" l="1"/>
  <c r="R13" i="12"/>
  <c r="K15" i="4"/>
  <c r="L14" i="4"/>
  <c r="L15" i="12" l="1"/>
  <c r="R14" i="12"/>
  <c r="K16" i="4"/>
  <c r="L15" i="4"/>
  <c r="L16" i="12" l="1"/>
  <c r="R15" i="12"/>
  <c r="K17" i="4"/>
  <c r="L16" i="4"/>
  <c r="L17" i="12" l="1"/>
  <c r="R16" i="12"/>
  <c r="K18" i="4"/>
  <c r="L17" i="4"/>
  <c r="L18" i="12" l="1"/>
  <c r="R17" i="12"/>
  <c r="K19" i="4"/>
  <c r="L18" i="4"/>
  <c r="L19" i="12" l="1"/>
  <c r="R18" i="12"/>
  <c r="K20" i="4"/>
  <c r="L19" i="4"/>
  <c r="L20" i="12" l="1"/>
  <c r="R19" i="12"/>
  <c r="K21" i="4"/>
  <c r="L20" i="4"/>
  <c r="L21" i="12" l="1"/>
  <c r="R20" i="12"/>
  <c r="K22" i="4"/>
  <c r="L21" i="4"/>
  <c r="L22" i="12" l="1"/>
  <c r="R21" i="12"/>
  <c r="K23" i="4"/>
  <c r="L22" i="4"/>
  <c r="L23" i="12" l="1"/>
  <c r="R22" i="12"/>
  <c r="K24" i="4"/>
  <c r="L23" i="4"/>
  <c r="L24" i="12" l="1"/>
  <c r="R23" i="12"/>
  <c r="K25" i="4"/>
  <c r="L24" i="4"/>
  <c r="L25" i="12" l="1"/>
  <c r="R24" i="12"/>
  <c r="K26" i="4"/>
  <c r="L25" i="4"/>
  <c r="L26" i="12" l="1"/>
  <c r="R25" i="12"/>
  <c r="K27" i="4"/>
  <c r="L26" i="4"/>
  <c r="L27" i="12" l="1"/>
  <c r="R26" i="12"/>
  <c r="K28" i="4"/>
  <c r="L27" i="4"/>
  <c r="L28" i="12" l="1"/>
  <c r="R27" i="12"/>
  <c r="K29" i="4"/>
  <c r="L28" i="4"/>
  <c r="L29" i="12" l="1"/>
  <c r="R28" i="12"/>
  <c r="K30" i="4"/>
  <c r="L29" i="4"/>
  <c r="L30" i="12" l="1"/>
  <c r="R29" i="12"/>
  <c r="K31" i="4"/>
  <c r="L30" i="4"/>
  <c r="L31" i="12" l="1"/>
  <c r="R30" i="12"/>
  <c r="K32" i="4"/>
  <c r="L31" i="4"/>
  <c r="L32" i="12" l="1"/>
  <c r="R31" i="12"/>
  <c r="K33" i="4"/>
  <c r="L32" i="4"/>
  <c r="L33" i="12" l="1"/>
  <c r="R32" i="12"/>
  <c r="K34" i="4"/>
  <c r="L34" i="4" s="1"/>
  <c r="L33" i="4"/>
  <c r="L34" i="12" l="1"/>
  <c r="R33" i="12"/>
  <c r="L35" i="12" l="1"/>
  <c r="R34" i="12"/>
  <c r="L36" i="12" l="1"/>
  <c r="R35" i="12"/>
  <c r="L37" i="12" l="1"/>
  <c r="R36" i="12"/>
  <c r="L38" i="12" l="1"/>
  <c r="R38" i="12" s="1"/>
  <c r="R37" i="12"/>
</calcChain>
</file>

<file path=xl/sharedStrings.xml><?xml version="1.0" encoding="utf-8"?>
<sst xmlns="http://schemas.openxmlformats.org/spreadsheetml/2006/main" count="331" uniqueCount="125">
  <si>
    <t>Date</t>
  </si>
  <si>
    <t>Open</t>
  </si>
  <si>
    <t>High</t>
  </si>
  <si>
    <t>Low</t>
  </si>
  <si>
    <t>Close</t>
  </si>
  <si>
    <t>Mon Mar 01 2021 00:00:00 GMT+0530 (India Standard Time)</t>
  </si>
  <si>
    <t>Thu Apr 01 2021 00:00:00 GMT+0530 (India Standard Time)</t>
  </si>
  <si>
    <t>Mon May 03 2021 00:00:00 GMT+0530 (India Standard Time)</t>
  </si>
  <si>
    <t>Tue Jun 01 2021 00:00:00 GMT+0530 (India Standard Time)</t>
  </si>
  <si>
    <t>Thu Jul 01 2021 00:00:00 GMT+0530 (India Standard Time)</t>
  </si>
  <si>
    <t>Mon Aug 02 2021 00:00:00 GMT+0530 (India Standard Time)</t>
  </si>
  <si>
    <t>Wed Sep 01 2021 00:00:00 GMT+0530 (India Standard Time)</t>
  </si>
  <si>
    <t>Fri Oct 01 2021 00:00:00 GMT+0530 (India Standard Time)</t>
  </si>
  <si>
    <t>Mon Nov 01 2021 00:00:00 GMT+0530 (India Standard Time)</t>
  </si>
  <si>
    <t>Wed Dec 01 2021 00:00:00 GMT+0530 (India Standard Time)</t>
  </si>
  <si>
    <t>Mon Jan 03 2022 00:00:00 GMT+0530 (India Standard Time)</t>
  </si>
  <si>
    <t>Tue Feb 01 2022 00:00:00 GMT+0530 (India Standard Time)</t>
  </si>
  <si>
    <t>Tue Mar 01 2022 00:00:00 GMT+0530 (India Standard Time)</t>
  </si>
  <si>
    <t>Fri Apr 01 2022 00:00:00 GMT+0530 (India Standard Time)</t>
  </si>
  <si>
    <t>Mon May 02 2022 00:00:00 GMT+0530 (India Standard Time)</t>
  </si>
  <si>
    <t>Wed Jun 01 2022 00:00:00 GMT+0530 (India Standard Time)</t>
  </si>
  <si>
    <t>Fri Jul 01 2022 00:00:00 GMT+0530 (India Standard Time)</t>
  </si>
  <si>
    <t>Mon Aug 01 2022 00:00:00 GMT+0530 (India Standard Time)</t>
  </si>
  <si>
    <t>Thu Sep 01 2022 00:00:00 GMT+0530 (India Standard Time)</t>
  </si>
  <si>
    <t>Mon Oct 03 2022 00:00:00 GMT+0530 (India Standard Time)</t>
  </si>
  <si>
    <t>Tue Nov 01 2022 00:00:00 GMT+0530 (India Standard Time)</t>
  </si>
  <si>
    <t>Thu Dec 01 2022 00:00:00 GMT+0530 (India Standard Time)</t>
  </si>
  <si>
    <t>Mon Jan 02 2023 00:00:00 GMT+0530 (India Standard Time)</t>
  </si>
  <si>
    <t>Wed Feb 01 2023 00:00:00 GMT+0530 (India Standard Time)</t>
  </si>
  <si>
    <t>Wed Mar 01 2023 00:00:00 GMT+0530 (India Standard Time)</t>
  </si>
  <si>
    <t>Mon Apr 03 2023 00:00:00 GMT+0530 (India Standard Time)</t>
  </si>
  <si>
    <t>Mon May 01 2023 00:00:00 GMT+0530 (India Standard Time)</t>
  </si>
  <si>
    <t>Thu Jun 01 2023 00:00:00 GMT+0530 (India Standard Time)</t>
  </si>
  <si>
    <t>Mon Jul 03 2023 00:00:00 GMT+0530 (India Standard Time)</t>
  </si>
  <si>
    <t>Tue Aug 01 2023 00:00:00 GMT+0530 (India Standard Time)</t>
  </si>
  <si>
    <t>Fri Sep 01 2023 00:00:00 GMT+0530 (India Standard Time)</t>
  </si>
  <si>
    <t>Mon Oct 02 2023 00:00:00 GMT+0530 (India Standard Time)</t>
  </si>
  <si>
    <t>Wed Nov 01 2023 00:00:00 GMT+0530 (India Standard Time)</t>
  </si>
  <si>
    <t>atm call premium</t>
  </si>
  <si>
    <t>spot diff</t>
  </si>
  <si>
    <t>premium at expiry</t>
  </si>
  <si>
    <t>call pnl</t>
  </si>
  <si>
    <t>atm call strike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</si>
  <si>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</si>
  <si>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</si>
  <si>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</si>
  <si>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</si>
  <si>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</si>
  <si>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</si>
  <si>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</si>
  <si>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</si>
  <si>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</si>
  <si>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</si>
  <si>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</si>
  <si>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Total call pnl</t>
  </si>
  <si>
    <t>Thu Mar 25 2021 00:00:00 GMT+0530 (India Standard Time)</t>
  </si>
  <si>
    <t>Thu Apr 29 2021 00:00:00 GMT+0530 (India Standard Time)</t>
  </si>
  <si>
    <t>Thu May 27 2021 00:00:00 GMT+0530 (India Standard Time)</t>
  </si>
  <si>
    <t>Thu Jun 24 2021 00:00:00 GMT+0530 (India Standard Time)</t>
  </si>
  <si>
    <t>Thu Jul 29 2021 00:00:00 GMT+0530 (India Standard Time)</t>
  </si>
  <si>
    <t>Thu Aug 26 2021 00:00:00 GMT+0530 (India Standard Time)</t>
  </si>
  <si>
    <t>Thu Sep 30 2021 00:00:00 GMT+0530 (India Standard Time)</t>
  </si>
  <si>
    <t>Thu Oct 28 2021 00:00:00 GMT+0530 (India Standard Time)</t>
  </si>
  <si>
    <t>Thu Nov 25 2021 00:00:00 GMT+0530 (India Standard Time)</t>
  </si>
  <si>
    <t>Thu Dec 30 2021 00:00:00 GMT+0530 (India Standard Time)</t>
  </si>
  <si>
    <t>Thu Jan 27 2022 00:00:00 GMT+0530 (India Standard Time)</t>
  </si>
  <si>
    <t>Thu Feb 24 2022 00:00:00 GMT+0530 (India Standard Time)</t>
  </si>
  <si>
    <t>Thu Mar 24 2022 00:00:00 GMT+0530 (India Standard Time)</t>
  </si>
  <si>
    <t>Thu Apr 28 2022 00:00:00 GMT+0530 (India Standard Time)</t>
  </si>
  <si>
    <t>Thu May 26 2022 00:00:00 GMT+0530 (India Standard Time)</t>
  </si>
  <si>
    <t>Thu Jun 30 2022 00:00:00 GMT+0530 (India Standard Time)</t>
  </si>
  <si>
    <t>Thu Jul 28 2022 00:00:00 GMT+0530 (India Standard Time)</t>
  </si>
  <si>
    <t>Thu Aug 25 2022 00:00:00 GMT+0530 (India Standard Time)</t>
  </si>
  <si>
    <t>Thu Sep 29 2022 00:00:00 GMT+0530 (India Standard Time)</t>
  </si>
  <si>
    <t>Thu Oct 27 2022 00:00:00 GMT+0530 (India Standard Time)</t>
  </si>
  <si>
    <t>Thu Nov 24 2022 00:00:00 GMT+0530 (India Standard Time)</t>
  </si>
  <si>
    <t>Thu Dec 29 2022 00:00:00 GMT+0530 (India Standard Time)</t>
  </si>
  <si>
    <t>Wed Jan 25 2023 00:00:00 GMT+0530 (India Standard Time)</t>
  </si>
  <si>
    <t>Thu Feb 23 2023 00:00:00 GMT+0530 (India Standard Time)</t>
  </si>
  <si>
    <t>Wed Mar 29 2023 00:00:00 GMT+0530 (India Standard Time)</t>
  </si>
  <si>
    <t>Thu Apr 27 2023 00:00:00 GMT+0530 (India Standard Time)</t>
  </si>
  <si>
    <t>Thu May 25 2023 00:00:00 GMT+0530 (India Standard Time)</t>
  </si>
  <si>
    <t>Wed Jun 28 2023 00:00:00 GMT+0530 (India Standard Time)</t>
  </si>
  <si>
    <t>Thu Jul 27 2023 00:00:00 GMT+0530 (India Standard Time)</t>
  </si>
  <si>
    <t>Thu Aug 31 2023 00:00:00 GMT+0530 (India Standard Time)</t>
  </si>
  <si>
    <t>Thu Sep 28 2023 00:00:00 GMT+0530 (India Standard Time)</t>
  </si>
  <si>
    <t>Thu Oct 26 2023 00:00:00 GMT+0530 (India Standard Time)</t>
  </si>
  <si>
    <t>Fri Nov 24 2023 00:00:00 GMT+0530 (India Standard Time)</t>
  </si>
  <si>
    <t>date</t>
  </si>
  <si>
    <t>open</t>
  </si>
  <si>
    <t>high</t>
  </si>
  <si>
    <t>low</t>
  </si>
  <si>
    <t>close</t>
  </si>
  <si>
    <t>call strike</t>
  </si>
  <si>
    <t>call premium</t>
  </si>
  <si>
    <t>atm call pnl</t>
  </si>
  <si>
    <t>Strategy: Keep 300 pts difference. If spot is quite below, sell at the buying price of spot</t>
  </si>
  <si>
    <t>cumulative</t>
  </si>
  <si>
    <t>cum pnl</t>
  </si>
  <si>
    <t>close to close diff</t>
  </si>
  <si>
    <t>sorted close to close diff</t>
  </si>
  <si>
    <t>Thu Nov 30 2023 00:00:00 GMT+0530 (India Standard Time)</t>
  </si>
  <si>
    <t>Thu Dec 28 2023 00:00:00 GMT+0530 (India Standard Time)</t>
  </si>
  <si>
    <t>Thu Jan 25 2024 00:00:00 GMT+0530 (India Standard Time)</t>
  </si>
  <si>
    <t>Thu Feb 29 2024 00:00:00 GMT+0530 (India Standard Time)</t>
  </si>
  <si>
    <t>Thu Mar 28 2024 00:00:00 GMT+0530 (India Standard Time)</t>
  </si>
  <si>
    <t>B1 exit</t>
  </si>
  <si>
    <t>S exit</t>
  </si>
  <si>
    <t>B2 exit</t>
  </si>
  <si>
    <t>debit</t>
  </si>
  <si>
    <t>800 pts far call</t>
  </si>
  <si>
    <t>B1 pnl</t>
  </si>
  <si>
    <t>S pnl</t>
  </si>
  <si>
    <t>B2 pnl</t>
  </si>
  <si>
    <t>S entry 500 pts away</t>
  </si>
  <si>
    <t>B1 entry ATM</t>
  </si>
  <si>
    <t>B2 entry 1000 pts away</t>
  </si>
  <si>
    <t>cum pnl bfly</t>
  </si>
  <si>
    <t>call exit</t>
  </si>
  <si>
    <t>close - open</t>
  </si>
  <si>
    <t>bfly pnl</t>
  </si>
  <si>
    <t>cum pnl call</t>
  </si>
  <si>
    <t>nifty pnl</t>
  </si>
  <si>
    <t>cum pnl nifty</t>
  </si>
  <si>
    <t>cum strategy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</si>
</sst>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42" applyFont="1"/>
    <xf numFmtId="9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expiry to expiry'!$J$1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to expiry'!$J$2:$J$35</c:f>
              <c:numCache>
                <c:formatCode>General</c:formatCode>
                <c:ptCount val="34"/>
                <c:pt idx="0">
                  <c:v>300</c:v>
                </c:pt>
                <c:pt idx="1">
                  <c:v>50</c:v>
                </c:pt>
                <c:pt idx="2">
                  <c:v>-37.850000000000364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-384.09999999999854</c:v>
                </c:pt>
                <c:pt idx="21">
                  <c:v>300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120</c:v>
                </c:pt>
                <c:pt idx="31">
                  <c:v>300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7-8748-8734-3C2A9E41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87344"/>
        <c:axId val="1445033744"/>
      </c:barChart>
      <c:catAx>
        <c:axId val="144518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3744"/>
        <c:crosses val="autoZero"/>
        <c:auto val="1"/>
        <c:lblAlgn val="ctr"/>
        <c:lblOffset val="100"/>
        <c:noMultiLvlLbl val="0"/>
      </c:catAx>
      <c:valAx>
        <c:axId val="1445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expiry to expiry'!$K$1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 expiry to expiry'!$K$2:$K$35</c:f>
              <c:numCache>
                <c:formatCode>General</c:formatCode>
                <c:ptCount val="34"/>
                <c:pt idx="0">
                  <c:v>300</c:v>
                </c:pt>
                <c:pt idx="1">
                  <c:v>350</c:v>
                </c:pt>
                <c:pt idx="2">
                  <c:v>312.14999999999964</c:v>
                </c:pt>
                <c:pt idx="3">
                  <c:v>121.69999999999891</c:v>
                </c:pt>
                <c:pt idx="4">
                  <c:v>421.69999999999891</c:v>
                </c:pt>
                <c:pt idx="5">
                  <c:v>-115.20000000000255</c:v>
                </c:pt>
                <c:pt idx="6">
                  <c:v>-833.350000000004</c:v>
                </c:pt>
                <c:pt idx="7">
                  <c:v>-790.600000000004</c:v>
                </c:pt>
                <c:pt idx="8">
                  <c:v>-490.600000000004</c:v>
                </c:pt>
                <c:pt idx="9">
                  <c:v>-290.600000000004</c:v>
                </c:pt>
                <c:pt idx="10">
                  <c:v>-230.600000000004</c:v>
                </c:pt>
                <c:pt idx="11">
                  <c:v>-190.600000000004</c:v>
                </c:pt>
                <c:pt idx="12">
                  <c:v>-185.600000000004</c:v>
                </c:pt>
                <c:pt idx="13">
                  <c:v>-125.600000000004</c:v>
                </c:pt>
                <c:pt idx="14">
                  <c:v>-65.600000000004002</c:v>
                </c:pt>
                <c:pt idx="15">
                  <c:v>-60.600000000004002</c:v>
                </c:pt>
                <c:pt idx="16">
                  <c:v>-55.600000000004002</c:v>
                </c:pt>
                <c:pt idx="17">
                  <c:v>-25.600000000004002</c:v>
                </c:pt>
                <c:pt idx="18">
                  <c:v>174.399999999996</c:v>
                </c:pt>
                <c:pt idx="19">
                  <c:v>189.399999999996</c:v>
                </c:pt>
                <c:pt idx="20">
                  <c:v>-194.70000000000255</c:v>
                </c:pt>
                <c:pt idx="21">
                  <c:v>105.29999999999745</c:v>
                </c:pt>
                <c:pt idx="22">
                  <c:v>255.29999999999745</c:v>
                </c:pt>
                <c:pt idx="23">
                  <c:v>315.29999999999745</c:v>
                </c:pt>
                <c:pt idx="24">
                  <c:v>330.29999999999745</c:v>
                </c:pt>
                <c:pt idx="25">
                  <c:v>335.29999999999745</c:v>
                </c:pt>
                <c:pt idx="26">
                  <c:v>395.29999999999745</c:v>
                </c:pt>
                <c:pt idx="27">
                  <c:v>123.19999999999891</c:v>
                </c:pt>
                <c:pt idx="28">
                  <c:v>-236.70000000000255</c:v>
                </c:pt>
                <c:pt idx="29">
                  <c:v>63.299999999997453</c:v>
                </c:pt>
                <c:pt idx="30">
                  <c:v>183.29999999999745</c:v>
                </c:pt>
                <c:pt idx="31">
                  <c:v>483.29999999999745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1-FB47-AA18-3C189C1A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00303"/>
        <c:axId val="95601775"/>
      </c:lineChart>
      <c:catAx>
        <c:axId val="962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1775"/>
        <c:crosses val="autoZero"/>
        <c:auto val="1"/>
        <c:lblAlgn val="ctr"/>
        <c:lblOffset val="100"/>
        <c:noMultiLvlLbl val="0"/>
      </c:catAx>
      <c:valAx>
        <c:axId val="956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expiry to expiry'!$L$1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 expiry to expiry'!$L$2:$L$35</c:f>
              <c:numCache>
                <c:formatCode>General</c:formatCode>
                <c:ptCount val="34"/>
                <c:pt idx="0">
                  <c:v>-472.45000000000073</c:v>
                </c:pt>
                <c:pt idx="1">
                  <c:v>147.54999999999927</c:v>
                </c:pt>
                <c:pt idx="2">
                  <c:v>552.64999999999964</c:v>
                </c:pt>
                <c:pt idx="3">
                  <c:v>814.79999999999927</c:v>
                </c:pt>
                <c:pt idx="4">
                  <c:v>1102.7999999999993</c:v>
                </c:pt>
                <c:pt idx="5">
                  <c:v>1424.3499999999967</c:v>
                </c:pt>
                <c:pt idx="6">
                  <c:v>1687.4499999999953</c:v>
                </c:pt>
                <c:pt idx="7">
                  <c:v>1969.2999999999938</c:v>
                </c:pt>
                <c:pt idx="8">
                  <c:v>1948.2999999999938</c:v>
                </c:pt>
                <c:pt idx="9">
                  <c:v>1815.9999999999982</c:v>
                </c:pt>
                <c:pt idx="10">
                  <c:v>1782.1999999999953</c:v>
                </c:pt>
                <c:pt idx="11">
                  <c:v>959.99999999999636</c:v>
                </c:pt>
                <c:pt idx="12">
                  <c:v>1939.7999999999938</c:v>
                </c:pt>
                <c:pt idx="13">
                  <c:v>2022.0999999999967</c:v>
                </c:pt>
                <c:pt idx="14">
                  <c:v>1007.1999999999953</c:v>
                </c:pt>
                <c:pt idx="15">
                  <c:v>622.29999999999563</c:v>
                </c:pt>
                <c:pt idx="16">
                  <c:v>1776.6499999999924</c:v>
                </c:pt>
                <c:pt idx="17">
                  <c:v>2399.4999999999982</c:v>
                </c:pt>
                <c:pt idx="18">
                  <c:v>1895.1499999999924</c:v>
                </c:pt>
                <c:pt idx="19">
                  <c:v>2828.9999999999982</c:v>
                </c:pt>
                <c:pt idx="20">
                  <c:v>3192.0499999999938</c:v>
                </c:pt>
                <c:pt idx="21">
                  <c:v>3198.9499999999953</c:v>
                </c:pt>
                <c:pt idx="22">
                  <c:v>3049.8999999999996</c:v>
                </c:pt>
                <c:pt idx="23">
                  <c:v>2729.1999999999953</c:v>
                </c:pt>
                <c:pt idx="24">
                  <c:v>2313.6499999999996</c:v>
                </c:pt>
                <c:pt idx="25">
                  <c:v>3152.9999999999982</c:v>
                </c:pt>
                <c:pt idx="26">
                  <c:v>3619.0999999999967</c:v>
                </c:pt>
                <c:pt idx="27">
                  <c:v>3997.9499999999953</c:v>
                </c:pt>
                <c:pt idx="28">
                  <c:v>4325.8499999999967</c:v>
                </c:pt>
                <c:pt idx="29">
                  <c:v>4219.7499999999982</c:v>
                </c:pt>
                <c:pt idx="30">
                  <c:v>4609.4999999999982</c:v>
                </c:pt>
                <c:pt idx="31">
                  <c:v>4243.1999999999953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7-5F46-86EC-FABBED7A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99999"/>
        <c:axId val="1258094591"/>
      </c:lineChart>
      <c:catAx>
        <c:axId val="42949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94591"/>
        <c:crosses val="autoZero"/>
        <c:auto val="1"/>
        <c:lblAlgn val="ctr"/>
        <c:lblOffset val="100"/>
        <c:noMultiLvlLbl val="0"/>
      </c:catAx>
      <c:valAx>
        <c:axId val="125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9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'P-bfly+Call'!$Q$1</c:f>
              <c:strCache>
                <c:ptCount val="1"/>
                <c:pt idx="0">
                  <c:v>cum pnl nifty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'P-bfly+Call'!$Q$2:$Q$38</c:f>
              <c:numCache>
                <c:formatCode>General</c:formatCode>
                <c:ptCount val="37"/>
                <c:pt idx="0">
                  <c:v>-772.45000000000073</c:v>
                </c:pt>
                <c:pt idx="1">
                  <c:v>-202.45000000000073</c:v>
                </c:pt>
                <c:pt idx="2">
                  <c:v>240.5</c:v>
                </c:pt>
                <c:pt idx="3">
                  <c:v>693.10000000000036</c:v>
                </c:pt>
                <c:pt idx="4">
                  <c:v>681.10000000000036</c:v>
                </c:pt>
                <c:pt idx="5">
                  <c:v>1539.5500000000011</c:v>
                </c:pt>
                <c:pt idx="6">
                  <c:v>2520.8000000000011</c:v>
                </c:pt>
                <c:pt idx="7">
                  <c:v>2759.8999999999996</c:v>
                </c:pt>
                <c:pt idx="8">
                  <c:v>2438.8999999999996</c:v>
                </c:pt>
                <c:pt idx="9">
                  <c:v>2106.6000000000004</c:v>
                </c:pt>
                <c:pt idx="10">
                  <c:v>2012.8000000000011</c:v>
                </c:pt>
                <c:pt idx="11">
                  <c:v>1150.6000000000004</c:v>
                </c:pt>
                <c:pt idx="12">
                  <c:v>2125.3999999999996</c:v>
                </c:pt>
                <c:pt idx="13">
                  <c:v>2147.6999999999989</c:v>
                </c:pt>
                <c:pt idx="14">
                  <c:v>1072.7999999999993</c:v>
                </c:pt>
                <c:pt idx="15">
                  <c:v>682.89999999999964</c:v>
                </c:pt>
                <c:pt idx="16">
                  <c:v>1832.2499999999982</c:v>
                </c:pt>
                <c:pt idx="17">
                  <c:v>2425.1000000000004</c:v>
                </c:pt>
                <c:pt idx="18">
                  <c:v>1720.7499999999982</c:v>
                </c:pt>
                <c:pt idx="19">
                  <c:v>2639.6000000000004</c:v>
                </c:pt>
                <c:pt idx="20">
                  <c:v>3386.7499999999982</c:v>
                </c:pt>
                <c:pt idx="21">
                  <c:v>3093.6499999999996</c:v>
                </c:pt>
                <c:pt idx="22">
                  <c:v>2794.6000000000004</c:v>
                </c:pt>
                <c:pt idx="23">
                  <c:v>2413.8999999999996</c:v>
                </c:pt>
                <c:pt idx="24">
                  <c:v>1983.3500000000004</c:v>
                </c:pt>
                <c:pt idx="25">
                  <c:v>2817.6999999999989</c:v>
                </c:pt>
                <c:pt idx="26">
                  <c:v>3223.8000000000011</c:v>
                </c:pt>
                <c:pt idx="27">
                  <c:v>3874.7499999999982</c:v>
                </c:pt>
                <c:pt idx="28">
                  <c:v>4562.5500000000011</c:v>
                </c:pt>
                <c:pt idx="29">
                  <c:v>4156.4499999999989</c:v>
                </c:pt>
                <c:pt idx="30">
                  <c:v>4426.1999999999989</c:v>
                </c:pt>
                <c:pt idx="31">
                  <c:v>3759.8999999999996</c:v>
                </c:pt>
                <c:pt idx="32">
                  <c:v>5035.8000000000011</c:v>
                </c:pt>
                <c:pt idx="33">
                  <c:v>6681.35</c:v>
                </c:pt>
                <c:pt idx="34">
                  <c:v>6255.2499999999982</c:v>
                </c:pt>
                <c:pt idx="35">
                  <c:v>6885.4499999999989</c:v>
                </c:pt>
                <c:pt idx="36">
                  <c:v>7229.5500000000011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7545-8EAA-FA20215A6410}"/>
            </c:ext>
          </c:extLst>
        </c:ser>
        <c:ser>
          <c:idx val="1"/>
          <c:order val="1"/>
          <c:tx>
            <c:strRef>
              <c:f>'P-bfly+Call'!$R$1</c:f>
              <c:strCache>
                <c:ptCount val="1"/>
                <c:pt idx="0">
                  <c:v>cum strategy pnl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'P-bfly+Call'!$R$2:$R$38</c:f>
              <c:numCache>
                <c:formatCode>General</c:formatCode>
                <c:ptCount val="37"/>
                <c:pt idx="0">
                  <c:v>-547.55000000000109</c:v>
                </c:pt>
                <c:pt idx="1">
                  <c:v>22.449999999998909</c:v>
                </c:pt>
                <c:pt idx="2">
                  <c:v>465.39999999999964</c:v>
                </c:pt>
                <c:pt idx="3">
                  <c:v>918</c:v>
                </c:pt>
                <c:pt idx="4">
                  <c:v>927.54999999999927</c:v>
                </c:pt>
                <c:pt idx="5">
                  <c:v>1749.0999999999985</c:v>
                </c:pt>
                <c:pt idx="6">
                  <c:v>2562.1999999999971</c:v>
                </c:pt>
                <c:pt idx="7">
                  <c:v>2801.2999999999956</c:v>
                </c:pt>
                <c:pt idx="8">
                  <c:v>2794.0499999999956</c:v>
                </c:pt>
                <c:pt idx="9">
                  <c:v>2807.7999999999956</c:v>
                </c:pt>
                <c:pt idx="10">
                  <c:v>2803.8499999999949</c:v>
                </c:pt>
                <c:pt idx="11">
                  <c:v>2089.5999999999949</c:v>
                </c:pt>
                <c:pt idx="12">
                  <c:v>2891.6499999999942</c:v>
                </c:pt>
                <c:pt idx="13">
                  <c:v>2913.9499999999935</c:v>
                </c:pt>
                <c:pt idx="14">
                  <c:v>1839.0499999999938</c:v>
                </c:pt>
                <c:pt idx="15">
                  <c:v>1818.8999999999942</c:v>
                </c:pt>
                <c:pt idx="16">
                  <c:v>2638.6499999999942</c:v>
                </c:pt>
                <c:pt idx="17">
                  <c:v>3231.4999999999964</c:v>
                </c:pt>
                <c:pt idx="18">
                  <c:v>2845.2499999999927</c:v>
                </c:pt>
                <c:pt idx="19">
                  <c:v>3627.1499999999942</c:v>
                </c:pt>
                <c:pt idx="20">
                  <c:v>4374.299999999992</c:v>
                </c:pt>
                <c:pt idx="21">
                  <c:v>4390.1999999999935</c:v>
                </c:pt>
                <c:pt idx="22">
                  <c:v>4399.1999999999935</c:v>
                </c:pt>
                <c:pt idx="23">
                  <c:v>4407.2499999999927</c:v>
                </c:pt>
                <c:pt idx="24">
                  <c:v>4395.9999999999927</c:v>
                </c:pt>
                <c:pt idx="25">
                  <c:v>5215.299999999992</c:v>
                </c:pt>
                <c:pt idx="26">
                  <c:v>5621.3999999999942</c:v>
                </c:pt>
                <c:pt idx="27">
                  <c:v>6272.3499999999913</c:v>
                </c:pt>
                <c:pt idx="28">
                  <c:v>6960.1499999999942</c:v>
                </c:pt>
                <c:pt idx="29">
                  <c:v>6950.2499999999927</c:v>
                </c:pt>
                <c:pt idx="30">
                  <c:v>7219.9999999999927</c:v>
                </c:pt>
                <c:pt idx="31">
                  <c:v>6910.9499999999935</c:v>
                </c:pt>
                <c:pt idx="32">
                  <c:v>7703.6999999999935</c:v>
                </c:pt>
                <c:pt idx="33">
                  <c:v>8520.549999999992</c:v>
                </c:pt>
                <c:pt idx="34">
                  <c:v>8541.8499999999913</c:v>
                </c:pt>
                <c:pt idx="35">
                  <c:v>9172.049999999992</c:v>
                </c:pt>
                <c:pt idx="36">
                  <c:v>9516.1499999999942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3-7545-8EAA-FA20215A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1183"/>
        <c:axId val="627532239"/>
      </c:lineChart>
      <c:catAx>
        <c:axId val="62793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2239"/>
        <c:crosses val="autoZero"/>
        <c:auto val="1"/>
        <c:lblAlgn val="ctr"/>
        <c:lblOffset val="100"/>
        <c:noMultiLvlLbl val="0"/>
      </c:catAx>
      <c:valAx>
        <c:axId val="627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expiry - always ATM'!$J$1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- always ATM'!$J$2:$J$35</c:f>
              <c:numCache>
                <c:formatCode>General</c:formatCode>
                <c:ptCount val="34"/>
                <c:pt idx="0">
                  <c:v>300</c:v>
                </c:pt>
                <c:pt idx="1">
                  <c:v>-294.89999999999964</c:v>
                </c:pt>
                <c:pt idx="2">
                  <c:v>-137.85000000000036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-722.75</c:v>
                </c:pt>
                <c:pt idx="13">
                  <c:v>254.95000000000073</c:v>
                </c:pt>
                <c:pt idx="14">
                  <c:v>300</c:v>
                </c:pt>
                <c:pt idx="15">
                  <c:v>300</c:v>
                </c:pt>
                <c:pt idx="16">
                  <c:v>-829.59999999999854</c:v>
                </c:pt>
                <c:pt idx="17">
                  <c:v>-322.45000000000073</c:v>
                </c:pt>
                <c:pt idx="18">
                  <c:v>300</c:v>
                </c:pt>
                <c:pt idx="19">
                  <c:v>-636.95000000000073</c:v>
                </c:pt>
                <c:pt idx="20">
                  <c:v>-484.09999999999854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-515.04999999999927</c:v>
                </c:pt>
                <c:pt idx="26">
                  <c:v>-121.15000000000146</c:v>
                </c:pt>
                <c:pt idx="27">
                  <c:v>-372.09999999999854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-23.549999999999272</c:v>
                </c:pt>
                <c:pt idx="31">
                  <c:v>300</c:v>
                </c:pt>
                <c:pt idx="32">
                  <c:v>-694.70000000000073</c:v>
                </c:pt>
                <c:pt idx="33">
                  <c:v>-2162.8500000000022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5-4942-90BE-BF12EED2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87344"/>
        <c:axId val="1445033744"/>
      </c:barChart>
      <c:catAx>
        <c:axId val="144518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033744"/>
        <c:crosses val="autoZero"/>
        <c:auto val="1"/>
        <c:lblAlgn val="ctr"/>
        <c:lblOffset val="100"/>
        <c:noMultiLvlLbl val="0"/>
      </c:catAx>
      <c:valAx>
        <c:axId val="1445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 expiry to expiry - 300otm'!$J$2:$J$34</c:f>
              <c:numCache>
                <c:formatCode>General</c:formatCode>
                <c:ptCount val="33"/>
                <c:pt idx="0">
                  <c:v>160</c:v>
                </c:pt>
                <c:pt idx="1">
                  <c:v>50</c:v>
                </c:pt>
                <c:pt idx="2">
                  <c:v>-37.850000000000364</c:v>
                </c:pt>
                <c:pt idx="3">
                  <c:v>-30.450000000000728</c:v>
                </c:pt>
                <c:pt idx="4">
                  <c:v>160</c:v>
                </c:pt>
                <c:pt idx="5">
                  <c:v>-376.90000000000146</c:v>
                </c:pt>
                <c:pt idx="6">
                  <c:v>-558.15000000000146</c:v>
                </c:pt>
                <c:pt idx="7">
                  <c:v>160</c:v>
                </c:pt>
                <c:pt idx="8">
                  <c:v>160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-324.09999999999854</c:v>
                </c:pt>
                <c:pt idx="21">
                  <c:v>200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-259.90000000000146</c:v>
                </c:pt>
                <c:pt idx="29">
                  <c:v>200</c:v>
                </c:pt>
                <c:pt idx="30">
                  <c:v>120</c:v>
                </c:pt>
                <c:pt idx="31">
                  <c:v>160</c:v>
                </c:pt>
                <c:pt idx="32">
                  <c:v>-164.70000000000073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4E47-B978-2CBC5792A7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 expiry to expiry - 300otm'!$K$2:$K$34</c:f>
              <c:numCache>
                <c:formatCode>General</c:formatCode>
                <c:ptCount val="33"/>
                <c:pt idx="0">
                  <c:v>300</c:v>
                </c:pt>
                <c:pt idx="1">
                  <c:v>50</c:v>
                </c:pt>
                <c:pt idx="2">
                  <c:v>-37.850000000000364</c:v>
                </c:pt>
                <c:pt idx="3">
                  <c:v>-190.45000000000073</c:v>
                </c:pt>
                <c:pt idx="4">
                  <c:v>300</c:v>
                </c:pt>
                <c:pt idx="5">
                  <c:v>-536.90000000000146</c:v>
                </c:pt>
                <c:pt idx="6">
                  <c:v>-718.15000000000146</c:v>
                </c:pt>
                <c:pt idx="7">
                  <c:v>42.75</c:v>
                </c:pt>
                <c:pt idx="8">
                  <c:v>300</c:v>
                </c:pt>
                <c:pt idx="9">
                  <c:v>200</c:v>
                </c:pt>
                <c:pt idx="10">
                  <c:v>60</c:v>
                </c:pt>
                <c:pt idx="11">
                  <c:v>40</c:v>
                </c:pt>
                <c:pt idx="12">
                  <c:v>5</c:v>
                </c:pt>
                <c:pt idx="13">
                  <c:v>60</c:v>
                </c:pt>
                <c:pt idx="14">
                  <c:v>60</c:v>
                </c:pt>
                <c:pt idx="15">
                  <c:v>5</c:v>
                </c:pt>
                <c:pt idx="16">
                  <c:v>5</c:v>
                </c:pt>
                <c:pt idx="17">
                  <c:v>30</c:v>
                </c:pt>
                <c:pt idx="18">
                  <c:v>200</c:v>
                </c:pt>
                <c:pt idx="19">
                  <c:v>15</c:v>
                </c:pt>
                <c:pt idx="20">
                  <c:v>-384.09999999999854</c:v>
                </c:pt>
                <c:pt idx="21">
                  <c:v>300</c:v>
                </c:pt>
                <c:pt idx="22">
                  <c:v>150</c:v>
                </c:pt>
                <c:pt idx="23">
                  <c:v>60</c:v>
                </c:pt>
                <c:pt idx="24">
                  <c:v>15</c:v>
                </c:pt>
                <c:pt idx="25">
                  <c:v>5</c:v>
                </c:pt>
                <c:pt idx="26">
                  <c:v>60</c:v>
                </c:pt>
                <c:pt idx="27">
                  <c:v>-272.09999999999854</c:v>
                </c:pt>
                <c:pt idx="28">
                  <c:v>-359.90000000000146</c:v>
                </c:pt>
                <c:pt idx="29">
                  <c:v>300</c:v>
                </c:pt>
                <c:pt idx="30">
                  <c:v>120</c:v>
                </c:pt>
                <c:pt idx="31">
                  <c:v>300</c:v>
                </c:pt>
                <c:pt idx="32">
                  <c:v>-164.70000000000073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2-4E47-B978-2CBC5792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8701344"/>
        <c:axId val="2018648416"/>
      </c:barChart>
      <c:catAx>
        <c:axId val="201870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48416"/>
        <c:crosses val="autoZero"/>
        <c:auto val="1"/>
        <c:lblAlgn val="ctr"/>
        <c:lblOffset val="100"/>
        <c:noMultiLvlLbl val="0"/>
      </c:catAx>
      <c:valAx>
        <c:axId val="2018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'calendar month'!$J$1</c:f>
              <c:strCache>
                <c:ptCount val="1"/>
                <c:pt idx="0">
                  <c:v>call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'calendar month'!$J$2:$J$34</c:f>
              <c:numCache>
                <c:formatCode>General</c:formatCode>
                <c:ptCount val="33"/>
                <c:pt idx="0">
                  <c:v>300</c:v>
                </c:pt>
                <c:pt idx="1">
                  <c:v>300</c:v>
                </c:pt>
                <c:pt idx="2">
                  <c:v>-582.79999999999927</c:v>
                </c:pt>
                <c:pt idx="3">
                  <c:v>178.5</c:v>
                </c:pt>
                <c:pt idx="4">
                  <c:v>236.95000000000073</c:v>
                </c:pt>
                <c:pt idx="5">
                  <c:v>-1032.2000000000007</c:v>
                </c:pt>
                <c:pt idx="6">
                  <c:v>-218.15000000000146</c:v>
                </c:pt>
                <c:pt idx="7">
                  <c:v>228.34999999999854</c:v>
                </c:pt>
                <c:pt idx="8">
                  <c:v>300</c:v>
                </c:pt>
                <c:pt idx="9">
                  <c:v>50</c:v>
                </c:pt>
                <c:pt idx="10">
                  <c:v>150</c:v>
                </c:pt>
                <c:pt idx="11">
                  <c:v>200</c:v>
                </c:pt>
                <c:pt idx="12">
                  <c:v>25</c:v>
                </c:pt>
                <c:pt idx="13">
                  <c:v>150</c:v>
                </c:pt>
                <c:pt idx="14">
                  <c:v>50</c:v>
                </c:pt>
                <c:pt idx="15">
                  <c:v>25</c:v>
                </c:pt>
                <c:pt idx="16">
                  <c:v>20</c:v>
                </c:pt>
                <c:pt idx="17">
                  <c:v>40.700000000000728</c:v>
                </c:pt>
                <c:pt idx="18">
                  <c:v>150</c:v>
                </c:pt>
                <c:pt idx="19">
                  <c:v>-262.20000000000073</c:v>
                </c:pt>
                <c:pt idx="20">
                  <c:v>-458.34999999999854</c:v>
                </c:pt>
                <c:pt idx="21">
                  <c:v>300</c:v>
                </c:pt>
                <c:pt idx="22">
                  <c:v>100</c:v>
                </c:pt>
                <c:pt idx="23">
                  <c:v>50</c:v>
                </c:pt>
                <c:pt idx="24">
                  <c:v>20</c:v>
                </c:pt>
                <c:pt idx="25">
                  <c:v>20</c:v>
                </c:pt>
                <c:pt idx="26">
                  <c:v>100</c:v>
                </c:pt>
                <c:pt idx="27">
                  <c:v>-239.04999999999927</c:v>
                </c:pt>
                <c:pt idx="28">
                  <c:v>-253.79999999999927</c:v>
                </c:pt>
                <c:pt idx="29">
                  <c:v>300</c:v>
                </c:pt>
                <c:pt idx="30">
                  <c:v>100</c:v>
                </c:pt>
                <c:pt idx="31">
                  <c:v>250</c:v>
                </c:pt>
                <c:pt idx="3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524A-8796-9B94D218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32960"/>
        <c:axId val="1455360080"/>
      </c:barChart>
      <c:catAx>
        <c:axId val="14553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60080"/>
        <c:crosses val="autoZero"/>
        <c:auto val="1"/>
        <c:lblAlgn val="ctr"/>
        <c:lblOffset val="100"/>
        <c:noMultiLvlLbl val="0"/>
      </c:catAx>
      <c:valAx>
        <c:axId val="14553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'close to close'!$F$1</c:f>
              <c:strCache>
                <c:ptCount val="1"/>
                <c:pt idx="0">
                  <c:v>sorted close to close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'close to close'!$F$2:$F$38</c:f>
              <c:numCache>
                <c:formatCode>General</c:formatCode>
                <c:ptCount val="37"/>
                <c:pt idx="0">
                  <c:v>-1074.8999999999996</c:v>
                </c:pt>
                <c:pt idx="1">
                  <c:v>-862.20000000000073</c:v>
                </c:pt>
                <c:pt idx="2">
                  <c:v>-772.45000000000073</c:v>
                </c:pt>
                <c:pt idx="3">
                  <c:v>-704.35000000000218</c:v>
                </c:pt>
                <c:pt idx="4">
                  <c:v>-666.29999999999927</c:v>
                </c:pt>
                <c:pt idx="5">
                  <c:v>-430.54999999999927</c:v>
                </c:pt>
                <c:pt idx="6">
                  <c:v>-426.10000000000218</c:v>
                </c:pt>
                <c:pt idx="7">
                  <c:v>-406.10000000000218</c:v>
                </c:pt>
                <c:pt idx="8">
                  <c:v>-389.89999999999964</c:v>
                </c:pt>
                <c:pt idx="9">
                  <c:v>-380.70000000000073</c:v>
                </c:pt>
                <c:pt idx="10">
                  <c:v>-332.29999999999927</c:v>
                </c:pt>
                <c:pt idx="11">
                  <c:v>-321</c:v>
                </c:pt>
                <c:pt idx="12">
                  <c:v>-299.04999999999927</c:v>
                </c:pt>
                <c:pt idx="13">
                  <c:v>-293.09999999999854</c:v>
                </c:pt>
                <c:pt idx="14">
                  <c:v>-93.799999999999272</c:v>
                </c:pt>
                <c:pt idx="15">
                  <c:v>-12</c:v>
                </c:pt>
                <c:pt idx="16">
                  <c:v>22.299999999999272</c:v>
                </c:pt>
                <c:pt idx="17">
                  <c:v>239.09999999999854</c:v>
                </c:pt>
                <c:pt idx="18">
                  <c:v>269.75</c:v>
                </c:pt>
                <c:pt idx="19">
                  <c:v>344.10000000000218</c:v>
                </c:pt>
                <c:pt idx="20">
                  <c:v>406.10000000000218</c:v>
                </c:pt>
                <c:pt idx="21">
                  <c:v>442.95000000000073</c:v>
                </c:pt>
                <c:pt idx="22">
                  <c:v>452.60000000000036</c:v>
                </c:pt>
                <c:pt idx="23">
                  <c:v>570</c:v>
                </c:pt>
                <c:pt idx="24">
                  <c:v>592.85000000000218</c:v>
                </c:pt>
                <c:pt idx="25">
                  <c:v>630.20000000000073</c:v>
                </c:pt>
                <c:pt idx="26">
                  <c:v>650.94999999999709</c:v>
                </c:pt>
                <c:pt idx="27">
                  <c:v>687.80000000000291</c:v>
                </c:pt>
                <c:pt idx="28">
                  <c:v>747.14999999999782</c:v>
                </c:pt>
                <c:pt idx="29">
                  <c:v>834.34999999999854</c:v>
                </c:pt>
                <c:pt idx="30">
                  <c:v>858.45000000000073</c:v>
                </c:pt>
                <c:pt idx="31">
                  <c:v>918.85000000000218</c:v>
                </c:pt>
                <c:pt idx="32">
                  <c:v>974.79999999999927</c:v>
                </c:pt>
                <c:pt idx="33">
                  <c:v>981.25</c:v>
                </c:pt>
                <c:pt idx="34">
                  <c:v>1149.3499999999985</c:v>
                </c:pt>
                <c:pt idx="35">
                  <c:v>1275.9000000000015</c:v>
                </c:pt>
                <c:pt idx="36">
                  <c:v>1645.5499999999993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564E-842B-6D522035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559919"/>
        <c:axId val="551616879"/>
      </c:barChart>
      <c:catAx>
        <c:axId val="54455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6879"/>
        <c:crosses val="autoZero"/>
        <c:auto val="1"/>
        <c:lblAlgn val="ctr"/>
        <c:lblOffset val="100"/>
        <c:noMultiLvlLbl val="0"/>
      </c:catAx>
      <c:valAx>
        <c:axId val="5516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 close'!$A$1</c:f>
              <c:strCache>
                <c:ptCount val="1"/>
                <c:pt idx="0">
                  <c:v>spot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'open close'!$A$2:$A$34</c:f>
              <c:numCache>
                <c:formatCode>General</c:formatCode>
                <c:ptCount val="33"/>
                <c:pt idx="0">
                  <c:v>-1074.8999999999996</c:v>
                </c:pt>
                <c:pt idx="1">
                  <c:v>-862.20000000000073</c:v>
                </c:pt>
                <c:pt idx="2">
                  <c:v>-772.45000000000073</c:v>
                </c:pt>
                <c:pt idx="3">
                  <c:v>-704.35000000000218</c:v>
                </c:pt>
                <c:pt idx="4">
                  <c:v>-666.29999999999927</c:v>
                </c:pt>
                <c:pt idx="5">
                  <c:v>-430.54999999999927</c:v>
                </c:pt>
                <c:pt idx="6">
                  <c:v>-406.10000000000218</c:v>
                </c:pt>
                <c:pt idx="7">
                  <c:v>-389.89999999999964</c:v>
                </c:pt>
                <c:pt idx="8">
                  <c:v>-380.70000000000073</c:v>
                </c:pt>
                <c:pt idx="9">
                  <c:v>-332.29999999999927</c:v>
                </c:pt>
                <c:pt idx="10">
                  <c:v>-321</c:v>
                </c:pt>
                <c:pt idx="11">
                  <c:v>-299.04999999999927</c:v>
                </c:pt>
                <c:pt idx="12">
                  <c:v>-293.09999999999854</c:v>
                </c:pt>
                <c:pt idx="13">
                  <c:v>-93.799999999999272</c:v>
                </c:pt>
                <c:pt idx="14">
                  <c:v>-12</c:v>
                </c:pt>
                <c:pt idx="15">
                  <c:v>22.299999999999272</c:v>
                </c:pt>
                <c:pt idx="16">
                  <c:v>239.09999999999854</c:v>
                </c:pt>
                <c:pt idx="17">
                  <c:v>269.75</c:v>
                </c:pt>
                <c:pt idx="18">
                  <c:v>406.10000000000218</c:v>
                </c:pt>
                <c:pt idx="19">
                  <c:v>442.95000000000073</c:v>
                </c:pt>
                <c:pt idx="20">
                  <c:v>452.60000000000036</c:v>
                </c:pt>
                <c:pt idx="21">
                  <c:v>570</c:v>
                </c:pt>
                <c:pt idx="22">
                  <c:v>592.85000000000218</c:v>
                </c:pt>
                <c:pt idx="23">
                  <c:v>650.94999999999709</c:v>
                </c:pt>
                <c:pt idx="24">
                  <c:v>687.80000000000291</c:v>
                </c:pt>
                <c:pt idx="25">
                  <c:v>747.14999999999782</c:v>
                </c:pt>
                <c:pt idx="26">
                  <c:v>834.34999999999854</c:v>
                </c:pt>
                <c:pt idx="27">
                  <c:v>858.45000000000073</c:v>
                </c:pt>
                <c:pt idx="28">
                  <c:v>918.85000000000218</c:v>
                </c:pt>
                <c:pt idx="29">
                  <c:v>937.45000000000073</c:v>
                </c:pt>
                <c:pt idx="30">
                  <c:v>974.79999999999927</c:v>
                </c:pt>
                <c:pt idx="31">
                  <c:v>981.25</c:v>
                </c:pt>
                <c:pt idx="32">
                  <c:v>1149.3499999999985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2-064D-9FB0-19990B75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45583"/>
        <c:axId val="650047311"/>
      </c:barChart>
      <c:catAx>
        <c:axId val="65004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7311"/>
        <c:crosses val="autoZero"/>
        <c:auto val="1"/>
        <c:lblAlgn val="ctr"/>
        <c:lblOffset val="100"/>
        <c:noMultiLvlLbl val="0"/>
      </c:catAx>
      <c:valAx>
        <c:axId val="6500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23</xdr:row>
      <xdr:rowOff>12700</xdr:rowOff>
    </xdr:from>
    <xdr:to>
      <xdr:col>23</xdr:col>
      <xdr:colOff>342900</xdr:colOff>
      <xdr:row>51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096DD-FAA0-9936-5CD8-773C71FCF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450850</xdr:colOff>
      <xdr:row>22</xdr:row>
      <xdr:rowOff>190500</xdr:rowOff>
    </xdr:from>
    <xdr:to>
      <xdr:col>35</xdr:col>
      <xdr:colOff>254000</xdr:colOff>
      <xdr:row>51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C9D49-1FFB-1B34-C3A8-46FBF27A8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273050</xdr:colOff>
      <xdr:row>0</xdr:row>
      <xdr:rowOff>88900</xdr:rowOff>
    </xdr:from>
    <xdr:to>
      <xdr:col>23</xdr:col>
      <xdr:colOff>317500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9D1BB-297A-DF80-8E03-A53EC8C4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8</xdr:row>
      <xdr:rowOff>88900</xdr:rowOff>
    </xdr:from>
    <xdr:to>
      <xdr:col>28</xdr:col>
      <xdr:colOff>622300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01EA4-5D37-F175-1B8B-E5D9EEC36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16</xdr:row>
      <xdr:rowOff>12700</xdr:rowOff>
    </xdr:from>
    <xdr:to>
      <xdr:col>21</xdr:col>
      <xdr:colOff>609600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D1FD5-C56F-E342-AFCF-54D5B0453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16</xdr:row>
      <xdr:rowOff>25400</xdr:rowOff>
    </xdr:from>
    <xdr:to>
      <xdr:col>24</xdr:col>
      <xdr:colOff>165100</xdr:colOff>
      <xdr:row>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36393-A269-E835-47C9-9B14B9A31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16</xdr:row>
      <xdr:rowOff>63500</xdr:rowOff>
    </xdr:from>
    <xdr:to>
      <xdr:col>21</xdr:col>
      <xdr:colOff>635000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5C6F-7FE2-0309-90B0-624CB72A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2</xdr:row>
      <xdr:rowOff>88900</xdr:rowOff>
    </xdr:from>
    <xdr:to>
      <xdr:col>20</xdr:col>
      <xdr:colOff>152400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60EA1-7428-5B41-A869-96675E70B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0</xdr:row>
      <xdr:rowOff>165100</xdr:rowOff>
    </xdr:from>
    <xdr:to>
      <xdr:col>18</xdr:col>
      <xdr:colOff>165100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F62DB-6FA7-C59E-5E1C-D52160282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9B32-201A-2948-B0D1-F0DBC04E9E60}">
  <dimension ref="A1:N38"/>
  <sheetViews>
    <sheetView workbookViewId="0">
      <selection activeCell="J41" sqref="J41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4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  <c r="K1" t="s">
        <v>97</v>
      </c>
      <c r="L1" t="s">
        <v>98</v>
      </c>
    </row>
    <row r="2" spans="1:14" x14ac:dyDescent="0.2">
      <c r="A2" t="s">
        <v>55</v>
      </c>
      <c r="B2">
        <v>15097.35</v>
      </c>
      <c r="E2">
        <v>14324.9</v>
      </c>
      <c r="F2">
        <v>15100</v>
      </c>
      <c r="G2">
        <v>300</v>
      </c>
      <c r="H2">
        <f>E2-F2</f>
        <v>-775.10000000000036</v>
      </c>
      <c r="I2">
        <f>IF(H2&lt;0,0,H2)</f>
        <v>0</v>
      </c>
      <c r="J2">
        <f>G2-I2</f>
        <v>300</v>
      </c>
      <c r="K2">
        <f>J2</f>
        <v>300</v>
      </c>
      <c r="L2">
        <f>K2+E2-$B$2</f>
        <v>-472.45000000000073</v>
      </c>
      <c r="M2" t="s">
        <v>43</v>
      </c>
      <c r="N2">
        <f>COUNTIF($J$2:$J$200,"&gt;0")</f>
        <v>25</v>
      </c>
    </row>
    <row r="3" spans="1:14" x14ac:dyDescent="0.2">
      <c r="A3" t="s">
        <v>56</v>
      </c>
      <c r="B3">
        <v>14324.9</v>
      </c>
      <c r="E3">
        <v>14894.9</v>
      </c>
      <c r="F3">
        <v>15100</v>
      </c>
      <c r="G3">
        <v>50</v>
      </c>
      <c r="H3">
        <f t="shared" ref="H3:H33" si="0">E3-F3</f>
        <v>-205.10000000000036</v>
      </c>
      <c r="I3">
        <f t="shared" ref="I3:I34" si="1">IF(H3&lt;0,0,H3)</f>
        <v>0</v>
      </c>
      <c r="J3">
        <f t="shared" ref="J3:J34" si="2">G3-I3</f>
        <v>50</v>
      </c>
      <c r="K3">
        <f>J3+K2</f>
        <v>350</v>
      </c>
      <c r="L3">
        <f t="shared" ref="L3:L33" si="3">K3+E3-$B$2</f>
        <v>147.54999999999927</v>
      </c>
      <c r="M3" t="s">
        <v>44</v>
      </c>
      <c r="N3">
        <f>COUNTIF($J$2:$J$200,"&lt;=0")</f>
        <v>7</v>
      </c>
    </row>
    <row r="4" spans="1:14" x14ac:dyDescent="0.2">
      <c r="A4" t="s">
        <v>57</v>
      </c>
      <c r="B4">
        <v>14894.9</v>
      </c>
      <c r="E4">
        <v>15337.85</v>
      </c>
      <c r="F4">
        <v>15100</v>
      </c>
      <c r="G4">
        <v>200</v>
      </c>
      <c r="H4">
        <f t="shared" si="0"/>
        <v>237.85000000000036</v>
      </c>
      <c r="I4">
        <f t="shared" si="1"/>
        <v>237.85000000000036</v>
      </c>
      <c r="J4">
        <f t="shared" si="2"/>
        <v>-37.850000000000364</v>
      </c>
      <c r="K4">
        <f t="shared" ref="K4:K34" si="4">J4+K3</f>
        <v>312.14999999999964</v>
      </c>
      <c r="L4">
        <f t="shared" si="3"/>
        <v>552.64999999999964</v>
      </c>
      <c r="M4" t="s">
        <v>45</v>
      </c>
      <c r="N4" s="1">
        <f>N2/(N2+N3)</f>
        <v>0.78125</v>
      </c>
    </row>
    <row r="5" spans="1:14" x14ac:dyDescent="0.2">
      <c r="A5" t="s">
        <v>58</v>
      </c>
      <c r="B5">
        <v>15337.85</v>
      </c>
      <c r="E5">
        <v>15790.45</v>
      </c>
      <c r="F5">
        <v>15300</v>
      </c>
      <c r="G5">
        <v>300</v>
      </c>
      <c r="H5">
        <f t="shared" si="0"/>
        <v>490.45000000000073</v>
      </c>
      <c r="I5">
        <f t="shared" si="1"/>
        <v>490.45000000000073</v>
      </c>
      <c r="J5">
        <f t="shared" si="2"/>
        <v>-190.45000000000073</v>
      </c>
      <c r="K5">
        <f t="shared" si="4"/>
        <v>121.69999999999891</v>
      </c>
      <c r="L5">
        <f t="shared" si="3"/>
        <v>814.79999999999927</v>
      </c>
      <c r="M5" t="s">
        <v>46</v>
      </c>
      <c r="N5" s="2">
        <f>100%-N4</f>
        <v>0.21875</v>
      </c>
    </row>
    <row r="6" spans="1:14" x14ac:dyDescent="0.2">
      <c r="A6" t="s">
        <v>59</v>
      </c>
      <c r="B6">
        <v>15790.45</v>
      </c>
      <c r="E6">
        <v>15778.45</v>
      </c>
      <c r="F6">
        <v>15800</v>
      </c>
      <c r="G6">
        <v>300</v>
      </c>
      <c r="H6">
        <f t="shared" si="0"/>
        <v>-21.549999999999272</v>
      </c>
      <c r="I6">
        <f t="shared" si="1"/>
        <v>0</v>
      </c>
      <c r="J6">
        <f t="shared" si="2"/>
        <v>300</v>
      </c>
      <c r="K6">
        <f t="shared" si="4"/>
        <v>421.69999999999891</v>
      </c>
      <c r="L6">
        <f t="shared" si="3"/>
        <v>1102.7999999999993</v>
      </c>
    </row>
    <row r="7" spans="1:14" x14ac:dyDescent="0.2">
      <c r="A7" t="s">
        <v>60</v>
      </c>
      <c r="B7">
        <v>15778.45</v>
      </c>
      <c r="E7">
        <v>16636.900000000001</v>
      </c>
      <c r="F7">
        <v>15800</v>
      </c>
      <c r="G7">
        <v>300</v>
      </c>
      <c r="H7">
        <f t="shared" si="0"/>
        <v>836.90000000000146</v>
      </c>
      <c r="I7">
        <f t="shared" si="1"/>
        <v>836.90000000000146</v>
      </c>
      <c r="J7">
        <f t="shared" si="2"/>
        <v>-536.90000000000146</v>
      </c>
      <c r="K7">
        <f t="shared" si="4"/>
        <v>-115.20000000000255</v>
      </c>
      <c r="L7">
        <f t="shared" si="3"/>
        <v>1424.3499999999967</v>
      </c>
      <c r="M7" t="s">
        <v>47</v>
      </c>
      <c r="N7" s="3">
        <f>AVERAGEIF($J$2:$J$200,"&gt;0")</f>
        <v>119.31</v>
      </c>
    </row>
    <row r="8" spans="1:14" x14ac:dyDescent="0.2">
      <c r="A8" t="s">
        <v>61</v>
      </c>
      <c r="B8">
        <v>16636.900000000001</v>
      </c>
      <c r="E8">
        <v>17618.150000000001</v>
      </c>
      <c r="F8">
        <v>16600</v>
      </c>
      <c r="G8">
        <v>300</v>
      </c>
      <c r="H8">
        <f t="shared" si="0"/>
        <v>1018.1500000000015</v>
      </c>
      <c r="I8">
        <f t="shared" si="1"/>
        <v>1018.1500000000015</v>
      </c>
      <c r="J8">
        <f t="shared" si="2"/>
        <v>-718.15000000000146</v>
      </c>
      <c r="K8">
        <f t="shared" si="4"/>
        <v>-833.350000000004</v>
      </c>
      <c r="L8">
        <f t="shared" si="3"/>
        <v>1687.4499999999953</v>
      </c>
      <c r="M8" t="s">
        <v>48</v>
      </c>
      <c r="N8" s="3">
        <f>AVERAGEIF($J$2:$J$200,"&lt;=0")</f>
        <v>-357.06428571428609</v>
      </c>
    </row>
    <row r="9" spans="1:14" x14ac:dyDescent="0.2">
      <c r="A9" t="s">
        <v>62</v>
      </c>
      <c r="B9">
        <v>17618.150000000001</v>
      </c>
      <c r="E9">
        <v>17857.25</v>
      </c>
      <c r="F9">
        <v>17600</v>
      </c>
      <c r="G9">
        <v>300</v>
      </c>
      <c r="H9">
        <f t="shared" si="0"/>
        <v>257.25</v>
      </c>
      <c r="I9">
        <f t="shared" si="1"/>
        <v>257.25</v>
      </c>
      <c r="J9">
        <f t="shared" si="2"/>
        <v>42.75</v>
      </c>
      <c r="K9">
        <f t="shared" si="4"/>
        <v>-790.600000000004</v>
      </c>
      <c r="L9">
        <f t="shared" si="3"/>
        <v>1969.2999999999938</v>
      </c>
      <c r="M9" t="s">
        <v>49</v>
      </c>
      <c r="N9" s="3">
        <f>N7/ABS(N8)</f>
        <v>0.33414151113244878</v>
      </c>
    </row>
    <row r="10" spans="1:14" x14ac:dyDescent="0.2">
      <c r="A10" t="s">
        <v>63</v>
      </c>
      <c r="B10">
        <v>17857.25</v>
      </c>
      <c r="E10">
        <v>17536.25</v>
      </c>
      <c r="F10">
        <v>17800</v>
      </c>
      <c r="G10">
        <v>300</v>
      </c>
      <c r="H10">
        <f t="shared" si="0"/>
        <v>-263.75</v>
      </c>
      <c r="I10">
        <f t="shared" si="1"/>
        <v>0</v>
      </c>
      <c r="J10">
        <f t="shared" si="2"/>
        <v>300</v>
      </c>
      <c r="K10">
        <f t="shared" si="4"/>
        <v>-490.600000000004</v>
      </c>
      <c r="L10">
        <f t="shared" si="3"/>
        <v>1948.2999999999938</v>
      </c>
    </row>
    <row r="11" spans="1:14" x14ac:dyDescent="0.2">
      <c r="A11" t="s">
        <v>64</v>
      </c>
      <c r="B11">
        <v>17536.25</v>
      </c>
      <c r="E11">
        <v>17203.95</v>
      </c>
      <c r="F11">
        <v>17800</v>
      </c>
      <c r="G11">
        <v>200</v>
      </c>
      <c r="H11">
        <f t="shared" si="0"/>
        <v>-596.04999999999927</v>
      </c>
      <c r="I11">
        <f t="shared" si="1"/>
        <v>0</v>
      </c>
      <c r="J11">
        <f t="shared" si="2"/>
        <v>200</v>
      </c>
      <c r="K11">
        <f t="shared" si="4"/>
        <v>-290.600000000004</v>
      </c>
      <c r="L11">
        <f t="shared" si="3"/>
        <v>1815.9999999999982</v>
      </c>
      <c r="M11" t="s">
        <v>50</v>
      </c>
      <c r="N11" t="e">
        <f>MAX($J$2:$J$200)</f>
        <v>#REF!</v>
      </c>
    </row>
    <row r="12" spans="1:14" x14ac:dyDescent="0.2">
      <c r="A12" t="s">
        <v>65</v>
      </c>
      <c r="B12">
        <v>17203.95</v>
      </c>
      <c r="E12">
        <v>17110.150000000001</v>
      </c>
      <c r="F12">
        <v>17800</v>
      </c>
      <c r="G12">
        <v>60</v>
      </c>
      <c r="H12">
        <f t="shared" si="0"/>
        <v>-689.84999999999854</v>
      </c>
      <c r="I12">
        <f t="shared" si="1"/>
        <v>0</v>
      </c>
      <c r="J12">
        <f t="shared" si="2"/>
        <v>60</v>
      </c>
      <c r="K12">
        <f t="shared" si="4"/>
        <v>-230.600000000004</v>
      </c>
      <c r="L12">
        <f t="shared" si="3"/>
        <v>1782.1999999999953</v>
      </c>
      <c r="M12" t="s">
        <v>51</v>
      </c>
      <c r="N12" t="e">
        <f>MIN($J$2:$J$200)</f>
        <v>#REF!</v>
      </c>
    </row>
    <row r="13" spans="1:14" x14ac:dyDescent="0.2">
      <c r="A13" t="s">
        <v>66</v>
      </c>
      <c r="B13">
        <v>17110.150000000001</v>
      </c>
      <c r="E13">
        <v>16247.95</v>
      </c>
      <c r="F13">
        <v>17800</v>
      </c>
      <c r="G13">
        <v>40</v>
      </c>
      <c r="H13">
        <f t="shared" si="0"/>
        <v>-1552.0499999999993</v>
      </c>
      <c r="I13">
        <f t="shared" si="1"/>
        <v>0</v>
      </c>
      <c r="J13">
        <f t="shared" si="2"/>
        <v>40</v>
      </c>
      <c r="K13">
        <f t="shared" si="4"/>
        <v>-190.600000000004</v>
      </c>
      <c r="L13">
        <f t="shared" si="3"/>
        <v>959.99999999999636</v>
      </c>
    </row>
    <row r="14" spans="1:14" x14ac:dyDescent="0.2">
      <c r="A14" t="s">
        <v>67</v>
      </c>
      <c r="B14">
        <v>16247.95</v>
      </c>
      <c r="E14">
        <v>17222.75</v>
      </c>
      <c r="F14">
        <v>17800</v>
      </c>
      <c r="G14">
        <v>5</v>
      </c>
      <c r="H14">
        <f t="shared" si="0"/>
        <v>-577.25</v>
      </c>
      <c r="I14">
        <f t="shared" si="1"/>
        <v>0</v>
      </c>
      <c r="J14">
        <f t="shared" si="2"/>
        <v>5</v>
      </c>
      <c r="K14">
        <f t="shared" si="4"/>
        <v>-185.600000000004</v>
      </c>
      <c r="L14">
        <f t="shared" si="3"/>
        <v>1939.7999999999938</v>
      </c>
      <c r="M14" t="s">
        <v>52</v>
      </c>
      <c r="N14" s="3">
        <f>(N4*N7)+(N5*N8)</f>
        <v>15.10312499999992</v>
      </c>
    </row>
    <row r="15" spans="1:14" x14ac:dyDescent="0.2">
      <c r="A15" t="s">
        <v>68</v>
      </c>
      <c r="B15">
        <v>17222.75</v>
      </c>
      <c r="E15">
        <v>17245.05</v>
      </c>
      <c r="F15">
        <v>17800</v>
      </c>
      <c r="G15">
        <v>60</v>
      </c>
      <c r="H15">
        <f t="shared" si="0"/>
        <v>-554.95000000000073</v>
      </c>
      <c r="I15">
        <f t="shared" si="1"/>
        <v>0</v>
      </c>
      <c r="J15">
        <f t="shared" si="2"/>
        <v>60</v>
      </c>
      <c r="K15">
        <f t="shared" si="4"/>
        <v>-125.600000000004</v>
      </c>
      <c r="L15">
        <f t="shared" si="3"/>
        <v>2022.0999999999967</v>
      </c>
      <c r="M15" t="s">
        <v>53</v>
      </c>
      <c r="N15" s="3">
        <f>(N9*N4)-N5</f>
        <v>4.2298055572225601E-2</v>
      </c>
    </row>
    <row r="16" spans="1:14" x14ac:dyDescent="0.2">
      <c r="A16" t="s">
        <v>69</v>
      </c>
      <c r="B16">
        <v>17245.05</v>
      </c>
      <c r="E16">
        <v>16170.15</v>
      </c>
      <c r="F16">
        <v>17800</v>
      </c>
      <c r="G16">
        <v>60</v>
      </c>
      <c r="H16">
        <f t="shared" si="0"/>
        <v>-1629.8500000000004</v>
      </c>
      <c r="I16">
        <f t="shared" si="1"/>
        <v>0</v>
      </c>
      <c r="J16">
        <f t="shared" si="2"/>
        <v>60</v>
      </c>
      <c r="K16">
        <f t="shared" si="4"/>
        <v>-65.600000000004002</v>
      </c>
      <c r="L16">
        <f t="shared" si="3"/>
        <v>1007.1999999999953</v>
      </c>
    </row>
    <row r="17" spans="1:12" x14ac:dyDescent="0.2">
      <c r="A17" t="s">
        <v>70</v>
      </c>
      <c r="B17">
        <v>16170.15</v>
      </c>
      <c r="E17">
        <v>15780.25</v>
      </c>
      <c r="F17">
        <v>17800</v>
      </c>
      <c r="G17">
        <v>5</v>
      </c>
      <c r="H17">
        <f t="shared" si="0"/>
        <v>-2019.75</v>
      </c>
      <c r="I17">
        <f t="shared" si="1"/>
        <v>0</v>
      </c>
      <c r="J17">
        <f t="shared" si="2"/>
        <v>5</v>
      </c>
      <c r="K17">
        <f t="shared" si="4"/>
        <v>-60.600000000004002</v>
      </c>
      <c r="L17">
        <f t="shared" si="3"/>
        <v>622.29999999999563</v>
      </c>
    </row>
    <row r="18" spans="1:12" x14ac:dyDescent="0.2">
      <c r="A18" t="s">
        <v>71</v>
      </c>
      <c r="B18">
        <v>15780.25</v>
      </c>
      <c r="E18">
        <v>16929.599999999999</v>
      </c>
      <c r="F18">
        <v>17800</v>
      </c>
      <c r="G18">
        <v>5</v>
      </c>
      <c r="H18">
        <f t="shared" si="0"/>
        <v>-870.40000000000146</v>
      </c>
      <c r="I18">
        <f t="shared" si="1"/>
        <v>0</v>
      </c>
      <c r="J18">
        <f t="shared" si="2"/>
        <v>5</v>
      </c>
      <c r="K18">
        <f t="shared" si="4"/>
        <v>-55.600000000004002</v>
      </c>
      <c r="L18">
        <f t="shared" si="3"/>
        <v>1776.6499999999924</v>
      </c>
    </row>
    <row r="19" spans="1:12" x14ac:dyDescent="0.2">
      <c r="A19" t="s">
        <v>72</v>
      </c>
      <c r="B19">
        <v>16929.599999999999</v>
      </c>
      <c r="E19">
        <v>17522.45</v>
      </c>
      <c r="F19">
        <v>17800</v>
      </c>
      <c r="G19">
        <v>30</v>
      </c>
      <c r="H19">
        <f t="shared" si="0"/>
        <v>-277.54999999999927</v>
      </c>
      <c r="I19">
        <f t="shared" si="1"/>
        <v>0</v>
      </c>
      <c r="J19">
        <f t="shared" si="2"/>
        <v>30</v>
      </c>
      <c r="K19">
        <f t="shared" si="4"/>
        <v>-25.600000000004002</v>
      </c>
      <c r="L19">
        <f t="shared" si="3"/>
        <v>2399.4999999999982</v>
      </c>
    </row>
    <row r="20" spans="1:12" x14ac:dyDescent="0.2">
      <c r="A20" t="s">
        <v>73</v>
      </c>
      <c r="B20">
        <v>17522.45</v>
      </c>
      <c r="E20">
        <v>16818.099999999999</v>
      </c>
      <c r="F20">
        <v>17800</v>
      </c>
      <c r="G20">
        <v>200</v>
      </c>
      <c r="H20">
        <f t="shared" si="0"/>
        <v>-981.90000000000146</v>
      </c>
      <c r="I20">
        <f t="shared" si="1"/>
        <v>0</v>
      </c>
      <c r="J20">
        <f t="shared" si="2"/>
        <v>200</v>
      </c>
      <c r="K20">
        <f t="shared" si="4"/>
        <v>174.399999999996</v>
      </c>
      <c r="L20">
        <f t="shared" si="3"/>
        <v>1895.1499999999924</v>
      </c>
    </row>
    <row r="21" spans="1:12" x14ac:dyDescent="0.2">
      <c r="A21" t="s">
        <v>74</v>
      </c>
      <c r="B21">
        <v>16818.099999999999</v>
      </c>
      <c r="E21">
        <v>17736.95</v>
      </c>
      <c r="F21">
        <v>17800</v>
      </c>
      <c r="G21">
        <v>15</v>
      </c>
      <c r="H21">
        <f t="shared" si="0"/>
        <v>-63.049999999999272</v>
      </c>
      <c r="I21">
        <f t="shared" si="1"/>
        <v>0</v>
      </c>
      <c r="J21">
        <f t="shared" si="2"/>
        <v>15</v>
      </c>
      <c r="K21">
        <f t="shared" si="4"/>
        <v>189.399999999996</v>
      </c>
      <c r="L21">
        <f t="shared" si="3"/>
        <v>2828.9999999999982</v>
      </c>
    </row>
    <row r="22" spans="1:12" x14ac:dyDescent="0.2">
      <c r="A22" t="s">
        <v>75</v>
      </c>
      <c r="B22">
        <v>17736.95</v>
      </c>
      <c r="E22">
        <v>18484.099999999999</v>
      </c>
      <c r="F22">
        <v>17800</v>
      </c>
      <c r="G22">
        <v>300</v>
      </c>
      <c r="H22">
        <f t="shared" si="0"/>
        <v>684.09999999999854</v>
      </c>
      <c r="I22">
        <f t="shared" si="1"/>
        <v>684.09999999999854</v>
      </c>
      <c r="J22">
        <f t="shared" si="2"/>
        <v>-384.09999999999854</v>
      </c>
      <c r="K22">
        <f t="shared" si="4"/>
        <v>-194.70000000000255</v>
      </c>
      <c r="L22">
        <f t="shared" si="3"/>
        <v>3192.0499999999938</v>
      </c>
    </row>
    <row r="23" spans="1:12" x14ac:dyDescent="0.2">
      <c r="A23" t="s">
        <v>76</v>
      </c>
      <c r="B23">
        <v>18484.099999999999</v>
      </c>
      <c r="E23">
        <v>18191</v>
      </c>
      <c r="F23">
        <v>18500</v>
      </c>
      <c r="G23">
        <v>300</v>
      </c>
      <c r="H23">
        <f t="shared" si="0"/>
        <v>-309</v>
      </c>
      <c r="I23">
        <f t="shared" si="1"/>
        <v>0</v>
      </c>
      <c r="J23">
        <f t="shared" si="2"/>
        <v>300</v>
      </c>
      <c r="K23">
        <f t="shared" si="4"/>
        <v>105.29999999999745</v>
      </c>
      <c r="L23">
        <f t="shared" si="3"/>
        <v>3198.9499999999953</v>
      </c>
    </row>
    <row r="24" spans="1:12" x14ac:dyDescent="0.2">
      <c r="A24" t="s">
        <v>77</v>
      </c>
      <c r="B24">
        <v>18191</v>
      </c>
      <c r="E24">
        <v>17891.95</v>
      </c>
      <c r="F24">
        <v>18500</v>
      </c>
      <c r="G24">
        <v>150</v>
      </c>
      <c r="H24">
        <f t="shared" si="0"/>
        <v>-608.04999999999927</v>
      </c>
      <c r="I24">
        <f t="shared" si="1"/>
        <v>0</v>
      </c>
      <c r="J24">
        <f t="shared" si="2"/>
        <v>150</v>
      </c>
      <c r="K24">
        <f t="shared" si="4"/>
        <v>255.29999999999745</v>
      </c>
      <c r="L24">
        <f t="shared" si="3"/>
        <v>3049.8999999999996</v>
      </c>
    </row>
    <row r="25" spans="1:12" x14ac:dyDescent="0.2">
      <c r="A25" t="s">
        <v>78</v>
      </c>
      <c r="B25">
        <v>17891.95</v>
      </c>
      <c r="E25">
        <v>17511.25</v>
      </c>
      <c r="F25">
        <v>18500</v>
      </c>
      <c r="G25">
        <v>60</v>
      </c>
      <c r="H25">
        <f t="shared" si="0"/>
        <v>-988.75</v>
      </c>
      <c r="I25">
        <f t="shared" si="1"/>
        <v>0</v>
      </c>
      <c r="J25">
        <f t="shared" si="2"/>
        <v>60</v>
      </c>
      <c r="K25">
        <f t="shared" si="4"/>
        <v>315.29999999999745</v>
      </c>
      <c r="L25">
        <f t="shared" si="3"/>
        <v>2729.1999999999953</v>
      </c>
    </row>
    <row r="26" spans="1:12" x14ac:dyDescent="0.2">
      <c r="A26" t="s">
        <v>79</v>
      </c>
      <c r="B26">
        <v>17511.25</v>
      </c>
      <c r="E26">
        <v>17080.7</v>
      </c>
      <c r="F26">
        <v>18500</v>
      </c>
      <c r="G26">
        <v>15</v>
      </c>
      <c r="H26">
        <f t="shared" si="0"/>
        <v>-1419.2999999999993</v>
      </c>
      <c r="I26">
        <f t="shared" si="1"/>
        <v>0</v>
      </c>
      <c r="J26">
        <f t="shared" si="2"/>
        <v>15</v>
      </c>
      <c r="K26">
        <f t="shared" si="4"/>
        <v>330.29999999999745</v>
      </c>
      <c r="L26">
        <f t="shared" si="3"/>
        <v>2313.6499999999996</v>
      </c>
    </row>
    <row r="27" spans="1:12" x14ac:dyDescent="0.2">
      <c r="A27" t="s">
        <v>80</v>
      </c>
      <c r="B27">
        <v>17080.7</v>
      </c>
      <c r="E27">
        <v>17915.05</v>
      </c>
      <c r="F27">
        <v>18500</v>
      </c>
      <c r="G27">
        <v>5</v>
      </c>
      <c r="H27">
        <f t="shared" si="0"/>
        <v>-584.95000000000073</v>
      </c>
      <c r="I27">
        <f t="shared" si="1"/>
        <v>0</v>
      </c>
      <c r="J27">
        <f t="shared" si="2"/>
        <v>5</v>
      </c>
      <c r="K27">
        <f t="shared" si="4"/>
        <v>335.29999999999745</v>
      </c>
      <c r="L27">
        <f t="shared" si="3"/>
        <v>3152.9999999999982</v>
      </c>
    </row>
    <row r="28" spans="1:12" x14ac:dyDescent="0.2">
      <c r="A28" t="s">
        <v>81</v>
      </c>
      <c r="B28">
        <v>17915.05</v>
      </c>
      <c r="E28">
        <v>18321.150000000001</v>
      </c>
      <c r="F28">
        <v>18500</v>
      </c>
      <c r="G28">
        <v>60</v>
      </c>
      <c r="H28">
        <f t="shared" si="0"/>
        <v>-178.84999999999854</v>
      </c>
      <c r="I28">
        <f t="shared" si="1"/>
        <v>0</v>
      </c>
      <c r="J28">
        <f t="shared" si="2"/>
        <v>60</v>
      </c>
      <c r="K28">
        <f t="shared" si="4"/>
        <v>395.29999999999745</v>
      </c>
      <c r="L28">
        <f t="shared" si="3"/>
        <v>3619.0999999999967</v>
      </c>
    </row>
    <row r="29" spans="1:12" x14ac:dyDescent="0.2">
      <c r="A29" t="s">
        <v>82</v>
      </c>
      <c r="B29">
        <v>18321.150000000001</v>
      </c>
      <c r="E29">
        <v>18972.099999999999</v>
      </c>
      <c r="F29">
        <v>18500</v>
      </c>
      <c r="G29">
        <v>200</v>
      </c>
      <c r="H29">
        <f t="shared" si="0"/>
        <v>472.09999999999854</v>
      </c>
      <c r="I29">
        <f t="shared" si="1"/>
        <v>472.09999999999854</v>
      </c>
      <c r="J29">
        <f t="shared" si="2"/>
        <v>-272.09999999999854</v>
      </c>
      <c r="K29">
        <f t="shared" si="4"/>
        <v>123.19999999999891</v>
      </c>
      <c r="L29">
        <f t="shared" si="3"/>
        <v>3997.9499999999953</v>
      </c>
    </row>
    <row r="30" spans="1:12" x14ac:dyDescent="0.2">
      <c r="A30" t="s">
        <v>83</v>
      </c>
      <c r="B30">
        <v>18972.099999999999</v>
      </c>
      <c r="E30">
        <v>19659.900000000001</v>
      </c>
      <c r="F30">
        <v>19000</v>
      </c>
      <c r="G30">
        <v>300</v>
      </c>
      <c r="H30">
        <f t="shared" si="0"/>
        <v>659.90000000000146</v>
      </c>
      <c r="I30">
        <f t="shared" si="1"/>
        <v>659.90000000000146</v>
      </c>
      <c r="J30">
        <f t="shared" si="2"/>
        <v>-359.90000000000146</v>
      </c>
      <c r="K30">
        <f t="shared" si="4"/>
        <v>-236.70000000000255</v>
      </c>
      <c r="L30">
        <f t="shared" si="3"/>
        <v>4325.8499999999967</v>
      </c>
    </row>
    <row r="31" spans="1:12" x14ac:dyDescent="0.2">
      <c r="A31" t="s">
        <v>84</v>
      </c>
      <c r="B31">
        <v>19659.900000000001</v>
      </c>
      <c r="E31">
        <v>19253.8</v>
      </c>
      <c r="F31">
        <v>19600</v>
      </c>
      <c r="G31">
        <v>300</v>
      </c>
      <c r="H31">
        <f t="shared" si="0"/>
        <v>-346.20000000000073</v>
      </c>
      <c r="I31">
        <f t="shared" si="1"/>
        <v>0</v>
      </c>
      <c r="J31">
        <f t="shared" si="2"/>
        <v>300</v>
      </c>
      <c r="K31">
        <f t="shared" si="4"/>
        <v>63.299999999997453</v>
      </c>
      <c r="L31">
        <f t="shared" si="3"/>
        <v>4219.7499999999982</v>
      </c>
    </row>
    <row r="32" spans="1:12" x14ac:dyDescent="0.2">
      <c r="A32" t="s">
        <v>85</v>
      </c>
      <c r="B32">
        <v>19253.8</v>
      </c>
      <c r="E32">
        <v>19523.55</v>
      </c>
      <c r="F32">
        <v>19600</v>
      </c>
      <c r="G32">
        <v>120</v>
      </c>
      <c r="H32">
        <f t="shared" si="0"/>
        <v>-76.450000000000728</v>
      </c>
      <c r="I32">
        <f t="shared" si="1"/>
        <v>0</v>
      </c>
      <c r="J32">
        <f t="shared" si="2"/>
        <v>120</v>
      </c>
      <c r="K32">
        <f t="shared" si="4"/>
        <v>183.29999999999745</v>
      </c>
      <c r="L32">
        <f t="shared" si="3"/>
        <v>4609.4999999999982</v>
      </c>
    </row>
    <row r="33" spans="1:12" x14ac:dyDescent="0.2">
      <c r="A33" t="s">
        <v>86</v>
      </c>
      <c r="B33">
        <v>19523.55</v>
      </c>
      <c r="E33">
        <v>18857.25</v>
      </c>
      <c r="F33">
        <v>19600</v>
      </c>
      <c r="G33">
        <v>300</v>
      </c>
      <c r="H33">
        <f t="shared" si="0"/>
        <v>-742.75</v>
      </c>
      <c r="I33">
        <f t="shared" si="1"/>
        <v>0</v>
      </c>
      <c r="J33">
        <f t="shared" si="2"/>
        <v>300</v>
      </c>
      <c r="K33">
        <f t="shared" si="4"/>
        <v>483.29999999999745</v>
      </c>
      <c r="L33">
        <f t="shared" si="3"/>
        <v>4243.1999999999953</v>
      </c>
    </row>
    <row r="34" spans="1:12" x14ac:dyDescent="0.2">
      <c r="A34" t="s">
        <v>101</v>
      </c>
      <c r="B34">
        <v>18857.25</v>
      </c>
      <c r="E34">
        <v>20133.150000000001</v>
      </c>
      <c r="F34">
        <v>19600</v>
      </c>
      <c r="G34">
        <v>30</v>
      </c>
      <c r="H34" t="e">
        <f>#REF!-F34</f>
        <v>#REF!</v>
      </c>
      <c r="I34" t="e">
        <f t="shared" si="1"/>
        <v>#REF!</v>
      </c>
      <c r="J34" t="e">
        <f t="shared" si="2"/>
        <v>#REF!</v>
      </c>
      <c r="K34" t="e">
        <f t="shared" si="4"/>
        <v>#REF!</v>
      </c>
      <c r="L34" t="e">
        <f>K34+#REF!-$B$2</f>
        <v>#REF!</v>
      </c>
    </row>
    <row r="35" spans="1:12" x14ac:dyDescent="0.2">
      <c r="A35" t="s">
        <v>102</v>
      </c>
      <c r="B35">
        <v>20133.150000000001</v>
      </c>
      <c r="E35">
        <v>21778.7</v>
      </c>
      <c r="I35" t="s">
        <v>54</v>
      </c>
      <c r="J35" t="e">
        <f>SUM(J2:J34)</f>
        <v>#REF!</v>
      </c>
    </row>
    <row r="36" spans="1:12" x14ac:dyDescent="0.2">
      <c r="A36" t="s">
        <v>103</v>
      </c>
      <c r="B36">
        <v>21778.7</v>
      </c>
      <c r="E36">
        <v>21352.6</v>
      </c>
    </row>
    <row r="37" spans="1:12" x14ac:dyDescent="0.2">
      <c r="A37" t="s">
        <v>104</v>
      </c>
      <c r="B37">
        <v>21352.6</v>
      </c>
      <c r="E37">
        <v>21982.799999999999</v>
      </c>
    </row>
    <row r="38" spans="1:12" x14ac:dyDescent="0.2">
      <c r="A38" t="s">
        <v>105</v>
      </c>
      <c r="B38">
        <v>21982.799999999999</v>
      </c>
      <c r="E38">
        <v>22326.9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847C-2081-194C-A1EF-322C73B1C880}">
  <dimension ref="A1:V38"/>
  <sheetViews>
    <sheetView tabSelected="1" workbookViewId="0">
      <selection activeCell="H41" sqref="H41"/>
    </sheetView>
  </sheetViews>
  <sheetFormatPr baseColWidth="10" defaultRowHeight="16" x14ac:dyDescent="0.2"/>
  <cols>
    <col min="1" max="1" width="14.83203125" customWidth="1"/>
    <col min="21" max="21" width="20.5" customWidth="1"/>
  </cols>
  <sheetData>
    <row r="1" spans="1:22" x14ac:dyDescent="0.2">
      <c r="A1" t="s">
        <v>88</v>
      </c>
      <c r="B1" t="s">
        <v>89</v>
      </c>
      <c r="C1" t="s">
        <v>92</v>
      </c>
      <c r="D1" t="s">
        <v>119</v>
      </c>
      <c r="E1" t="s">
        <v>106</v>
      </c>
      <c r="F1" t="s">
        <v>107</v>
      </c>
      <c r="G1" t="s">
        <v>108</v>
      </c>
      <c r="H1" t="s">
        <v>111</v>
      </c>
      <c r="I1" t="s">
        <v>112</v>
      </c>
      <c r="J1" t="s">
        <v>113</v>
      </c>
      <c r="K1" t="s">
        <v>120</v>
      </c>
      <c r="L1" t="s">
        <v>117</v>
      </c>
      <c r="M1" t="s">
        <v>118</v>
      </c>
      <c r="N1" t="s">
        <v>41</v>
      </c>
      <c r="O1" t="s">
        <v>121</v>
      </c>
      <c r="P1" t="s">
        <v>122</v>
      </c>
      <c r="Q1" t="s">
        <v>123</v>
      </c>
      <c r="R1" t="s">
        <v>124</v>
      </c>
    </row>
    <row r="2" spans="1:22" x14ac:dyDescent="0.2">
      <c r="A2" t="s">
        <v>55</v>
      </c>
      <c r="B2">
        <v>15097.35</v>
      </c>
      <c r="C2">
        <v>14324.9</v>
      </c>
      <c r="D2">
        <f>C2-B2</f>
        <v>-772.45000000000073</v>
      </c>
      <c r="E2">
        <f>IF($C2&gt;MROUND($B2,50),0,MROUND($B2,50)-$C2)</f>
        <v>775.10000000000036</v>
      </c>
      <c r="F2">
        <f>IF($C2&gt;MROUND($B2,50)-500,0,MROUND($B2,50)-500-$C2)</f>
        <v>275.10000000000036</v>
      </c>
      <c r="G2">
        <f>IF($C2&gt;MROUND($B2,50)-1000,0,MROUND($B2,50)-1000-$C2)</f>
        <v>0</v>
      </c>
      <c r="H2">
        <f>E2-$V$2</f>
        <v>545.10000000000036</v>
      </c>
      <c r="I2">
        <f>$V$3-F2</f>
        <v>-179.10000000000036</v>
      </c>
      <c r="J2">
        <f>G2-$V$4</f>
        <v>-37</v>
      </c>
      <c r="K2">
        <f>H2+(2*I2)+J2</f>
        <v>149.89999999999964</v>
      </c>
      <c r="L2">
        <f>K2</f>
        <v>149.89999999999964</v>
      </c>
      <c r="M2">
        <f>IF($C2&lt;MROUND($B2,50)+800,0,$C2-MROUND($B2,50)-800)</f>
        <v>0</v>
      </c>
      <c r="N2">
        <f>$V$7-M2</f>
        <v>75</v>
      </c>
      <c r="O2">
        <f>N2</f>
        <v>75</v>
      </c>
      <c r="P2">
        <f>C2-B2</f>
        <v>-772.45000000000073</v>
      </c>
      <c r="Q2">
        <f>P2</f>
        <v>-772.45000000000073</v>
      </c>
      <c r="R2">
        <f>L2+O2+Q2</f>
        <v>-547.55000000000109</v>
      </c>
      <c r="U2" t="s">
        <v>115</v>
      </c>
      <c r="V2">
        <v>230</v>
      </c>
    </row>
    <row r="3" spans="1:22" x14ac:dyDescent="0.2">
      <c r="A3" t="s">
        <v>56</v>
      </c>
      <c r="B3">
        <v>14324.9</v>
      </c>
      <c r="C3">
        <v>14894.9</v>
      </c>
      <c r="D3">
        <f t="shared" ref="D3:D38" si="0">C3-B3</f>
        <v>570</v>
      </c>
      <c r="E3">
        <f t="shared" ref="E3:E38" si="1">IF($C3&gt;MROUND($B3,50),0,MROUND($B3,50)-$C3)</f>
        <v>0</v>
      </c>
      <c r="F3">
        <f t="shared" ref="F3:F38" si="2">IF($C3&gt;MROUND($B3,50)-500,0,MROUND($B3,50)-500-$C3)</f>
        <v>0</v>
      </c>
      <c r="G3">
        <f t="shared" ref="G3:G38" si="3">IF($C3&gt;MROUND($B3,50)-1000,0,MROUND($B3,50)-1000-$C3)</f>
        <v>0</v>
      </c>
      <c r="H3">
        <f>E3-$V$2</f>
        <v>-230</v>
      </c>
      <c r="I3">
        <f>$V$3-F3</f>
        <v>96</v>
      </c>
      <c r="J3">
        <f>G3-$V$4</f>
        <v>-37</v>
      </c>
      <c r="K3">
        <f t="shared" ref="K3:K38" si="4">H3+(2*I3)+J3</f>
        <v>-75</v>
      </c>
      <c r="L3">
        <f>K3+L2</f>
        <v>74.899999999999636</v>
      </c>
      <c r="M3">
        <f t="shared" ref="M3:M38" si="5">IF($C3&lt;MROUND($B3,50)+800,0,$C3-MROUND($B3,50)-800)</f>
        <v>0</v>
      </c>
      <c r="N3">
        <f>$V$7-M3</f>
        <v>75</v>
      </c>
      <c r="O3">
        <f>N3+O2</f>
        <v>150</v>
      </c>
      <c r="P3">
        <f t="shared" ref="P3:P38" si="6">C3-B3</f>
        <v>570</v>
      </c>
      <c r="Q3">
        <f>P3+Q2</f>
        <v>-202.45000000000073</v>
      </c>
      <c r="R3">
        <f t="shared" ref="R3:R38" si="7">L3+O3+Q3</f>
        <v>22.449999999998909</v>
      </c>
      <c r="U3" t="s">
        <v>114</v>
      </c>
      <c r="V3">
        <v>96</v>
      </c>
    </row>
    <row r="4" spans="1:22" x14ac:dyDescent="0.2">
      <c r="A4" t="s">
        <v>57</v>
      </c>
      <c r="B4">
        <v>14894.9</v>
      </c>
      <c r="C4">
        <v>15337.85</v>
      </c>
      <c r="D4">
        <f t="shared" si="0"/>
        <v>442.95000000000073</v>
      </c>
      <c r="E4">
        <f t="shared" si="1"/>
        <v>0</v>
      </c>
      <c r="F4">
        <f t="shared" si="2"/>
        <v>0</v>
      </c>
      <c r="G4">
        <f t="shared" si="3"/>
        <v>0</v>
      </c>
      <c r="H4">
        <f>E4-$V$2</f>
        <v>-230</v>
      </c>
      <c r="I4">
        <f>$V$3-F4</f>
        <v>96</v>
      </c>
      <c r="J4">
        <f>G4-$V$4</f>
        <v>-37</v>
      </c>
      <c r="K4">
        <f t="shared" si="4"/>
        <v>-75</v>
      </c>
      <c r="L4">
        <f t="shared" ref="L4:L38" si="8">K4+L3</f>
        <v>-0.1000000000003638</v>
      </c>
      <c r="M4">
        <f t="shared" si="5"/>
        <v>0</v>
      </c>
      <c r="N4">
        <f>$V$7-M4</f>
        <v>75</v>
      </c>
      <c r="O4">
        <f t="shared" ref="O4:O38" si="9">N4+O3</f>
        <v>225</v>
      </c>
      <c r="P4">
        <f t="shared" si="6"/>
        <v>442.95000000000073</v>
      </c>
      <c r="Q4">
        <f t="shared" ref="Q4:Q38" si="10">P4+Q3</f>
        <v>240.5</v>
      </c>
      <c r="R4">
        <f t="shared" si="7"/>
        <v>465.39999999999964</v>
      </c>
      <c r="U4" t="s">
        <v>116</v>
      </c>
      <c r="V4">
        <v>37</v>
      </c>
    </row>
    <row r="5" spans="1:22" x14ac:dyDescent="0.2">
      <c r="A5" t="s">
        <v>58</v>
      </c>
      <c r="B5">
        <v>15337.85</v>
      </c>
      <c r="C5">
        <v>15790.45</v>
      </c>
      <c r="D5">
        <f t="shared" si="0"/>
        <v>452.60000000000036</v>
      </c>
      <c r="E5">
        <f t="shared" si="1"/>
        <v>0</v>
      </c>
      <c r="F5">
        <f t="shared" si="2"/>
        <v>0</v>
      </c>
      <c r="G5">
        <f t="shared" si="3"/>
        <v>0</v>
      </c>
      <c r="H5">
        <f>E5-$V$2</f>
        <v>-230</v>
      </c>
      <c r="I5">
        <f>$V$3-F5</f>
        <v>96</v>
      </c>
      <c r="J5">
        <f>G5-$V$4</f>
        <v>-37</v>
      </c>
      <c r="K5">
        <f t="shared" si="4"/>
        <v>-75</v>
      </c>
      <c r="L5">
        <f t="shared" si="8"/>
        <v>-75.100000000000364</v>
      </c>
      <c r="M5">
        <f t="shared" si="5"/>
        <v>0</v>
      </c>
      <c r="N5">
        <f>$V$7-M5</f>
        <v>75</v>
      </c>
      <c r="O5">
        <f t="shared" si="9"/>
        <v>300</v>
      </c>
      <c r="P5">
        <f t="shared" si="6"/>
        <v>452.60000000000036</v>
      </c>
      <c r="Q5">
        <f t="shared" si="10"/>
        <v>693.10000000000036</v>
      </c>
      <c r="R5">
        <f t="shared" si="7"/>
        <v>918</v>
      </c>
      <c r="U5" t="s">
        <v>109</v>
      </c>
      <c r="V5">
        <f>-V2+(2*V3)-V4</f>
        <v>-75</v>
      </c>
    </row>
    <row r="6" spans="1:22" x14ac:dyDescent="0.2">
      <c r="A6" t="s">
        <v>59</v>
      </c>
      <c r="B6">
        <v>15790.45</v>
      </c>
      <c r="C6">
        <v>15778.45</v>
      </c>
      <c r="D6">
        <f t="shared" si="0"/>
        <v>-12</v>
      </c>
      <c r="E6">
        <f t="shared" si="1"/>
        <v>21.549999999999272</v>
      </c>
      <c r="F6">
        <f t="shared" si="2"/>
        <v>0</v>
      </c>
      <c r="G6">
        <f t="shared" si="3"/>
        <v>0</v>
      </c>
      <c r="H6">
        <f>E6-$V$2</f>
        <v>-208.45000000000073</v>
      </c>
      <c r="I6">
        <f>$V$3-F6</f>
        <v>96</v>
      </c>
      <c r="J6">
        <f>G6-$V$4</f>
        <v>-37</v>
      </c>
      <c r="K6">
        <f t="shared" si="4"/>
        <v>-53.450000000000728</v>
      </c>
      <c r="L6">
        <f t="shared" si="8"/>
        <v>-128.55000000000109</v>
      </c>
      <c r="M6">
        <f t="shared" si="5"/>
        <v>0</v>
      </c>
      <c r="N6">
        <f>$V$7-M6</f>
        <v>75</v>
      </c>
      <c r="O6">
        <f t="shared" si="9"/>
        <v>375</v>
      </c>
      <c r="P6">
        <f t="shared" si="6"/>
        <v>-12</v>
      </c>
      <c r="Q6">
        <f t="shared" si="10"/>
        <v>681.10000000000036</v>
      </c>
      <c r="R6">
        <f t="shared" si="7"/>
        <v>927.54999999999927</v>
      </c>
    </row>
    <row r="7" spans="1:22" x14ac:dyDescent="0.2">
      <c r="A7" t="s">
        <v>60</v>
      </c>
      <c r="B7">
        <v>15778.45</v>
      </c>
      <c r="C7">
        <v>16636.900000000001</v>
      </c>
      <c r="D7">
        <f t="shared" si="0"/>
        <v>858.45000000000073</v>
      </c>
      <c r="E7">
        <f t="shared" si="1"/>
        <v>0</v>
      </c>
      <c r="F7">
        <f t="shared" si="2"/>
        <v>0</v>
      </c>
      <c r="G7">
        <f t="shared" si="3"/>
        <v>0</v>
      </c>
      <c r="H7">
        <f>E7-$V$2</f>
        <v>-230</v>
      </c>
      <c r="I7">
        <f>$V$3-F7</f>
        <v>96</v>
      </c>
      <c r="J7">
        <f>G7-$V$4</f>
        <v>-37</v>
      </c>
      <c r="K7">
        <f t="shared" si="4"/>
        <v>-75</v>
      </c>
      <c r="L7">
        <f t="shared" si="8"/>
        <v>-203.55000000000109</v>
      </c>
      <c r="M7">
        <f t="shared" si="5"/>
        <v>36.900000000001455</v>
      </c>
      <c r="N7">
        <f>$V$7-M7</f>
        <v>38.099999999998545</v>
      </c>
      <c r="O7">
        <f t="shared" si="9"/>
        <v>413.09999999999854</v>
      </c>
      <c r="P7">
        <f t="shared" si="6"/>
        <v>858.45000000000073</v>
      </c>
      <c r="Q7">
        <f t="shared" si="10"/>
        <v>1539.5500000000011</v>
      </c>
      <c r="R7">
        <f t="shared" si="7"/>
        <v>1749.0999999999985</v>
      </c>
      <c r="U7" t="s">
        <v>110</v>
      </c>
      <c r="V7">
        <v>75</v>
      </c>
    </row>
    <row r="8" spans="1:22" x14ac:dyDescent="0.2">
      <c r="A8" t="s">
        <v>61</v>
      </c>
      <c r="B8">
        <v>16636.900000000001</v>
      </c>
      <c r="C8">
        <v>17618.150000000001</v>
      </c>
      <c r="D8">
        <f t="shared" si="0"/>
        <v>981.25</v>
      </c>
      <c r="E8">
        <f t="shared" si="1"/>
        <v>0</v>
      </c>
      <c r="F8">
        <f t="shared" si="2"/>
        <v>0</v>
      </c>
      <c r="G8">
        <f t="shared" si="3"/>
        <v>0</v>
      </c>
      <c r="H8">
        <f>E8-$V$2</f>
        <v>-230</v>
      </c>
      <c r="I8">
        <f>$V$3-F8</f>
        <v>96</v>
      </c>
      <c r="J8">
        <f>G8-$V$4</f>
        <v>-37</v>
      </c>
      <c r="K8">
        <f t="shared" si="4"/>
        <v>-75</v>
      </c>
      <c r="L8">
        <f t="shared" si="8"/>
        <v>-278.55000000000109</v>
      </c>
      <c r="M8">
        <f t="shared" si="5"/>
        <v>168.15000000000146</v>
      </c>
      <c r="N8">
        <f>$V$7-M8</f>
        <v>-93.150000000001455</v>
      </c>
      <c r="O8">
        <f t="shared" si="9"/>
        <v>319.94999999999709</v>
      </c>
      <c r="P8">
        <f t="shared" si="6"/>
        <v>981.25</v>
      </c>
      <c r="Q8">
        <f t="shared" si="10"/>
        <v>2520.8000000000011</v>
      </c>
      <c r="R8">
        <f t="shared" si="7"/>
        <v>2562.1999999999971</v>
      </c>
    </row>
    <row r="9" spans="1:22" x14ac:dyDescent="0.2">
      <c r="A9" t="s">
        <v>62</v>
      </c>
      <c r="B9">
        <v>17618.150000000001</v>
      </c>
      <c r="C9">
        <v>17857.25</v>
      </c>
      <c r="D9">
        <f t="shared" si="0"/>
        <v>239.09999999999854</v>
      </c>
      <c r="E9">
        <f t="shared" si="1"/>
        <v>0</v>
      </c>
      <c r="F9">
        <f t="shared" si="2"/>
        <v>0</v>
      </c>
      <c r="G9">
        <f t="shared" si="3"/>
        <v>0</v>
      </c>
      <c r="H9">
        <f>E9-$V$2</f>
        <v>-230</v>
      </c>
      <c r="I9">
        <f>$V$3-F9</f>
        <v>96</v>
      </c>
      <c r="J9">
        <f>G9-$V$4</f>
        <v>-37</v>
      </c>
      <c r="K9">
        <f t="shared" si="4"/>
        <v>-75</v>
      </c>
      <c r="L9">
        <f t="shared" si="8"/>
        <v>-353.55000000000109</v>
      </c>
      <c r="M9">
        <f t="shared" si="5"/>
        <v>0</v>
      </c>
      <c r="N9">
        <f>$V$7-M9</f>
        <v>75</v>
      </c>
      <c r="O9">
        <f t="shared" si="9"/>
        <v>394.94999999999709</v>
      </c>
      <c r="P9">
        <f t="shared" si="6"/>
        <v>239.09999999999854</v>
      </c>
      <c r="Q9">
        <f t="shared" si="10"/>
        <v>2759.8999999999996</v>
      </c>
      <c r="R9">
        <f t="shared" si="7"/>
        <v>2801.2999999999956</v>
      </c>
    </row>
    <row r="10" spans="1:22" x14ac:dyDescent="0.2">
      <c r="A10" t="s">
        <v>63</v>
      </c>
      <c r="B10">
        <v>17857.25</v>
      </c>
      <c r="C10">
        <v>17536.25</v>
      </c>
      <c r="D10">
        <f t="shared" si="0"/>
        <v>-321</v>
      </c>
      <c r="E10">
        <f t="shared" si="1"/>
        <v>313.75</v>
      </c>
      <c r="F10">
        <f t="shared" si="2"/>
        <v>0</v>
      </c>
      <c r="G10">
        <f t="shared" si="3"/>
        <v>0</v>
      </c>
      <c r="H10">
        <f>E10-$V$2</f>
        <v>83.75</v>
      </c>
      <c r="I10">
        <f>$V$3-F10</f>
        <v>96</v>
      </c>
      <c r="J10">
        <f>G10-$V$4</f>
        <v>-37</v>
      </c>
      <c r="K10">
        <f t="shared" si="4"/>
        <v>238.75</v>
      </c>
      <c r="L10">
        <f t="shared" si="8"/>
        <v>-114.80000000000109</v>
      </c>
      <c r="M10">
        <f t="shared" si="5"/>
        <v>0</v>
      </c>
      <c r="N10">
        <f>$V$7-M10</f>
        <v>75</v>
      </c>
      <c r="O10">
        <f t="shared" si="9"/>
        <v>469.94999999999709</v>
      </c>
      <c r="P10">
        <f t="shared" si="6"/>
        <v>-321</v>
      </c>
      <c r="Q10">
        <f t="shared" si="10"/>
        <v>2438.8999999999996</v>
      </c>
      <c r="R10">
        <f t="shared" si="7"/>
        <v>2794.0499999999956</v>
      </c>
    </row>
    <row r="11" spans="1:22" x14ac:dyDescent="0.2">
      <c r="A11" t="s">
        <v>64</v>
      </c>
      <c r="B11">
        <v>17536.25</v>
      </c>
      <c r="C11">
        <v>17203.95</v>
      </c>
      <c r="D11">
        <f t="shared" si="0"/>
        <v>-332.29999999999927</v>
      </c>
      <c r="E11">
        <f t="shared" si="1"/>
        <v>346.04999999999927</v>
      </c>
      <c r="F11">
        <f t="shared" si="2"/>
        <v>0</v>
      </c>
      <c r="G11">
        <f t="shared" si="3"/>
        <v>0</v>
      </c>
      <c r="H11">
        <f>E11-$V$2</f>
        <v>116.04999999999927</v>
      </c>
      <c r="I11">
        <f>$V$3-F11</f>
        <v>96</v>
      </c>
      <c r="J11">
        <f>G11-$V$4</f>
        <v>-37</v>
      </c>
      <c r="K11">
        <f t="shared" si="4"/>
        <v>271.04999999999927</v>
      </c>
      <c r="L11">
        <f t="shared" si="8"/>
        <v>156.24999999999818</v>
      </c>
      <c r="M11">
        <f t="shared" si="5"/>
        <v>0</v>
      </c>
      <c r="N11">
        <f>$V$7-M11</f>
        <v>75</v>
      </c>
      <c r="O11">
        <f t="shared" si="9"/>
        <v>544.94999999999709</v>
      </c>
      <c r="P11">
        <f t="shared" si="6"/>
        <v>-332.29999999999927</v>
      </c>
      <c r="Q11">
        <f t="shared" si="10"/>
        <v>2106.6000000000004</v>
      </c>
      <c r="R11">
        <f t="shared" si="7"/>
        <v>2807.7999999999956</v>
      </c>
    </row>
    <row r="12" spans="1:22" x14ac:dyDescent="0.2">
      <c r="A12" t="s">
        <v>65</v>
      </c>
      <c r="B12">
        <v>17203.95</v>
      </c>
      <c r="C12">
        <v>17110.150000000001</v>
      </c>
      <c r="D12">
        <f t="shared" si="0"/>
        <v>-93.799999999999272</v>
      </c>
      <c r="E12">
        <f t="shared" si="1"/>
        <v>89.849999999998545</v>
      </c>
      <c r="F12">
        <f t="shared" si="2"/>
        <v>0</v>
      </c>
      <c r="G12">
        <f t="shared" si="3"/>
        <v>0</v>
      </c>
      <c r="H12">
        <f>E12-$V$2</f>
        <v>-140.15000000000146</v>
      </c>
      <c r="I12">
        <f>$V$3-F12</f>
        <v>96</v>
      </c>
      <c r="J12">
        <f>G12-$V$4</f>
        <v>-37</v>
      </c>
      <c r="K12">
        <f t="shared" si="4"/>
        <v>14.849999999998545</v>
      </c>
      <c r="L12">
        <f t="shared" si="8"/>
        <v>171.09999999999673</v>
      </c>
      <c r="M12">
        <f t="shared" si="5"/>
        <v>0</v>
      </c>
      <c r="N12">
        <f>$V$7-M12</f>
        <v>75</v>
      </c>
      <c r="O12">
        <f t="shared" si="9"/>
        <v>619.94999999999709</v>
      </c>
      <c r="P12">
        <f t="shared" si="6"/>
        <v>-93.799999999999272</v>
      </c>
      <c r="Q12">
        <f t="shared" si="10"/>
        <v>2012.8000000000011</v>
      </c>
      <c r="R12">
        <f t="shared" si="7"/>
        <v>2803.8499999999949</v>
      </c>
    </row>
    <row r="13" spans="1:22" x14ac:dyDescent="0.2">
      <c r="A13" t="s">
        <v>66</v>
      </c>
      <c r="B13">
        <v>17110.150000000001</v>
      </c>
      <c r="C13">
        <v>16247.95</v>
      </c>
      <c r="D13">
        <f t="shared" si="0"/>
        <v>-862.20000000000073</v>
      </c>
      <c r="E13">
        <f t="shared" si="1"/>
        <v>852.04999999999927</v>
      </c>
      <c r="F13">
        <f t="shared" si="2"/>
        <v>352.04999999999927</v>
      </c>
      <c r="G13">
        <f t="shared" si="3"/>
        <v>0</v>
      </c>
      <c r="H13">
        <f>E13-$V$2</f>
        <v>622.04999999999927</v>
      </c>
      <c r="I13">
        <f>$V$3-F13</f>
        <v>-256.04999999999927</v>
      </c>
      <c r="J13">
        <f>G13-$V$4</f>
        <v>-37</v>
      </c>
      <c r="K13">
        <f t="shared" si="4"/>
        <v>72.950000000000728</v>
      </c>
      <c r="L13">
        <f t="shared" si="8"/>
        <v>244.04999999999745</v>
      </c>
      <c r="M13">
        <f t="shared" si="5"/>
        <v>0</v>
      </c>
      <c r="N13">
        <f>$V$7-M13</f>
        <v>75</v>
      </c>
      <c r="O13">
        <f t="shared" si="9"/>
        <v>694.94999999999709</v>
      </c>
      <c r="P13">
        <f t="shared" si="6"/>
        <v>-862.20000000000073</v>
      </c>
      <c r="Q13">
        <f t="shared" si="10"/>
        <v>1150.6000000000004</v>
      </c>
      <c r="R13">
        <f t="shared" si="7"/>
        <v>2089.5999999999949</v>
      </c>
    </row>
    <row r="14" spans="1:22" x14ac:dyDescent="0.2">
      <c r="A14" t="s">
        <v>67</v>
      </c>
      <c r="B14">
        <v>16247.95</v>
      </c>
      <c r="C14">
        <v>17222.75</v>
      </c>
      <c r="D14">
        <f t="shared" si="0"/>
        <v>974.79999999999927</v>
      </c>
      <c r="E14">
        <f t="shared" si="1"/>
        <v>0</v>
      </c>
      <c r="F14">
        <f t="shared" si="2"/>
        <v>0</v>
      </c>
      <c r="G14">
        <f t="shared" si="3"/>
        <v>0</v>
      </c>
      <c r="H14">
        <f>E14-$V$2</f>
        <v>-230</v>
      </c>
      <c r="I14">
        <f>$V$3-F14</f>
        <v>96</v>
      </c>
      <c r="J14">
        <f>G14-$V$4</f>
        <v>-37</v>
      </c>
      <c r="K14">
        <f t="shared" si="4"/>
        <v>-75</v>
      </c>
      <c r="L14">
        <f t="shared" si="8"/>
        <v>169.04999999999745</v>
      </c>
      <c r="M14">
        <f t="shared" si="5"/>
        <v>172.75</v>
      </c>
      <c r="N14">
        <f>$V$7-M14</f>
        <v>-97.75</v>
      </c>
      <c r="O14">
        <f t="shared" si="9"/>
        <v>597.19999999999709</v>
      </c>
      <c r="P14">
        <f t="shared" si="6"/>
        <v>974.79999999999927</v>
      </c>
      <c r="Q14">
        <f t="shared" si="10"/>
        <v>2125.3999999999996</v>
      </c>
      <c r="R14">
        <f t="shared" si="7"/>
        <v>2891.6499999999942</v>
      </c>
    </row>
    <row r="15" spans="1:22" x14ac:dyDescent="0.2">
      <c r="A15" t="s">
        <v>68</v>
      </c>
      <c r="B15">
        <v>17222.75</v>
      </c>
      <c r="C15">
        <v>17245.05</v>
      </c>
      <c r="D15">
        <f t="shared" si="0"/>
        <v>22.299999999999272</v>
      </c>
      <c r="E15">
        <f t="shared" si="1"/>
        <v>0</v>
      </c>
      <c r="F15">
        <f t="shared" si="2"/>
        <v>0</v>
      </c>
      <c r="G15">
        <f t="shared" si="3"/>
        <v>0</v>
      </c>
      <c r="H15">
        <f>E15-$V$2</f>
        <v>-230</v>
      </c>
      <c r="I15">
        <f>$V$3-F15</f>
        <v>96</v>
      </c>
      <c r="J15">
        <f>G15-$V$4</f>
        <v>-37</v>
      </c>
      <c r="K15">
        <f t="shared" si="4"/>
        <v>-75</v>
      </c>
      <c r="L15">
        <f t="shared" si="8"/>
        <v>94.049999999997453</v>
      </c>
      <c r="M15">
        <f t="shared" si="5"/>
        <v>0</v>
      </c>
      <c r="N15">
        <f>$V$7-M15</f>
        <v>75</v>
      </c>
      <c r="O15">
        <f t="shared" si="9"/>
        <v>672.19999999999709</v>
      </c>
      <c r="P15">
        <f t="shared" si="6"/>
        <v>22.299999999999272</v>
      </c>
      <c r="Q15">
        <f t="shared" si="10"/>
        <v>2147.6999999999989</v>
      </c>
      <c r="R15">
        <f t="shared" si="7"/>
        <v>2913.9499999999935</v>
      </c>
    </row>
    <row r="16" spans="1:22" x14ac:dyDescent="0.2">
      <c r="A16" t="s">
        <v>69</v>
      </c>
      <c r="B16">
        <v>17245.05</v>
      </c>
      <c r="C16">
        <v>16170.15</v>
      </c>
      <c r="D16">
        <f t="shared" si="0"/>
        <v>-1074.8999999999996</v>
      </c>
      <c r="E16">
        <f t="shared" si="1"/>
        <v>1079.8500000000004</v>
      </c>
      <c r="F16">
        <f t="shared" si="2"/>
        <v>579.85000000000036</v>
      </c>
      <c r="G16">
        <f t="shared" si="3"/>
        <v>79.850000000000364</v>
      </c>
      <c r="H16">
        <f>E16-$V$2</f>
        <v>849.85000000000036</v>
      </c>
      <c r="I16">
        <f>$V$3-F16</f>
        <v>-483.85000000000036</v>
      </c>
      <c r="J16">
        <f>G16-$V$4</f>
        <v>42.850000000000364</v>
      </c>
      <c r="K16">
        <f t="shared" si="4"/>
        <v>-75</v>
      </c>
      <c r="L16">
        <f t="shared" si="8"/>
        <v>19.049999999997453</v>
      </c>
      <c r="M16">
        <f t="shared" si="5"/>
        <v>0</v>
      </c>
      <c r="N16">
        <f>$V$7-M16</f>
        <v>75</v>
      </c>
      <c r="O16">
        <f t="shared" si="9"/>
        <v>747.19999999999709</v>
      </c>
      <c r="P16">
        <f t="shared" si="6"/>
        <v>-1074.8999999999996</v>
      </c>
      <c r="Q16">
        <f t="shared" si="10"/>
        <v>1072.7999999999993</v>
      </c>
      <c r="R16">
        <f t="shared" si="7"/>
        <v>1839.0499999999938</v>
      </c>
    </row>
    <row r="17" spans="1:18" x14ac:dyDescent="0.2">
      <c r="A17" t="s">
        <v>70</v>
      </c>
      <c r="B17">
        <v>16170.15</v>
      </c>
      <c r="C17">
        <v>15780.25</v>
      </c>
      <c r="D17">
        <f t="shared" si="0"/>
        <v>-389.89999999999964</v>
      </c>
      <c r="E17">
        <f t="shared" si="1"/>
        <v>369.75</v>
      </c>
      <c r="F17">
        <f t="shared" si="2"/>
        <v>0</v>
      </c>
      <c r="G17">
        <f t="shared" si="3"/>
        <v>0</v>
      </c>
      <c r="H17">
        <f>E17-$V$2</f>
        <v>139.75</v>
      </c>
      <c r="I17">
        <f>$V$3-F17</f>
        <v>96</v>
      </c>
      <c r="J17">
        <f>G17-$V$4</f>
        <v>-37</v>
      </c>
      <c r="K17">
        <f t="shared" si="4"/>
        <v>294.75</v>
      </c>
      <c r="L17">
        <f t="shared" si="8"/>
        <v>313.79999999999745</v>
      </c>
      <c r="M17">
        <f t="shared" si="5"/>
        <v>0</v>
      </c>
      <c r="N17">
        <f>$V$7-M17</f>
        <v>75</v>
      </c>
      <c r="O17">
        <f t="shared" si="9"/>
        <v>822.19999999999709</v>
      </c>
      <c r="P17">
        <f t="shared" si="6"/>
        <v>-389.89999999999964</v>
      </c>
      <c r="Q17">
        <f t="shared" si="10"/>
        <v>682.89999999999964</v>
      </c>
      <c r="R17">
        <f t="shared" si="7"/>
        <v>1818.8999999999942</v>
      </c>
    </row>
    <row r="18" spans="1:18" x14ac:dyDescent="0.2">
      <c r="A18" t="s">
        <v>71</v>
      </c>
      <c r="B18">
        <v>15780.25</v>
      </c>
      <c r="C18">
        <v>16929.599999999999</v>
      </c>
      <c r="D18">
        <f t="shared" si="0"/>
        <v>1149.3499999999985</v>
      </c>
      <c r="E18">
        <f t="shared" si="1"/>
        <v>0</v>
      </c>
      <c r="F18">
        <f t="shared" si="2"/>
        <v>0</v>
      </c>
      <c r="G18">
        <f t="shared" si="3"/>
        <v>0</v>
      </c>
      <c r="H18">
        <f>E18-$V$2</f>
        <v>-230</v>
      </c>
      <c r="I18">
        <f>$V$3-F18</f>
        <v>96</v>
      </c>
      <c r="J18">
        <f>G18-$V$4</f>
        <v>-37</v>
      </c>
      <c r="K18">
        <f t="shared" si="4"/>
        <v>-75</v>
      </c>
      <c r="L18">
        <f t="shared" si="8"/>
        <v>238.79999999999745</v>
      </c>
      <c r="M18">
        <f t="shared" si="5"/>
        <v>329.59999999999854</v>
      </c>
      <c r="N18">
        <f>$V$7-M18</f>
        <v>-254.59999999999854</v>
      </c>
      <c r="O18">
        <f t="shared" si="9"/>
        <v>567.59999999999854</v>
      </c>
      <c r="P18">
        <f t="shared" si="6"/>
        <v>1149.3499999999985</v>
      </c>
      <c r="Q18">
        <f t="shared" si="10"/>
        <v>1832.2499999999982</v>
      </c>
      <c r="R18">
        <f t="shared" si="7"/>
        <v>2638.6499999999942</v>
      </c>
    </row>
    <row r="19" spans="1:18" x14ac:dyDescent="0.2">
      <c r="A19" t="s">
        <v>72</v>
      </c>
      <c r="B19">
        <v>16929.599999999999</v>
      </c>
      <c r="C19">
        <v>17522.45</v>
      </c>
      <c r="D19">
        <f t="shared" si="0"/>
        <v>592.85000000000218</v>
      </c>
      <c r="E19">
        <f t="shared" si="1"/>
        <v>0</v>
      </c>
      <c r="F19">
        <f t="shared" si="2"/>
        <v>0</v>
      </c>
      <c r="G19">
        <f t="shared" si="3"/>
        <v>0</v>
      </c>
      <c r="H19">
        <f>E19-$V$2</f>
        <v>-230</v>
      </c>
      <c r="I19">
        <f>$V$3-F19</f>
        <v>96</v>
      </c>
      <c r="J19">
        <f>G19-$V$4</f>
        <v>-37</v>
      </c>
      <c r="K19">
        <f t="shared" si="4"/>
        <v>-75</v>
      </c>
      <c r="L19">
        <f t="shared" si="8"/>
        <v>163.79999999999745</v>
      </c>
      <c r="M19">
        <f t="shared" si="5"/>
        <v>0</v>
      </c>
      <c r="N19">
        <f>$V$7-M19</f>
        <v>75</v>
      </c>
      <c r="O19">
        <f t="shared" si="9"/>
        <v>642.59999999999854</v>
      </c>
      <c r="P19">
        <f t="shared" si="6"/>
        <v>592.85000000000218</v>
      </c>
      <c r="Q19">
        <f t="shared" si="10"/>
        <v>2425.1000000000004</v>
      </c>
      <c r="R19">
        <f t="shared" si="7"/>
        <v>3231.4999999999964</v>
      </c>
    </row>
    <row r="20" spans="1:18" x14ac:dyDescent="0.2">
      <c r="A20" t="s">
        <v>73</v>
      </c>
      <c r="B20">
        <v>17522.45</v>
      </c>
      <c r="C20">
        <v>16818.099999999999</v>
      </c>
      <c r="D20">
        <f t="shared" si="0"/>
        <v>-704.35000000000218</v>
      </c>
      <c r="E20">
        <f t="shared" si="1"/>
        <v>681.90000000000146</v>
      </c>
      <c r="F20">
        <f t="shared" si="2"/>
        <v>181.90000000000146</v>
      </c>
      <c r="G20">
        <f t="shared" si="3"/>
        <v>0</v>
      </c>
      <c r="H20">
        <f>E20-$V$2</f>
        <v>451.90000000000146</v>
      </c>
      <c r="I20">
        <f>$V$3-F20</f>
        <v>-85.900000000001455</v>
      </c>
      <c r="J20">
        <f>G20-$V$4</f>
        <v>-37</v>
      </c>
      <c r="K20">
        <f t="shared" si="4"/>
        <v>243.09999999999854</v>
      </c>
      <c r="L20">
        <f t="shared" si="8"/>
        <v>406.899999999996</v>
      </c>
      <c r="M20">
        <f t="shared" si="5"/>
        <v>0</v>
      </c>
      <c r="N20">
        <f>$V$7-M20</f>
        <v>75</v>
      </c>
      <c r="O20">
        <f t="shared" si="9"/>
        <v>717.59999999999854</v>
      </c>
      <c r="P20">
        <f t="shared" si="6"/>
        <v>-704.35000000000218</v>
      </c>
      <c r="Q20">
        <f t="shared" si="10"/>
        <v>1720.7499999999982</v>
      </c>
      <c r="R20">
        <f t="shared" si="7"/>
        <v>2845.2499999999927</v>
      </c>
    </row>
    <row r="21" spans="1:18" x14ac:dyDescent="0.2">
      <c r="A21" t="s">
        <v>74</v>
      </c>
      <c r="B21">
        <v>16818.099999999999</v>
      </c>
      <c r="C21">
        <v>17736.95</v>
      </c>
      <c r="D21">
        <f t="shared" si="0"/>
        <v>918.85000000000218</v>
      </c>
      <c r="E21">
        <f t="shared" si="1"/>
        <v>0</v>
      </c>
      <c r="F21">
        <f t="shared" si="2"/>
        <v>0</v>
      </c>
      <c r="G21">
        <f t="shared" si="3"/>
        <v>0</v>
      </c>
      <c r="H21">
        <f>E21-$V$2</f>
        <v>-230</v>
      </c>
      <c r="I21">
        <f>$V$3-F21</f>
        <v>96</v>
      </c>
      <c r="J21">
        <f>G21-$V$4</f>
        <v>-37</v>
      </c>
      <c r="K21">
        <f t="shared" si="4"/>
        <v>-75</v>
      </c>
      <c r="L21">
        <f t="shared" si="8"/>
        <v>331.899999999996</v>
      </c>
      <c r="M21">
        <f t="shared" si="5"/>
        <v>136.95000000000073</v>
      </c>
      <c r="N21">
        <f>$V$7-M21</f>
        <v>-61.950000000000728</v>
      </c>
      <c r="O21">
        <f t="shared" si="9"/>
        <v>655.64999999999782</v>
      </c>
      <c r="P21">
        <f t="shared" si="6"/>
        <v>918.85000000000218</v>
      </c>
      <c r="Q21">
        <f t="shared" si="10"/>
        <v>2639.6000000000004</v>
      </c>
      <c r="R21">
        <f t="shared" si="7"/>
        <v>3627.1499999999942</v>
      </c>
    </row>
    <row r="22" spans="1:18" x14ac:dyDescent="0.2">
      <c r="A22" t="s">
        <v>75</v>
      </c>
      <c r="B22">
        <v>17736.95</v>
      </c>
      <c r="C22">
        <v>18484.099999999999</v>
      </c>
      <c r="D22">
        <f t="shared" si="0"/>
        <v>747.14999999999782</v>
      </c>
      <c r="E22">
        <f t="shared" si="1"/>
        <v>0</v>
      </c>
      <c r="F22">
        <f t="shared" si="2"/>
        <v>0</v>
      </c>
      <c r="G22">
        <f t="shared" si="3"/>
        <v>0</v>
      </c>
      <c r="H22">
        <f>E22-$V$2</f>
        <v>-230</v>
      </c>
      <c r="I22">
        <f>$V$3-F22</f>
        <v>96</v>
      </c>
      <c r="J22">
        <f>G22-$V$4</f>
        <v>-37</v>
      </c>
      <c r="K22">
        <f t="shared" si="4"/>
        <v>-75</v>
      </c>
      <c r="L22">
        <f t="shared" si="8"/>
        <v>256.899999999996</v>
      </c>
      <c r="M22">
        <f t="shared" si="5"/>
        <v>0</v>
      </c>
      <c r="N22">
        <f>$V$7-M22</f>
        <v>75</v>
      </c>
      <c r="O22">
        <f t="shared" si="9"/>
        <v>730.64999999999782</v>
      </c>
      <c r="P22">
        <f t="shared" si="6"/>
        <v>747.14999999999782</v>
      </c>
      <c r="Q22">
        <f t="shared" si="10"/>
        <v>3386.7499999999982</v>
      </c>
      <c r="R22">
        <f t="shared" si="7"/>
        <v>4374.299999999992</v>
      </c>
    </row>
    <row r="23" spans="1:18" x14ac:dyDescent="0.2">
      <c r="A23" t="s">
        <v>76</v>
      </c>
      <c r="B23">
        <v>18484.099999999999</v>
      </c>
      <c r="C23">
        <v>18191</v>
      </c>
      <c r="D23">
        <f t="shared" si="0"/>
        <v>-293.09999999999854</v>
      </c>
      <c r="E23">
        <f t="shared" si="1"/>
        <v>309</v>
      </c>
      <c r="F23">
        <f t="shared" si="2"/>
        <v>0</v>
      </c>
      <c r="G23">
        <f t="shared" si="3"/>
        <v>0</v>
      </c>
      <c r="H23">
        <f>E23-$V$2</f>
        <v>79</v>
      </c>
      <c r="I23">
        <f>$V$3-F23</f>
        <v>96</v>
      </c>
      <c r="J23">
        <f>G23-$V$4</f>
        <v>-37</v>
      </c>
      <c r="K23">
        <f t="shared" si="4"/>
        <v>234</v>
      </c>
      <c r="L23">
        <f t="shared" si="8"/>
        <v>490.899999999996</v>
      </c>
      <c r="M23">
        <f t="shared" si="5"/>
        <v>0</v>
      </c>
      <c r="N23">
        <f>$V$7-M23</f>
        <v>75</v>
      </c>
      <c r="O23">
        <f t="shared" si="9"/>
        <v>805.64999999999782</v>
      </c>
      <c r="P23">
        <f t="shared" si="6"/>
        <v>-293.09999999999854</v>
      </c>
      <c r="Q23">
        <f t="shared" si="10"/>
        <v>3093.6499999999996</v>
      </c>
      <c r="R23">
        <f t="shared" si="7"/>
        <v>4390.1999999999935</v>
      </c>
    </row>
    <row r="24" spans="1:18" x14ac:dyDescent="0.2">
      <c r="A24" t="s">
        <v>77</v>
      </c>
      <c r="B24">
        <v>18191</v>
      </c>
      <c r="C24">
        <v>17891.95</v>
      </c>
      <c r="D24">
        <f t="shared" si="0"/>
        <v>-299.04999999999927</v>
      </c>
      <c r="E24">
        <f t="shared" si="1"/>
        <v>308.04999999999927</v>
      </c>
      <c r="F24">
        <f t="shared" si="2"/>
        <v>0</v>
      </c>
      <c r="G24">
        <f t="shared" si="3"/>
        <v>0</v>
      </c>
      <c r="H24">
        <f>E24-$V$2</f>
        <v>78.049999999999272</v>
      </c>
      <c r="I24">
        <f>$V$3-F24</f>
        <v>96</v>
      </c>
      <c r="J24">
        <f>G24-$V$4</f>
        <v>-37</v>
      </c>
      <c r="K24">
        <f t="shared" si="4"/>
        <v>233.04999999999927</v>
      </c>
      <c r="L24">
        <f t="shared" si="8"/>
        <v>723.94999999999527</v>
      </c>
      <c r="M24">
        <f t="shared" si="5"/>
        <v>0</v>
      </c>
      <c r="N24">
        <f>$V$7-M24</f>
        <v>75</v>
      </c>
      <c r="O24">
        <f t="shared" si="9"/>
        <v>880.64999999999782</v>
      </c>
      <c r="P24">
        <f t="shared" si="6"/>
        <v>-299.04999999999927</v>
      </c>
      <c r="Q24">
        <f t="shared" si="10"/>
        <v>2794.6000000000004</v>
      </c>
      <c r="R24">
        <f t="shared" si="7"/>
        <v>4399.1999999999935</v>
      </c>
    </row>
    <row r="25" spans="1:18" x14ac:dyDescent="0.2">
      <c r="A25" t="s">
        <v>78</v>
      </c>
      <c r="B25">
        <v>17891.95</v>
      </c>
      <c r="C25">
        <v>17511.25</v>
      </c>
      <c r="D25">
        <f t="shared" si="0"/>
        <v>-380.70000000000073</v>
      </c>
      <c r="E25">
        <f t="shared" si="1"/>
        <v>388.75</v>
      </c>
      <c r="F25">
        <f t="shared" si="2"/>
        <v>0</v>
      </c>
      <c r="G25">
        <f t="shared" si="3"/>
        <v>0</v>
      </c>
      <c r="H25">
        <f>E25-$V$2</f>
        <v>158.75</v>
      </c>
      <c r="I25">
        <f>$V$3-F25</f>
        <v>96</v>
      </c>
      <c r="J25">
        <f>G25-$V$4</f>
        <v>-37</v>
      </c>
      <c r="K25">
        <f t="shared" si="4"/>
        <v>313.75</v>
      </c>
      <c r="L25">
        <f t="shared" si="8"/>
        <v>1037.6999999999953</v>
      </c>
      <c r="M25">
        <f t="shared" si="5"/>
        <v>0</v>
      </c>
      <c r="N25">
        <f>$V$7-M25</f>
        <v>75</v>
      </c>
      <c r="O25">
        <f t="shared" si="9"/>
        <v>955.64999999999782</v>
      </c>
      <c r="P25">
        <f t="shared" si="6"/>
        <v>-380.70000000000073</v>
      </c>
      <c r="Q25">
        <f t="shared" si="10"/>
        <v>2413.8999999999996</v>
      </c>
      <c r="R25">
        <f t="shared" si="7"/>
        <v>4407.2499999999927</v>
      </c>
    </row>
    <row r="26" spans="1:18" x14ac:dyDescent="0.2">
      <c r="A26" t="s">
        <v>79</v>
      </c>
      <c r="B26">
        <v>17511.25</v>
      </c>
      <c r="C26">
        <v>17080.7</v>
      </c>
      <c r="D26">
        <f t="shared" si="0"/>
        <v>-430.54999999999927</v>
      </c>
      <c r="E26">
        <f t="shared" si="1"/>
        <v>419.29999999999927</v>
      </c>
      <c r="F26">
        <f t="shared" si="2"/>
        <v>0</v>
      </c>
      <c r="G26">
        <f t="shared" si="3"/>
        <v>0</v>
      </c>
      <c r="H26">
        <f>E26-$V$2</f>
        <v>189.29999999999927</v>
      </c>
      <c r="I26">
        <f>$V$3-F26</f>
        <v>96</v>
      </c>
      <c r="J26">
        <f>G26-$V$4</f>
        <v>-37</v>
      </c>
      <c r="K26">
        <f t="shared" si="4"/>
        <v>344.29999999999927</v>
      </c>
      <c r="L26">
        <f t="shared" si="8"/>
        <v>1381.9999999999945</v>
      </c>
      <c r="M26">
        <f t="shared" si="5"/>
        <v>0</v>
      </c>
      <c r="N26">
        <f>$V$7-M26</f>
        <v>75</v>
      </c>
      <c r="O26">
        <f t="shared" si="9"/>
        <v>1030.6499999999978</v>
      </c>
      <c r="P26">
        <f t="shared" si="6"/>
        <v>-430.54999999999927</v>
      </c>
      <c r="Q26">
        <f t="shared" si="10"/>
        <v>1983.3500000000004</v>
      </c>
      <c r="R26">
        <f t="shared" si="7"/>
        <v>4395.9999999999927</v>
      </c>
    </row>
    <row r="27" spans="1:18" x14ac:dyDescent="0.2">
      <c r="A27" t="s">
        <v>80</v>
      </c>
      <c r="B27">
        <v>17080.7</v>
      </c>
      <c r="C27">
        <v>17915.05</v>
      </c>
      <c r="D27">
        <f t="shared" si="0"/>
        <v>834.34999999999854</v>
      </c>
      <c r="E27">
        <f t="shared" si="1"/>
        <v>0</v>
      </c>
      <c r="F27">
        <f t="shared" si="2"/>
        <v>0</v>
      </c>
      <c r="G27">
        <f t="shared" si="3"/>
        <v>0</v>
      </c>
      <c r="H27">
        <f>E27-$V$2</f>
        <v>-230</v>
      </c>
      <c r="I27">
        <f>$V$3-F27</f>
        <v>96</v>
      </c>
      <c r="J27">
        <f>G27-$V$4</f>
        <v>-37</v>
      </c>
      <c r="K27">
        <f t="shared" si="4"/>
        <v>-75</v>
      </c>
      <c r="L27">
        <f t="shared" si="8"/>
        <v>1306.9999999999945</v>
      </c>
      <c r="M27">
        <f t="shared" si="5"/>
        <v>15.049999999999272</v>
      </c>
      <c r="N27">
        <f>$V$7-M27</f>
        <v>59.950000000000728</v>
      </c>
      <c r="O27">
        <f t="shared" si="9"/>
        <v>1090.5999999999985</v>
      </c>
      <c r="P27">
        <f t="shared" si="6"/>
        <v>834.34999999999854</v>
      </c>
      <c r="Q27">
        <f t="shared" si="10"/>
        <v>2817.6999999999989</v>
      </c>
      <c r="R27">
        <f t="shared" si="7"/>
        <v>5215.299999999992</v>
      </c>
    </row>
    <row r="28" spans="1:18" x14ac:dyDescent="0.2">
      <c r="A28" t="s">
        <v>81</v>
      </c>
      <c r="B28">
        <v>17915.05</v>
      </c>
      <c r="C28">
        <v>18321.150000000001</v>
      </c>
      <c r="D28">
        <f t="shared" si="0"/>
        <v>406.10000000000218</v>
      </c>
      <c r="E28">
        <f t="shared" si="1"/>
        <v>0</v>
      </c>
      <c r="F28">
        <f t="shared" si="2"/>
        <v>0</v>
      </c>
      <c r="G28">
        <f t="shared" si="3"/>
        <v>0</v>
      </c>
      <c r="H28">
        <f>E28-$V$2</f>
        <v>-230</v>
      </c>
      <c r="I28">
        <f>$V$3-F28</f>
        <v>96</v>
      </c>
      <c r="J28">
        <f>G28-$V$4</f>
        <v>-37</v>
      </c>
      <c r="K28">
        <f t="shared" si="4"/>
        <v>-75</v>
      </c>
      <c r="L28">
        <f t="shared" si="8"/>
        <v>1231.9999999999945</v>
      </c>
      <c r="M28">
        <f t="shared" si="5"/>
        <v>0</v>
      </c>
      <c r="N28">
        <f>$V$7-M28</f>
        <v>75</v>
      </c>
      <c r="O28">
        <f t="shared" si="9"/>
        <v>1165.5999999999985</v>
      </c>
      <c r="P28">
        <f t="shared" si="6"/>
        <v>406.10000000000218</v>
      </c>
      <c r="Q28">
        <f t="shared" si="10"/>
        <v>3223.8000000000011</v>
      </c>
      <c r="R28">
        <f t="shared" si="7"/>
        <v>5621.3999999999942</v>
      </c>
    </row>
    <row r="29" spans="1:18" x14ac:dyDescent="0.2">
      <c r="A29" t="s">
        <v>82</v>
      </c>
      <c r="B29">
        <v>18321.150000000001</v>
      </c>
      <c r="C29">
        <v>18972.099999999999</v>
      </c>
      <c r="D29">
        <f t="shared" si="0"/>
        <v>650.94999999999709</v>
      </c>
      <c r="E29">
        <f t="shared" si="1"/>
        <v>0</v>
      </c>
      <c r="F29">
        <f t="shared" si="2"/>
        <v>0</v>
      </c>
      <c r="G29">
        <f t="shared" si="3"/>
        <v>0</v>
      </c>
      <c r="H29">
        <f>E29-$V$2</f>
        <v>-230</v>
      </c>
      <c r="I29">
        <f>$V$3-F29</f>
        <v>96</v>
      </c>
      <c r="J29">
        <f>G29-$V$4</f>
        <v>-37</v>
      </c>
      <c r="K29">
        <f t="shared" si="4"/>
        <v>-75</v>
      </c>
      <c r="L29">
        <f t="shared" si="8"/>
        <v>1156.9999999999945</v>
      </c>
      <c r="M29">
        <f t="shared" si="5"/>
        <v>0</v>
      </c>
      <c r="N29">
        <f>$V$7-M29</f>
        <v>75</v>
      </c>
      <c r="O29">
        <f t="shared" si="9"/>
        <v>1240.5999999999985</v>
      </c>
      <c r="P29">
        <f t="shared" si="6"/>
        <v>650.94999999999709</v>
      </c>
      <c r="Q29">
        <f t="shared" si="10"/>
        <v>3874.7499999999982</v>
      </c>
      <c r="R29">
        <f t="shared" si="7"/>
        <v>6272.3499999999913</v>
      </c>
    </row>
    <row r="30" spans="1:18" x14ac:dyDescent="0.2">
      <c r="A30" t="s">
        <v>83</v>
      </c>
      <c r="B30">
        <v>18972.099999999999</v>
      </c>
      <c r="C30">
        <v>19659.900000000001</v>
      </c>
      <c r="D30">
        <f t="shared" si="0"/>
        <v>687.80000000000291</v>
      </c>
      <c r="E30">
        <f t="shared" si="1"/>
        <v>0</v>
      </c>
      <c r="F30">
        <f t="shared" si="2"/>
        <v>0</v>
      </c>
      <c r="G30">
        <f t="shared" si="3"/>
        <v>0</v>
      </c>
      <c r="H30">
        <f>E30-$V$2</f>
        <v>-230</v>
      </c>
      <c r="I30">
        <f>$V$3-F30</f>
        <v>96</v>
      </c>
      <c r="J30">
        <f>G30-$V$4</f>
        <v>-37</v>
      </c>
      <c r="K30">
        <f t="shared" si="4"/>
        <v>-75</v>
      </c>
      <c r="L30">
        <f t="shared" si="8"/>
        <v>1081.9999999999945</v>
      </c>
      <c r="M30">
        <f t="shared" si="5"/>
        <v>0</v>
      </c>
      <c r="N30">
        <f>$V$7-M30</f>
        <v>75</v>
      </c>
      <c r="O30">
        <f t="shared" si="9"/>
        <v>1315.5999999999985</v>
      </c>
      <c r="P30">
        <f t="shared" si="6"/>
        <v>687.80000000000291</v>
      </c>
      <c r="Q30">
        <f t="shared" si="10"/>
        <v>4562.5500000000011</v>
      </c>
      <c r="R30">
        <f t="shared" si="7"/>
        <v>6960.1499999999942</v>
      </c>
    </row>
    <row r="31" spans="1:18" x14ac:dyDescent="0.2">
      <c r="A31" t="s">
        <v>84</v>
      </c>
      <c r="B31">
        <v>19659.900000000001</v>
      </c>
      <c r="C31">
        <v>19253.8</v>
      </c>
      <c r="D31">
        <f t="shared" si="0"/>
        <v>-406.10000000000218</v>
      </c>
      <c r="E31">
        <f t="shared" si="1"/>
        <v>396.20000000000073</v>
      </c>
      <c r="F31">
        <f t="shared" si="2"/>
        <v>0</v>
      </c>
      <c r="G31">
        <f t="shared" si="3"/>
        <v>0</v>
      </c>
      <c r="H31">
        <f>E31-$V$2</f>
        <v>166.20000000000073</v>
      </c>
      <c r="I31">
        <f>$V$3-F31</f>
        <v>96</v>
      </c>
      <c r="J31">
        <f>G31-$V$4</f>
        <v>-37</v>
      </c>
      <c r="K31">
        <f t="shared" si="4"/>
        <v>321.20000000000073</v>
      </c>
      <c r="L31">
        <f t="shared" si="8"/>
        <v>1403.1999999999953</v>
      </c>
      <c r="M31">
        <f t="shared" si="5"/>
        <v>0</v>
      </c>
      <c r="N31">
        <f>$V$7-M31</f>
        <v>75</v>
      </c>
      <c r="O31">
        <f t="shared" si="9"/>
        <v>1390.5999999999985</v>
      </c>
      <c r="P31">
        <f t="shared" si="6"/>
        <v>-406.10000000000218</v>
      </c>
      <c r="Q31">
        <f t="shared" si="10"/>
        <v>4156.4499999999989</v>
      </c>
      <c r="R31">
        <f t="shared" si="7"/>
        <v>6950.2499999999927</v>
      </c>
    </row>
    <row r="32" spans="1:18" x14ac:dyDescent="0.2">
      <c r="A32" t="s">
        <v>85</v>
      </c>
      <c r="B32">
        <v>19253.8</v>
      </c>
      <c r="C32">
        <v>19523.55</v>
      </c>
      <c r="D32">
        <f t="shared" si="0"/>
        <v>269.75</v>
      </c>
      <c r="E32">
        <f t="shared" si="1"/>
        <v>0</v>
      </c>
      <c r="F32">
        <f t="shared" si="2"/>
        <v>0</v>
      </c>
      <c r="G32">
        <f t="shared" si="3"/>
        <v>0</v>
      </c>
      <c r="H32">
        <f>E32-$V$2</f>
        <v>-230</v>
      </c>
      <c r="I32">
        <f>$V$3-F32</f>
        <v>96</v>
      </c>
      <c r="J32">
        <f>G32-$V$4</f>
        <v>-37</v>
      </c>
      <c r="K32">
        <f t="shared" si="4"/>
        <v>-75</v>
      </c>
      <c r="L32">
        <f t="shared" si="8"/>
        <v>1328.1999999999953</v>
      </c>
      <c r="M32">
        <f t="shared" si="5"/>
        <v>0</v>
      </c>
      <c r="N32">
        <f>$V$7-M32</f>
        <v>75</v>
      </c>
      <c r="O32">
        <f t="shared" si="9"/>
        <v>1465.5999999999985</v>
      </c>
      <c r="P32">
        <f t="shared" si="6"/>
        <v>269.75</v>
      </c>
      <c r="Q32">
        <f t="shared" si="10"/>
        <v>4426.1999999999989</v>
      </c>
      <c r="R32">
        <f t="shared" si="7"/>
        <v>7219.9999999999927</v>
      </c>
    </row>
    <row r="33" spans="1:18" x14ac:dyDescent="0.2">
      <c r="A33" t="s">
        <v>86</v>
      </c>
      <c r="B33">
        <v>19523.55</v>
      </c>
      <c r="C33">
        <v>18857.25</v>
      </c>
      <c r="D33">
        <f t="shared" si="0"/>
        <v>-666.29999999999927</v>
      </c>
      <c r="E33">
        <f t="shared" si="1"/>
        <v>642.75</v>
      </c>
      <c r="F33">
        <f t="shared" si="2"/>
        <v>142.75</v>
      </c>
      <c r="G33">
        <f t="shared" si="3"/>
        <v>0</v>
      </c>
      <c r="H33">
        <f>E33-$V$2</f>
        <v>412.75</v>
      </c>
      <c r="I33">
        <f>$V$3-F33</f>
        <v>-46.75</v>
      </c>
      <c r="J33">
        <f>G33-$V$4</f>
        <v>-37</v>
      </c>
      <c r="K33">
        <f t="shared" si="4"/>
        <v>282.25</v>
      </c>
      <c r="L33">
        <f t="shared" si="8"/>
        <v>1610.4499999999953</v>
      </c>
      <c r="M33">
        <f t="shared" si="5"/>
        <v>0</v>
      </c>
      <c r="N33">
        <f>$V$7-M33</f>
        <v>75</v>
      </c>
      <c r="O33">
        <f t="shared" si="9"/>
        <v>1540.5999999999985</v>
      </c>
      <c r="P33">
        <f t="shared" si="6"/>
        <v>-666.29999999999927</v>
      </c>
      <c r="Q33">
        <f t="shared" si="10"/>
        <v>3759.8999999999996</v>
      </c>
      <c r="R33">
        <f t="shared" si="7"/>
        <v>6910.9499999999935</v>
      </c>
    </row>
    <row r="34" spans="1:18" x14ac:dyDescent="0.2">
      <c r="A34" t="s">
        <v>101</v>
      </c>
      <c r="B34">
        <v>18857.25</v>
      </c>
      <c r="C34">
        <v>20133.150000000001</v>
      </c>
      <c r="D34">
        <f t="shared" si="0"/>
        <v>1275.9000000000015</v>
      </c>
      <c r="E34">
        <f t="shared" si="1"/>
        <v>0</v>
      </c>
      <c r="F34">
        <f t="shared" si="2"/>
        <v>0</v>
      </c>
      <c r="G34">
        <f t="shared" si="3"/>
        <v>0</v>
      </c>
      <c r="H34">
        <f>E34-$V$2</f>
        <v>-230</v>
      </c>
      <c r="I34">
        <f>$V$3-F34</f>
        <v>96</v>
      </c>
      <c r="J34">
        <f>G34-$V$4</f>
        <v>-37</v>
      </c>
      <c r="K34">
        <f t="shared" si="4"/>
        <v>-75</v>
      </c>
      <c r="L34">
        <f t="shared" si="8"/>
        <v>1535.4499999999953</v>
      </c>
      <c r="M34">
        <f t="shared" si="5"/>
        <v>483.15000000000146</v>
      </c>
      <c r="N34">
        <f>$V$7-M34</f>
        <v>-408.15000000000146</v>
      </c>
      <c r="O34">
        <f t="shared" si="9"/>
        <v>1132.4499999999971</v>
      </c>
      <c r="P34">
        <f t="shared" si="6"/>
        <v>1275.9000000000015</v>
      </c>
      <c r="Q34">
        <f t="shared" si="10"/>
        <v>5035.8000000000011</v>
      </c>
      <c r="R34">
        <f t="shared" si="7"/>
        <v>7703.6999999999935</v>
      </c>
    </row>
    <row r="35" spans="1:18" x14ac:dyDescent="0.2">
      <c r="A35" t="s">
        <v>102</v>
      </c>
      <c r="B35">
        <v>20133.150000000001</v>
      </c>
      <c r="C35">
        <v>21778.7</v>
      </c>
      <c r="D35">
        <f t="shared" si="0"/>
        <v>1645.5499999999993</v>
      </c>
      <c r="E35">
        <f t="shared" si="1"/>
        <v>0</v>
      </c>
      <c r="F35">
        <f t="shared" si="2"/>
        <v>0</v>
      </c>
      <c r="G35">
        <f t="shared" si="3"/>
        <v>0</v>
      </c>
      <c r="H35">
        <f>E35-$V$2</f>
        <v>-230</v>
      </c>
      <c r="I35">
        <f>$V$3-F35</f>
        <v>96</v>
      </c>
      <c r="J35">
        <f>G35-$V$4</f>
        <v>-37</v>
      </c>
      <c r="K35">
        <f t="shared" si="4"/>
        <v>-75</v>
      </c>
      <c r="L35">
        <f t="shared" si="8"/>
        <v>1460.4499999999953</v>
      </c>
      <c r="M35">
        <f t="shared" si="5"/>
        <v>828.70000000000073</v>
      </c>
      <c r="N35">
        <f>$V$7-M35</f>
        <v>-753.70000000000073</v>
      </c>
      <c r="O35">
        <f t="shared" si="9"/>
        <v>378.74999999999636</v>
      </c>
      <c r="P35">
        <f t="shared" si="6"/>
        <v>1645.5499999999993</v>
      </c>
      <c r="Q35">
        <f t="shared" si="10"/>
        <v>6681.35</v>
      </c>
      <c r="R35">
        <f t="shared" si="7"/>
        <v>8520.549999999992</v>
      </c>
    </row>
    <row r="36" spans="1:18" x14ac:dyDescent="0.2">
      <c r="A36" t="s">
        <v>103</v>
      </c>
      <c r="B36">
        <v>21778.7</v>
      </c>
      <c r="C36">
        <v>21352.6</v>
      </c>
      <c r="D36">
        <f t="shared" si="0"/>
        <v>-426.10000000000218</v>
      </c>
      <c r="E36">
        <f t="shared" si="1"/>
        <v>447.40000000000146</v>
      </c>
      <c r="F36">
        <f t="shared" si="2"/>
        <v>0</v>
      </c>
      <c r="G36">
        <f t="shared" si="3"/>
        <v>0</v>
      </c>
      <c r="H36">
        <f>E36-$V$2</f>
        <v>217.40000000000146</v>
      </c>
      <c r="I36">
        <f>$V$3-F36</f>
        <v>96</v>
      </c>
      <c r="J36">
        <f>G36-$V$4</f>
        <v>-37</v>
      </c>
      <c r="K36">
        <f t="shared" si="4"/>
        <v>372.40000000000146</v>
      </c>
      <c r="L36">
        <f t="shared" si="8"/>
        <v>1832.8499999999967</v>
      </c>
      <c r="M36">
        <f t="shared" si="5"/>
        <v>0</v>
      </c>
      <c r="N36">
        <f>$V$7-M36</f>
        <v>75</v>
      </c>
      <c r="O36">
        <f t="shared" si="9"/>
        <v>453.74999999999636</v>
      </c>
      <c r="P36">
        <f t="shared" si="6"/>
        <v>-426.10000000000218</v>
      </c>
      <c r="Q36">
        <f t="shared" si="10"/>
        <v>6255.2499999999982</v>
      </c>
      <c r="R36">
        <f t="shared" si="7"/>
        <v>8541.8499999999913</v>
      </c>
    </row>
    <row r="37" spans="1:18" x14ac:dyDescent="0.2">
      <c r="A37" t="s">
        <v>104</v>
      </c>
      <c r="B37">
        <v>21352.6</v>
      </c>
      <c r="C37">
        <v>21982.799999999999</v>
      </c>
      <c r="D37">
        <f t="shared" si="0"/>
        <v>630.20000000000073</v>
      </c>
      <c r="E37">
        <f t="shared" si="1"/>
        <v>0</v>
      </c>
      <c r="F37">
        <f t="shared" si="2"/>
        <v>0</v>
      </c>
      <c r="G37">
        <f t="shared" si="3"/>
        <v>0</v>
      </c>
      <c r="H37">
        <f>E37-$V$2</f>
        <v>-230</v>
      </c>
      <c r="I37">
        <f>$V$3-F37</f>
        <v>96</v>
      </c>
      <c r="J37">
        <f>G37-$V$4</f>
        <v>-37</v>
      </c>
      <c r="K37">
        <f t="shared" si="4"/>
        <v>-75</v>
      </c>
      <c r="L37">
        <f t="shared" si="8"/>
        <v>1757.8499999999967</v>
      </c>
      <c r="M37">
        <f t="shared" si="5"/>
        <v>0</v>
      </c>
      <c r="N37">
        <f>$V$7-M37</f>
        <v>75</v>
      </c>
      <c r="O37">
        <f t="shared" si="9"/>
        <v>528.74999999999636</v>
      </c>
      <c r="P37">
        <f t="shared" si="6"/>
        <v>630.20000000000073</v>
      </c>
      <c r="Q37">
        <f t="shared" si="10"/>
        <v>6885.4499999999989</v>
      </c>
      <c r="R37">
        <f t="shared" si="7"/>
        <v>9172.049999999992</v>
      </c>
    </row>
    <row r="38" spans="1:18" x14ac:dyDescent="0.2">
      <c r="A38" t="s">
        <v>105</v>
      </c>
      <c r="B38">
        <v>21982.799999999999</v>
      </c>
      <c r="C38">
        <v>22326.9</v>
      </c>
      <c r="D38">
        <f t="shared" si="0"/>
        <v>344.10000000000218</v>
      </c>
      <c r="E38">
        <f t="shared" si="1"/>
        <v>0</v>
      </c>
      <c r="F38">
        <f t="shared" si="2"/>
        <v>0</v>
      </c>
      <c r="G38">
        <f t="shared" si="3"/>
        <v>0</v>
      </c>
      <c r="H38">
        <f>E38-$V$2</f>
        <v>-230</v>
      </c>
      <c r="I38">
        <f>$V$3-F38</f>
        <v>96</v>
      </c>
      <c r="J38">
        <f>G38-$V$4</f>
        <v>-37</v>
      </c>
      <c r="K38">
        <f t="shared" si="4"/>
        <v>-75</v>
      </c>
      <c r="L38">
        <f t="shared" si="8"/>
        <v>1682.8499999999967</v>
      </c>
      <c r="M38">
        <f t="shared" si="5"/>
        <v>0</v>
      </c>
      <c r="N38">
        <f>$V$7-M38</f>
        <v>75</v>
      </c>
      <c r="O38">
        <f t="shared" si="9"/>
        <v>603.74999999999636</v>
      </c>
      <c r="P38">
        <f t="shared" si="6"/>
        <v>344.10000000000218</v>
      </c>
      <c r="Q38">
        <f t="shared" si="10"/>
        <v>7229.5500000000011</v>
      </c>
      <c r="R38">
        <f t="shared" si="7"/>
        <v>9516.1499999999942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CB69-617B-754A-A584-16FD5CFFED71}">
  <dimension ref="A1:M35"/>
  <sheetViews>
    <sheetView workbookViewId="0">
      <selection activeCell="G39" sqref="G39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3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</row>
    <row r="2" spans="1:13" x14ac:dyDescent="0.2">
      <c r="A2" t="s">
        <v>55</v>
      </c>
      <c r="B2">
        <v>15097.35</v>
      </c>
      <c r="E2">
        <v>14324.9</v>
      </c>
      <c r="F2">
        <v>15100</v>
      </c>
      <c r="G2">
        <v>300</v>
      </c>
      <c r="H2">
        <f>E2-F2</f>
        <v>-775.10000000000036</v>
      </c>
      <c r="I2">
        <f>IF(H2&lt;0,0,H2)</f>
        <v>0</v>
      </c>
      <c r="J2">
        <f>G2-I2</f>
        <v>300</v>
      </c>
      <c r="L2" t="s">
        <v>43</v>
      </c>
      <c r="M2">
        <f>COUNTIF($J$2:$J$200,"&gt;0")</f>
        <v>17</v>
      </c>
    </row>
    <row r="3" spans="1:13" x14ac:dyDescent="0.2">
      <c r="A3" t="s">
        <v>56</v>
      </c>
      <c r="B3">
        <v>14324.9</v>
      </c>
      <c r="E3">
        <v>14894.9</v>
      </c>
      <c r="F3">
        <v>14300</v>
      </c>
      <c r="G3">
        <v>300</v>
      </c>
      <c r="H3">
        <f t="shared" ref="H3:H34" si="0">E3-F3</f>
        <v>594.89999999999964</v>
      </c>
      <c r="I3">
        <f t="shared" ref="I3:I34" si="1">IF(H3&lt;0,0,H3)</f>
        <v>594.89999999999964</v>
      </c>
      <c r="J3">
        <f t="shared" ref="J3:J34" si="2">G3-I3</f>
        <v>-294.89999999999964</v>
      </c>
      <c r="L3" t="s">
        <v>44</v>
      </c>
      <c r="M3">
        <f>COUNTIF($J$2:$J$200,"&lt;=0")</f>
        <v>17</v>
      </c>
    </row>
    <row r="4" spans="1:13" x14ac:dyDescent="0.2">
      <c r="A4" t="s">
        <v>57</v>
      </c>
      <c r="B4">
        <v>14894.9</v>
      </c>
      <c r="E4">
        <v>15337.85</v>
      </c>
      <c r="F4">
        <v>14900</v>
      </c>
      <c r="G4">
        <v>300</v>
      </c>
      <c r="H4">
        <f t="shared" si="0"/>
        <v>437.85000000000036</v>
      </c>
      <c r="I4">
        <f t="shared" si="1"/>
        <v>437.85000000000036</v>
      </c>
      <c r="J4">
        <f t="shared" si="2"/>
        <v>-137.85000000000036</v>
      </c>
      <c r="L4" t="s">
        <v>45</v>
      </c>
      <c r="M4" s="1">
        <f>M2/(M2+M3)</f>
        <v>0.5</v>
      </c>
    </row>
    <row r="5" spans="1:13" x14ac:dyDescent="0.2">
      <c r="A5" t="s">
        <v>58</v>
      </c>
      <c r="B5">
        <v>15337.85</v>
      </c>
      <c r="E5">
        <v>15790.45</v>
      </c>
      <c r="F5">
        <v>15300</v>
      </c>
      <c r="G5">
        <v>300</v>
      </c>
      <c r="H5">
        <f t="shared" si="0"/>
        <v>490.45000000000073</v>
      </c>
      <c r="I5">
        <f t="shared" si="1"/>
        <v>490.45000000000073</v>
      </c>
      <c r="J5">
        <f t="shared" si="2"/>
        <v>-190.45000000000073</v>
      </c>
      <c r="L5" t="s">
        <v>46</v>
      </c>
      <c r="M5" s="2">
        <f>100%-M4</f>
        <v>0.5</v>
      </c>
    </row>
    <row r="6" spans="1:13" x14ac:dyDescent="0.2">
      <c r="A6" t="s">
        <v>59</v>
      </c>
      <c r="B6">
        <v>15790.45</v>
      </c>
      <c r="E6">
        <v>15778.45</v>
      </c>
      <c r="F6">
        <v>15800</v>
      </c>
      <c r="G6">
        <v>300</v>
      </c>
      <c r="H6">
        <f t="shared" si="0"/>
        <v>-21.549999999999272</v>
      </c>
      <c r="I6">
        <f t="shared" si="1"/>
        <v>0</v>
      </c>
      <c r="J6">
        <f t="shared" si="2"/>
        <v>300</v>
      </c>
    </row>
    <row r="7" spans="1:13" x14ac:dyDescent="0.2">
      <c r="A7" t="s">
        <v>60</v>
      </c>
      <c r="B7">
        <v>15778.45</v>
      </c>
      <c r="E7">
        <v>16636.900000000001</v>
      </c>
      <c r="F7">
        <v>15800</v>
      </c>
      <c r="G7">
        <v>300</v>
      </c>
      <c r="H7">
        <f t="shared" si="0"/>
        <v>836.90000000000146</v>
      </c>
      <c r="I7">
        <f t="shared" si="1"/>
        <v>836.90000000000146</v>
      </c>
      <c r="J7">
        <f t="shared" si="2"/>
        <v>-536.90000000000146</v>
      </c>
      <c r="L7" t="s">
        <v>47</v>
      </c>
      <c r="M7" s="3">
        <f>AVERAGEIF($J$2:$J$200,"&gt;0")</f>
        <v>282.21764705882356</v>
      </c>
    </row>
    <row r="8" spans="1:13" x14ac:dyDescent="0.2">
      <c r="A8" t="s">
        <v>61</v>
      </c>
      <c r="B8">
        <v>16636.900000000001</v>
      </c>
      <c r="E8">
        <v>17618.150000000001</v>
      </c>
      <c r="F8">
        <v>16600</v>
      </c>
      <c r="G8">
        <v>300</v>
      </c>
      <c r="H8">
        <f t="shared" si="0"/>
        <v>1018.1500000000015</v>
      </c>
      <c r="I8">
        <f t="shared" si="1"/>
        <v>1018.1500000000015</v>
      </c>
      <c r="J8">
        <f t="shared" si="2"/>
        <v>-718.15000000000146</v>
      </c>
      <c r="L8" t="s">
        <v>48</v>
      </c>
      <c r="M8" s="3">
        <f>AVERAGEIF($J$2:$J$200,"&lt;=0")</f>
        <v>-536.67058823529442</v>
      </c>
    </row>
    <row r="9" spans="1:13" x14ac:dyDescent="0.2">
      <c r="A9" t="s">
        <v>62</v>
      </c>
      <c r="B9">
        <v>17618.150000000001</v>
      </c>
      <c r="E9">
        <v>17857.25</v>
      </c>
      <c r="F9">
        <v>17600</v>
      </c>
      <c r="G9">
        <v>300</v>
      </c>
      <c r="H9">
        <f t="shared" si="0"/>
        <v>257.25</v>
      </c>
      <c r="I9">
        <f t="shared" si="1"/>
        <v>257.25</v>
      </c>
      <c r="J9">
        <f t="shared" si="2"/>
        <v>42.75</v>
      </c>
      <c r="L9" t="s">
        <v>49</v>
      </c>
      <c r="M9" s="3">
        <f>M7/ABS(M8)</f>
        <v>0.52586754937852098</v>
      </c>
    </row>
    <row r="10" spans="1:13" x14ac:dyDescent="0.2">
      <c r="A10" t="s">
        <v>63</v>
      </c>
      <c r="B10">
        <v>17857.25</v>
      </c>
      <c r="E10">
        <v>17536.25</v>
      </c>
      <c r="F10">
        <v>17800</v>
      </c>
      <c r="G10">
        <v>300</v>
      </c>
      <c r="H10">
        <f t="shared" si="0"/>
        <v>-263.75</v>
      </c>
      <c r="I10">
        <f t="shared" si="1"/>
        <v>0</v>
      </c>
      <c r="J10">
        <f t="shared" si="2"/>
        <v>300</v>
      </c>
    </row>
    <row r="11" spans="1:13" x14ac:dyDescent="0.2">
      <c r="A11" t="s">
        <v>64</v>
      </c>
      <c r="B11">
        <v>17536.25</v>
      </c>
      <c r="E11">
        <v>17203.95</v>
      </c>
      <c r="F11">
        <v>17500</v>
      </c>
      <c r="G11">
        <v>300</v>
      </c>
      <c r="H11">
        <f t="shared" si="0"/>
        <v>-296.04999999999927</v>
      </c>
      <c r="I11">
        <f t="shared" si="1"/>
        <v>0</v>
      </c>
      <c r="J11">
        <f t="shared" si="2"/>
        <v>300</v>
      </c>
      <c r="L11" t="s">
        <v>50</v>
      </c>
      <c r="M11">
        <f>MAX($J$2:$J$200)</f>
        <v>300</v>
      </c>
    </row>
    <row r="12" spans="1:13" x14ac:dyDescent="0.2">
      <c r="A12" t="s">
        <v>65</v>
      </c>
      <c r="B12">
        <v>17203.95</v>
      </c>
      <c r="E12">
        <v>17110.150000000001</v>
      </c>
      <c r="F12">
        <v>17200</v>
      </c>
      <c r="G12">
        <v>300</v>
      </c>
      <c r="H12">
        <f t="shared" si="0"/>
        <v>-89.849999999998545</v>
      </c>
      <c r="I12">
        <f t="shared" si="1"/>
        <v>0</v>
      </c>
      <c r="J12">
        <f t="shared" si="2"/>
        <v>300</v>
      </c>
      <c r="L12" t="s">
        <v>51</v>
      </c>
      <c r="M12">
        <f>MIN($J$2:$J$200)</f>
        <v>-2162.8500000000022</v>
      </c>
    </row>
    <row r="13" spans="1:13" x14ac:dyDescent="0.2">
      <c r="A13" t="s">
        <v>66</v>
      </c>
      <c r="B13">
        <v>17110.150000000001</v>
      </c>
      <c r="E13">
        <v>16247.95</v>
      </c>
      <c r="F13">
        <v>17100</v>
      </c>
      <c r="G13">
        <v>300</v>
      </c>
      <c r="H13">
        <f t="shared" si="0"/>
        <v>-852.04999999999927</v>
      </c>
      <c r="I13">
        <f t="shared" si="1"/>
        <v>0</v>
      </c>
      <c r="J13">
        <f t="shared" si="2"/>
        <v>300</v>
      </c>
    </row>
    <row r="14" spans="1:13" x14ac:dyDescent="0.2">
      <c r="A14" t="s">
        <v>67</v>
      </c>
      <c r="B14">
        <v>16247.95</v>
      </c>
      <c r="E14">
        <v>17222.75</v>
      </c>
      <c r="F14">
        <v>16200</v>
      </c>
      <c r="G14">
        <v>300</v>
      </c>
      <c r="H14">
        <f t="shared" si="0"/>
        <v>1022.75</v>
      </c>
      <c r="I14">
        <f t="shared" si="1"/>
        <v>1022.75</v>
      </c>
      <c r="J14">
        <f t="shared" si="2"/>
        <v>-722.75</v>
      </c>
      <c r="L14" t="s">
        <v>52</v>
      </c>
      <c r="M14" s="3">
        <f>(M4*M7)+(M5*M8)</f>
        <v>-127.22647058823543</v>
      </c>
    </row>
    <row r="15" spans="1:13" x14ac:dyDescent="0.2">
      <c r="A15" t="s">
        <v>68</v>
      </c>
      <c r="B15">
        <v>17222.75</v>
      </c>
      <c r="E15">
        <v>17245.05</v>
      </c>
      <c r="F15">
        <v>17200</v>
      </c>
      <c r="G15">
        <v>300</v>
      </c>
      <c r="H15">
        <f t="shared" si="0"/>
        <v>45.049999999999272</v>
      </c>
      <c r="I15">
        <f t="shared" si="1"/>
        <v>45.049999999999272</v>
      </c>
      <c r="J15">
        <f t="shared" si="2"/>
        <v>254.95000000000073</v>
      </c>
      <c r="L15" t="s">
        <v>53</v>
      </c>
      <c r="M15" s="3">
        <f>(M9*M4)-M5</f>
        <v>-0.23706622531073951</v>
      </c>
    </row>
    <row r="16" spans="1:13" x14ac:dyDescent="0.2">
      <c r="A16" t="s">
        <v>69</v>
      </c>
      <c r="B16">
        <v>17245.05</v>
      </c>
      <c r="E16">
        <v>16170.15</v>
      </c>
      <c r="F16">
        <v>17200</v>
      </c>
      <c r="G16">
        <v>300</v>
      </c>
      <c r="H16">
        <f t="shared" si="0"/>
        <v>-1029.8500000000004</v>
      </c>
      <c r="I16">
        <f t="shared" si="1"/>
        <v>0</v>
      </c>
      <c r="J16">
        <f t="shared" si="2"/>
        <v>300</v>
      </c>
    </row>
    <row r="17" spans="1:10" x14ac:dyDescent="0.2">
      <c r="A17" t="s">
        <v>70</v>
      </c>
      <c r="B17">
        <v>16170.15</v>
      </c>
      <c r="E17">
        <v>15780.25</v>
      </c>
      <c r="F17">
        <v>16200</v>
      </c>
      <c r="G17">
        <v>300</v>
      </c>
      <c r="H17">
        <f t="shared" si="0"/>
        <v>-419.75</v>
      </c>
      <c r="I17">
        <f t="shared" si="1"/>
        <v>0</v>
      </c>
      <c r="J17">
        <f t="shared" si="2"/>
        <v>300</v>
      </c>
    </row>
    <row r="18" spans="1:10" x14ac:dyDescent="0.2">
      <c r="A18" t="s">
        <v>71</v>
      </c>
      <c r="B18">
        <v>15780.25</v>
      </c>
      <c r="E18">
        <v>16929.599999999999</v>
      </c>
      <c r="F18">
        <v>15800</v>
      </c>
      <c r="G18">
        <v>300</v>
      </c>
      <c r="H18">
        <f t="shared" si="0"/>
        <v>1129.5999999999985</v>
      </c>
      <c r="I18">
        <f t="shared" si="1"/>
        <v>1129.5999999999985</v>
      </c>
      <c r="J18">
        <f t="shared" si="2"/>
        <v>-829.59999999999854</v>
      </c>
    </row>
    <row r="19" spans="1:10" x14ac:dyDescent="0.2">
      <c r="A19" t="s">
        <v>72</v>
      </c>
      <c r="B19">
        <v>16929.599999999999</v>
      </c>
      <c r="E19">
        <v>17522.45</v>
      </c>
      <c r="F19">
        <v>16900</v>
      </c>
      <c r="G19">
        <v>300</v>
      </c>
      <c r="H19">
        <f t="shared" si="0"/>
        <v>622.45000000000073</v>
      </c>
      <c r="I19">
        <f t="shared" si="1"/>
        <v>622.45000000000073</v>
      </c>
      <c r="J19">
        <f t="shared" si="2"/>
        <v>-322.45000000000073</v>
      </c>
    </row>
    <row r="20" spans="1:10" x14ac:dyDescent="0.2">
      <c r="A20" t="s">
        <v>73</v>
      </c>
      <c r="B20">
        <v>17522.45</v>
      </c>
      <c r="E20">
        <v>16818.099999999999</v>
      </c>
      <c r="F20">
        <v>17500</v>
      </c>
      <c r="G20">
        <v>300</v>
      </c>
      <c r="H20">
        <f t="shared" si="0"/>
        <v>-681.90000000000146</v>
      </c>
      <c r="I20">
        <f t="shared" si="1"/>
        <v>0</v>
      </c>
      <c r="J20">
        <f t="shared" si="2"/>
        <v>300</v>
      </c>
    </row>
    <row r="21" spans="1:10" x14ac:dyDescent="0.2">
      <c r="A21" t="s">
        <v>74</v>
      </c>
      <c r="B21">
        <v>16818.099999999999</v>
      </c>
      <c r="E21">
        <v>17736.95</v>
      </c>
      <c r="F21">
        <v>16800</v>
      </c>
      <c r="G21">
        <v>300</v>
      </c>
      <c r="H21">
        <f t="shared" si="0"/>
        <v>936.95000000000073</v>
      </c>
      <c r="I21">
        <f t="shared" si="1"/>
        <v>936.95000000000073</v>
      </c>
      <c r="J21">
        <f t="shared" si="2"/>
        <v>-636.95000000000073</v>
      </c>
    </row>
    <row r="22" spans="1:10" x14ac:dyDescent="0.2">
      <c r="A22" t="s">
        <v>75</v>
      </c>
      <c r="B22">
        <v>17736.95</v>
      </c>
      <c r="E22">
        <v>18484.099999999999</v>
      </c>
      <c r="F22">
        <v>17700</v>
      </c>
      <c r="G22">
        <v>300</v>
      </c>
      <c r="H22">
        <f t="shared" si="0"/>
        <v>784.09999999999854</v>
      </c>
      <c r="I22">
        <f t="shared" si="1"/>
        <v>784.09999999999854</v>
      </c>
      <c r="J22">
        <f t="shared" si="2"/>
        <v>-484.09999999999854</v>
      </c>
    </row>
    <row r="23" spans="1:10" x14ac:dyDescent="0.2">
      <c r="A23" t="s">
        <v>76</v>
      </c>
      <c r="B23">
        <v>18484.099999999999</v>
      </c>
      <c r="E23">
        <v>18191</v>
      </c>
      <c r="F23">
        <v>18500</v>
      </c>
      <c r="G23">
        <v>300</v>
      </c>
      <c r="H23">
        <f t="shared" si="0"/>
        <v>-309</v>
      </c>
      <c r="I23">
        <f t="shared" si="1"/>
        <v>0</v>
      </c>
      <c r="J23">
        <f t="shared" si="2"/>
        <v>300</v>
      </c>
    </row>
    <row r="24" spans="1:10" x14ac:dyDescent="0.2">
      <c r="A24" t="s">
        <v>77</v>
      </c>
      <c r="B24">
        <v>18191</v>
      </c>
      <c r="E24">
        <v>17891.95</v>
      </c>
      <c r="F24">
        <v>18200</v>
      </c>
      <c r="G24">
        <v>300</v>
      </c>
      <c r="H24">
        <f t="shared" si="0"/>
        <v>-308.04999999999927</v>
      </c>
      <c r="I24">
        <f t="shared" si="1"/>
        <v>0</v>
      </c>
      <c r="J24">
        <f t="shared" si="2"/>
        <v>300</v>
      </c>
    </row>
    <row r="25" spans="1:10" x14ac:dyDescent="0.2">
      <c r="A25" t="s">
        <v>78</v>
      </c>
      <c r="B25">
        <v>17891.95</v>
      </c>
      <c r="E25">
        <v>17511.25</v>
      </c>
      <c r="F25">
        <v>17900</v>
      </c>
      <c r="G25">
        <v>300</v>
      </c>
      <c r="H25">
        <f t="shared" si="0"/>
        <v>-388.75</v>
      </c>
      <c r="I25">
        <f t="shared" si="1"/>
        <v>0</v>
      </c>
      <c r="J25">
        <f t="shared" si="2"/>
        <v>300</v>
      </c>
    </row>
    <row r="26" spans="1:10" x14ac:dyDescent="0.2">
      <c r="A26" t="s">
        <v>79</v>
      </c>
      <c r="B26">
        <v>17511.25</v>
      </c>
      <c r="E26">
        <v>17080.7</v>
      </c>
      <c r="F26">
        <v>17500</v>
      </c>
      <c r="G26">
        <v>300</v>
      </c>
      <c r="H26">
        <f t="shared" si="0"/>
        <v>-419.29999999999927</v>
      </c>
      <c r="I26">
        <f t="shared" si="1"/>
        <v>0</v>
      </c>
      <c r="J26">
        <f t="shared" si="2"/>
        <v>300</v>
      </c>
    </row>
    <row r="27" spans="1:10" x14ac:dyDescent="0.2">
      <c r="A27" t="s">
        <v>80</v>
      </c>
      <c r="B27">
        <v>17080.7</v>
      </c>
      <c r="E27">
        <v>17915.05</v>
      </c>
      <c r="F27">
        <v>17100</v>
      </c>
      <c r="G27">
        <v>300</v>
      </c>
      <c r="H27">
        <f t="shared" si="0"/>
        <v>815.04999999999927</v>
      </c>
      <c r="I27">
        <f t="shared" si="1"/>
        <v>815.04999999999927</v>
      </c>
      <c r="J27">
        <f t="shared" si="2"/>
        <v>-515.04999999999927</v>
      </c>
    </row>
    <row r="28" spans="1:10" x14ac:dyDescent="0.2">
      <c r="A28" t="s">
        <v>81</v>
      </c>
      <c r="B28">
        <v>17915.05</v>
      </c>
      <c r="E28">
        <v>18321.150000000001</v>
      </c>
      <c r="F28">
        <v>17900</v>
      </c>
      <c r="G28">
        <v>300</v>
      </c>
      <c r="H28">
        <f t="shared" si="0"/>
        <v>421.15000000000146</v>
      </c>
      <c r="I28">
        <f t="shared" si="1"/>
        <v>421.15000000000146</v>
      </c>
      <c r="J28">
        <f t="shared" si="2"/>
        <v>-121.15000000000146</v>
      </c>
    </row>
    <row r="29" spans="1:10" x14ac:dyDescent="0.2">
      <c r="A29" t="s">
        <v>82</v>
      </c>
      <c r="B29">
        <v>18321.150000000001</v>
      </c>
      <c r="E29">
        <v>18972.099999999999</v>
      </c>
      <c r="F29">
        <v>18300</v>
      </c>
      <c r="G29">
        <v>300</v>
      </c>
      <c r="H29">
        <f t="shared" si="0"/>
        <v>672.09999999999854</v>
      </c>
      <c r="I29">
        <f t="shared" si="1"/>
        <v>672.09999999999854</v>
      </c>
      <c r="J29">
        <f t="shared" si="2"/>
        <v>-372.09999999999854</v>
      </c>
    </row>
    <row r="30" spans="1:10" x14ac:dyDescent="0.2">
      <c r="A30" t="s">
        <v>83</v>
      </c>
      <c r="B30">
        <v>18972.099999999999</v>
      </c>
      <c r="E30">
        <v>19659.900000000001</v>
      </c>
      <c r="F30">
        <v>19000</v>
      </c>
      <c r="G30">
        <v>300</v>
      </c>
      <c r="H30">
        <f t="shared" si="0"/>
        <v>659.90000000000146</v>
      </c>
      <c r="I30">
        <f t="shared" si="1"/>
        <v>659.90000000000146</v>
      </c>
      <c r="J30">
        <f t="shared" si="2"/>
        <v>-359.90000000000146</v>
      </c>
    </row>
    <row r="31" spans="1:10" x14ac:dyDescent="0.2">
      <c r="A31" t="s">
        <v>84</v>
      </c>
      <c r="B31">
        <v>19659.900000000001</v>
      </c>
      <c r="E31">
        <v>19253.8</v>
      </c>
      <c r="F31">
        <v>19600</v>
      </c>
      <c r="G31">
        <v>300</v>
      </c>
      <c r="H31">
        <f t="shared" si="0"/>
        <v>-346.20000000000073</v>
      </c>
      <c r="I31">
        <f t="shared" si="1"/>
        <v>0</v>
      </c>
      <c r="J31">
        <f t="shared" si="2"/>
        <v>300</v>
      </c>
    </row>
    <row r="32" spans="1:10" x14ac:dyDescent="0.2">
      <c r="A32" t="s">
        <v>85</v>
      </c>
      <c r="B32">
        <v>19253.8</v>
      </c>
      <c r="E32">
        <v>19523.55</v>
      </c>
      <c r="F32">
        <v>19200</v>
      </c>
      <c r="G32">
        <v>300</v>
      </c>
      <c r="H32">
        <f t="shared" si="0"/>
        <v>323.54999999999927</v>
      </c>
      <c r="I32">
        <f t="shared" si="1"/>
        <v>323.54999999999927</v>
      </c>
      <c r="J32">
        <f t="shared" si="2"/>
        <v>-23.549999999999272</v>
      </c>
    </row>
    <row r="33" spans="1:10" x14ac:dyDescent="0.2">
      <c r="A33" t="s">
        <v>86</v>
      </c>
      <c r="B33">
        <v>19523.55</v>
      </c>
      <c r="E33">
        <v>18857.25</v>
      </c>
      <c r="F33">
        <v>19500</v>
      </c>
      <c r="G33">
        <v>300</v>
      </c>
      <c r="H33">
        <f t="shared" si="0"/>
        <v>-642.75</v>
      </c>
      <c r="I33">
        <f t="shared" si="1"/>
        <v>0</v>
      </c>
      <c r="J33">
        <f t="shared" si="2"/>
        <v>300</v>
      </c>
    </row>
    <row r="34" spans="1:10" x14ac:dyDescent="0.2">
      <c r="A34" t="s">
        <v>87</v>
      </c>
      <c r="B34">
        <v>18857.25</v>
      </c>
      <c r="E34">
        <v>19794.7</v>
      </c>
      <c r="F34">
        <v>18800</v>
      </c>
      <c r="G34">
        <v>300</v>
      </c>
      <c r="H34">
        <f t="shared" si="0"/>
        <v>994.70000000000073</v>
      </c>
      <c r="I34">
        <f t="shared" si="1"/>
        <v>994.70000000000073</v>
      </c>
      <c r="J34">
        <f t="shared" si="2"/>
        <v>-694.70000000000073</v>
      </c>
    </row>
    <row r="35" spans="1:10" x14ac:dyDescent="0.2">
      <c r="I35" t="s">
        <v>54</v>
      </c>
      <c r="J35">
        <f>SUM(J2:J34)</f>
        <v>-2162.8500000000022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6DEA-10BF-BC45-996B-A56CB4C67697}">
  <dimension ref="A1:P41"/>
  <sheetViews>
    <sheetView workbookViewId="0">
      <selection activeCell="G38" sqref="G38"/>
    </sheetView>
  </sheetViews>
  <sheetFormatPr baseColWidth="10" defaultRowHeight="16" x14ac:dyDescent="0.2"/>
  <cols>
    <col min="1" max="1" width="14.83203125" customWidth="1"/>
    <col min="7" max="7" width="15.83203125" bestFit="1" customWidth="1"/>
  </cols>
  <sheetData>
    <row r="1" spans="1:16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39</v>
      </c>
      <c r="I1" t="s">
        <v>40</v>
      </c>
      <c r="J1" t="s">
        <v>41</v>
      </c>
      <c r="K1" t="s">
        <v>95</v>
      </c>
    </row>
    <row r="2" spans="1:16" x14ac:dyDescent="0.2">
      <c r="A2" t="s">
        <v>55</v>
      </c>
      <c r="B2">
        <v>15097.35</v>
      </c>
      <c r="E2">
        <v>14324.9</v>
      </c>
      <c r="F2">
        <v>15400</v>
      </c>
      <c r="G2">
        <v>160</v>
      </c>
      <c r="H2">
        <f>E2-F2</f>
        <v>-1075.1000000000004</v>
      </c>
      <c r="I2">
        <f>IF(H2&lt;0,0,H2)</f>
        <v>0</v>
      </c>
      <c r="J2">
        <f>G2-I2</f>
        <v>160</v>
      </c>
      <c r="K2">
        <v>300</v>
      </c>
      <c r="O2" t="s">
        <v>43</v>
      </c>
      <c r="P2">
        <f>COUNTIF($J$2:$J$200,"&gt;0")</f>
        <v>26</v>
      </c>
    </row>
    <row r="3" spans="1:16" x14ac:dyDescent="0.2">
      <c r="A3" t="s">
        <v>56</v>
      </c>
      <c r="B3">
        <v>14324.9</v>
      </c>
      <c r="E3">
        <v>14894.9</v>
      </c>
      <c r="F3">
        <v>15100</v>
      </c>
      <c r="G3">
        <v>50</v>
      </c>
      <c r="H3">
        <f t="shared" ref="H3:H34" si="0">E3-F3</f>
        <v>-205.10000000000036</v>
      </c>
      <c r="I3">
        <f t="shared" ref="I3:I34" si="1">IF(H3&lt;0,0,H3)</f>
        <v>0</v>
      </c>
      <c r="J3">
        <f t="shared" ref="J3:J34" si="2">G3-I3</f>
        <v>50</v>
      </c>
      <c r="K3">
        <v>50</v>
      </c>
      <c r="O3" t="s">
        <v>44</v>
      </c>
      <c r="P3">
        <f>COUNTIF($J$2:$J$200,"&lt;=0")</f>
        <v>8</v>
      </c>
    </row>
    <row r="4" spans="1:16" x14ac:dyDescent="0.2">
      <c r="A4" t="s">
        <v>57</v>
      </c>
      <c r="B4">
        <v>14894.9</v>
      </c>
      <c r="E4">
        <v>15337.85</v>
      </c>
      <c r="F4">
        <v>15100</v>
      </c>
      <c r="G4">
        <v>200</v>
      </c>
      <c r="H4">
        <f t="shared" si="0"/>
        <v>237.85000000000036</v>
      </c>
      <c r="I4">
        <f t="shared" si="1"/>
        <v>237.85000000000036</v>
      </c>
      <c r="J4">
        <f t="shared" si="2"/>
        <v>-37.850000000000364</v>
      </c>
      <c r="K4">
        <v>-37.850000000000364</v>
      </c>
      <c r="O4" t="s">
        <v>45</v>
      </c>
      <c r="P4" s="1">
        <f>P2/(P2+P3)</f>
        <v>0.76470588235294112</v>
      </c>
    </row>
    <row r="5" spans="1:16" x14ac:dyDescent="0.2">
      <c r="A5" t="s">
        <v>58</v>
      </c>
      <c r="B5">
        <v>15337.85</v>
      </c>
      <c r="E5">
        <v>15790.45</v>
      </c>
      <c r="F5">
        <v>15600</v>
      </c>
      <c r="G5">
        <v>160</v>
      </c>
      <c r="H5">
        <f t="shared" si="0"/>
        <v>190.45000000000073</v>
      </c>
      <c r="I5">
        <f t="shared" si="1"/>
        <v>190.45000000000073</v>
      </c>
      <c r="J5">
        <f t="shared" si="2"/>
        <v>-30.450000000000728</v>
      </c>
      <c r="K5">
        <v>-190.45000000000073</v>
      </c>
      <c r="O5" t="s">
        <v>46</v>
      </c>
      <c r="P5" s="2">
        <f>100%-P4</f>
        <v>0.23529411764705888</v>
      </c>
    </row>
    <row r="6" spans="1:16" x14ac:dyDescent="0.2">
      <c r="A6" t="s">
        <v>59</v>
      </c>
      <c r="B6">
        <v>15790.45</v>
      </c>
      <c r="E6">
        <v>15778.45</v>
      </c>
      <c r="F6">
        <v>16100</v>
      </c>
      <c r="G6">
        <v>160</v>
      </c>
      <c r="H6">
        <f t="shared" si="0"/>
        <v>-321.54999999999927</v>
      </c>
      <c r="I6">
        <f t="shared" si="1"/>
        <v>0</v>
      </c>
      <c r="J6">
        <f t="shared" si="2"/>
        <v>160</v>
      </c>
      <c r="K6">
        <v>300</v>
      </c>
    </row>
    <row r="7" spans="1:16" x14ac:dyDescent="0.2">
      <c r="A7" t="s">
        <v>60</v>
      </c>
      <c r="B7">
        <v>15778.45</v>
      </c>
      <c r="E7">
        <v>16636.900000000001</v>
      </c>
      <c r="F7">
        <v>16100</v>
      </c>
      <c r="G7">
        <v>160</v>
      </c>
      <c r="H7">
        <f t="shared" si="0"/>
        <v>536.90000000000146</v>
      </c>
      <c r="I7">
        <f t="shared" si="1"/>
        <v>536.90000000000146</v>
      </c>
      <c r="J7">
        <f t="shared" si="2"/>
        <v>-376.90000000000146</v>
      </c>
      <c r="K7">
        <v>-536.90000000000146</v>
      </c>
      <c r="O7" t="s">
        <v>47</v>
      </c>
      <c r="P7" s="3">
        <f>AVERAGEIF($J$2:$J$200,"&gt;0")</f>
        <v>102.1480769230768</v>
      </c>
    </row>
    <row r="8" spans="1:16" x14ac:dyDescent="0.2">
      <c r="A8" t="s">
        <v>61</v>
      </c>
      <c r="B8">
        <v>16636.900000000001</v>
      </c>
      <c r="E8">
        <v>17618.150000000001</v>
      </c>
      <c r="F8">
        <v>16900</v>
      </c>
      <c r="G8">
        <v>160</v>
      </c>
      <c r="H8">
        <f t="shared" si="0"/>
        <v>718.15000000000146</v>
      </c>
      <c r="I8">
        <f t="shared" si="1"/>
        <v>718.15000000000146</v>
      </c>
      <c r="J8">
        <f t="shared" si="2"/>
        <v>-558.15000000000146</v>
      </c>
      <c r="K8">
        <v>-718.15000000000146</v>
      </c>
      <c r="O8" t="s">
        <v>48</v>
      </c>
      <c r="P8" s="3">
        <f>AVERAGEIF($J$2:$J$200,"&lt;=0")</f>
        <v>-253.01875000000041</v>
      </c>
    </row>
    <row r="9" spans="1:16" x14ac:dyDescent="0.2">
      <c r="A9" t="s">
        <v>62</v>
      </c>
      <c r="B9">
        <v>17618.150000000001</v>
      </c>
      <c r="E9">
        <v>17857.25</v>
      </c>
      <c r="F9">
        <v>17900</v>
      </c>
      <c r="G9">
        <v>160</v>
      </c>
      <c r="H9">
        <f t="shared" si="0"/>
        <v>-42.75</v>
      </c>
      <c r="I9">
        <f t="shared" si="1"/>
        <v>0</v>
      </c>
      <c r="J9">
        <f t="shared" si="2"/>
        <v>160</v>
      </c>
      <c r="K9">
        <v>42.75</v>
      </c>
      <c r="O9" t="s">
        <v>49</v>
      </c>
      <c r="P9" s="3">
        <f>P7/ABS(P8)</f>
        <v>0.4037174198476462</v>
      </c>
    </row>
    <row r="10" spans="1:16" x14ac:dyDescent="0.2">
      <c r="A10" t="s">
        <v>63</v>
      </c>
      <c r="B10">
        <v>17857.25</v>
      </c>
      <c r="E10">
        <v>17536.25</v>
      </c>
      <c r="F10">
        <v>18100</v>
      </c>
      <c r="G10">
        <v>160</v>
      </c>
      <c r="H10">
        <f t="shared" si="0"/>
        <v>-563.75</v>
      </c>
      <c r="I10">
        <f t="shared" si="1"/>
        <v>0</v>
      </c>
      <c r="J10">
        <f t="shared" si="2"/>
        <v>160</v>
      </c>
      <c r="K10">
        <v>300</v>
      </c>
    </row>
    <row r="11" spans="1:16" x14ac:dyDescent="0.2">
      <c r="A11" t="s">
        <v>64</v>
      </c>
      <c r="B11">
        <v>17536.25</v>
      </c>
      <c r="E11">
        <v>17203.95</v>
      </c>
      <c r="F11">
        <v>17800</v>
      </c>
      <c r="G11">
        <v>200</v>
      </c>
      <c r="H11">
        <f t="shared" si="0"/>
        <v>-596.04999999999927</v>
      </c>
      <c r="I11">
        <f t="shared" si="1"/>
        <v>0</v>
      </c>
      <c r="J11">
        <f t="shared" si="2"/>
        <v>200</v>
      </c>
      <c r="K11">
        <v>200</v>
      </c>
      <c r="O11" t="s">
        <v>50</v>
      </c>
      <c r="P11">
        <f>MAX($J$2:$J$200)</f>
        <v>315.84999999999673</v>
      </c>
    </row>
    <row r="12" spans="1:16" x14ac:dyDescent="0.2">
      <c r="A12" t="s">
        <v>65</v>
      </c>
      <c r="B12">
        <v>17203.95</v>
      </c>
      <c r="E12">
        <v>17110.150000000001</v>
      </c>
      <c r="F12">
        <v>17800</v>
      </c>
      <c r="G12">
        <v>60</v>
      </c>
      <c r="H12">
        <f t="shared" si="0"/>
        <v>-689.84999999999854</v>
      </c>
      <c r="I12">
        <f t="shared" si="1"/>
        <v>0</v>
      </c>
      <c r="J12">
        <f t="shared" si="2"/>
        <v>60</v>
      </c>
      <c r="K12">
        <v>60</v>
      </c>
      <c r="O12" t="s">
        <v>51</v>
      </c>
      <c r="P12">
        <f>MIN($J$2:$J$200)</f>
        <v>-558.15000000000146</v>
      </c>
    </row>
    <row r="13" spans="1:16" x14ac:dyDescent="0.2">
      <c r="A13" t="s">
        <v>66</v>
      </c>
      <c r="B13">
        <v>17110.150000000001</v>
      </c>
      <c r="E13">
        <v>16247.95</v>
      </c>
      <c r="F13">
        <v>17800</v>
      </c>
      <c r="G13">
        <v>40</v>
      </c>
      <c r="H13">
        <f t="shared" si="0"/>
        <v>-1552.0499999999993</v>
      </c>
      <c r="I13">
        <f t="shared" si="1"/>
        <v>0</v>
      </c>
      <c r="J13">
        <f t="shared" si="2"/>
        <v>40</v>
      </c>
      <c r="K13">
        <v>40</v>
      </c>
    </row>
    <row r="14" spans="1:16" x14ac:dyDescent="0.2">
      <c r="A14" t="s">
        <v>67</v>
      </c>
      <c r="B14">
        <v>16247.95</v>
      </c>
      <c r="E14">
        <v>17222.75</v>
      </c>
      <c r="F14">
        <v>17800</v>
      </c>
      <c r="G14">
        <v>5</v>
      </c>
      <c r="H14">
        <f t="shared" si="0"/>
        <v>-577.25</v>
      </c>
      <c r="I14">
        <f t="shared" si="1"/>
        <v>0</v>
      </c>
      <c r="J14">
        <f t="shared" si="2"/>
        <v>5</v>
      </c>
      <c r="K14">
        <v>5</v>
      </c>
      <c r="O14" t="s">
        <v>52</v>
      </c>
      <c r="P14" s="3">
        <f>(P4*P7)+(P5*P8)</f>
        <v>18.579411764705668</v>
      </c>
    </row>
    <row r="15" spans="1:16" x14ac:dyDescent="0.2">
      <c r="A15" t="s">
        <v>68</v>
      </c>
      <c r="B15">
        <v>17222.75</v>
      </c>
      <c r="E15">
        <v>17245.05</v>
      </c>
      <c r="F15">
        <v>17800</v>
      </c>
      <c r="G15">
        <v>60</v>
      </c>
      <c r="H15">
        <f t="shared" si="0"/>
        <v>-554.95000000000073</v>
      </c>
      <c r="I15">
        <f t="shared" si="1"/>
        <v>0</v>
      </c>
      <c r="J15">
        <f t="shared" si="2"/>
        <v>60</v>
      </c>
      <c r="K15">
        <v>60</v>
      </c>
      <c r="O15" t="s">
        <v>53</v>
      </c>
      <c r="P15" s="3">
        <f>(P9*P4)-P5</f>
        <v>7.3430968118788187E-2</v>
      </c>
    </row>
    <row r="16" spans="1:16" x14ac:dyDescent="0.2">
      <c r="A16" t="s">
        <v>69</v>
      </c>
      <c r="B16">
        <v>17245.05</v>
      </c>
      <c r="E16">
        <v>16170.15</v>
      </c>
      <c r="F16">
        <v>17800</v>
      </c>
      <c r="G16">
        <v>60</v>
      </c>
      <c r="H16">
        <f t="shared" si="0"/>
        <v>-1629.8500000000004</v>
      </c>
      <c r="I16">
        <f t="shared" si="1"/>
        <v>0</v>
      </c>
      <c r="J16">
        <f t="shared" si="2"/>
        <v>60</v>
      </c>
      <c r="K16">
        <v>60</v>
      </c>
    </row>
    <row r="17" spans="1:16" x14ac:dyDescent="0.2">
      <c r="A17" t="s">
        <v>70</v>
      </c>
      <c r="B17">
        <v>16170.15</v>
      </c>
      <c r="E17">
        <v>15780.25</v>
      </c>
      <c r="F17">
        <v>17800</v>
      </c>
      <c r="G17">
        <v>5</v>
      </c>
      <c r="H17">
        <f t="shared" si="0"/>
        <v>-2019.75</v>
      </c>
      <c r="I17">
        <f t="shared" si="1"/>
        <v>0</v>
      </c>
      <c r="J17">
        <f t="shared" si="2"/>
        <v>5</v>
      </c>
      <c r="K17">
        <v>5</v>
      </c>
    </row>
    <row r="18" spans="1:16" x14ac:dyDescent="0.2">
      <c r="A18" t="s">
        <v>71</v>
      </c>
      <c r="B18">
        <v>15780.25</v>
      </c>
      <c r="E18">
        <v>16929.599999999999</v>
      </c>
      <c r="F18">
        <v>17800</v>
      </c>
      <c r="G18">
        <v>5</v>
      </c>
      <c r="H18">
        <f t="shared" si="0"/>
        <v>-870.40000000000146</v>
      </c>
      <c r="I18">
        <f t="shared" si="1"/>
        <v>0</v>
      </c>
      <c r="J18">
        <f t="shared" si="2"/>
        <v>5</v>
      </c>
      <c r="K18">
        <v>5</v>
      </c>
    </row>
    <row r="19" spans="1:16" x14ac:dyDescent="0.2">
      <c r="A19" t="s">
        <v>72</v>
      </c>
      <c r="B19">
        <v>16929.599999999999</v>
      </c>
      <c r="E19">
        <v>17522.45</v>
      </c>
      <c r="F19">
        <v>17800</v>
      </c>
      <c r="G19">
        <v>30</v>
      </c>
      <c r="H19">
        <f t="shared" si="0"/>
        <v>-277.54999999999927</v>
      </c>
      <c r="I19">
        <f t="shared" si="1"/>
        <v>0</v>
      </c>
      <c r="J19">
        <f t="shared" si="2"/>
        <v>30</v>
      </c>
      <c r="K19">
        <v>30</v>
      </c>
    </row>
    <row r="20" spans="1:16" x14ac:dyDescent="0.2">
      <c r="A20" t="s">
        <v>73</v>
      </c>
      <c r="B20">
        <v>17522.45</v>
      </c>
      <c r="E20">
        <v>16818.099999999999</v>
      </c>
      <c r="F20">
        <v>17800</v>
      </c>
      <c r="G20">
        <v>200</v>
      </c>
      <c r="H20">
        <f t="shared" si="0"/>
        <v>-981.90000000000146</v>
      </c>
      <c r="I20">
        <f t="shared" si="1"/>
        <v>0</v>
      </c>
      <c r="J20">
        <f t="shared" si="2"/>
        <v>200</v>
      </c>
      <c r="K20">
        <v>200</v>
      </c>
    </row>
    <row r="21" spans="1:16" x14ac:dyDescent="0.2">
      <c r="A21" t="s">
        <v>74</v>
      </c>
      <c r="B21">
        <v>16818.099999999999</v>
      </c>
      <c r="E21">
        <v>17736.95</v>
      </c>
      <c r="F21">
        <v>17800</v>
      </c>
      <c r="G21">
        <v>15</v>
      </c>
      <c r="H21">
        <f t="shared" si="0"/>
        <v>-63.049999999999272</v>
      </c>
      <c r="I21">
        <f t="shared" si="1"/>
        <v>0</v>
      </c>
      <c r="J21">
        <f t="shared" si="2"/>
        <v>15</v>
      </c>
      <c r="K21">
        <v>15</v>
      </c>
    </row>
    <row r="22" spans="1:16" x14ac:dyDescent="0.2">
      <c r="A22" t="s">
        <v>75</v>
      </c>
      <c r="B22">
        <v>17736.95</v>
      </c>
      <c r="E22">
        <v>18484.099999999999</v>
      </c>
      <c r="F22">
        <v>18000</v>
      </c>
      <c r="G22">
        <v>160</v>
      </c>
      <c r="H22">
        <f t="shared" si="0"/>
        <v>484.09999999999854</v>
      </c>
      <c r="I22">
        <f t="shared" si="1"/>
        <v>484.09999999999854</v>
      </c>
      <c r="J22">
        <f t="shared" si="2"/>
        <v>-324.09999999999854</v>
      </c>
      <c r="K22">
        <v>-384.09999999999854</v>
      </c>
    </row>
    <row r="23" spans="1:16" x14ac:dyDescent="0.2">
      <c r="A23" t="s">
        <v>76</v>
      </c>
      <c r="B23">
        <v>18484.099999999999</v>
      </c>
      <c r="E23">
        <v>18191</v>
      </c>
      <c r="F23">
        <v>18700</v>
      </c>
      <c r="G23">
        <v>200</v>
      </c>
      <c r="H23">
        <f t="shared" si="0"/>
        <v>-509</v>
      </c>
      <c r="I23">
        <f t="shared" si="1"/>
        <v>0</v>
      </c>
      <c r="J23">
        <f t="shared" si="2"/>
        <v>200</v>
      </c>
      <c r="K23">
        <v>300</v>
      </c>
    </row>
    <row r="24" spans="1:16" x14ac:dyDescent="0.2">
      <c r="A24" t="s">
        <v>77</v>
      </c>
      <c r="B24">
        <v>18191</v>
      </c>
      <c r="E24">
        <v>17891.95</v>
      </c>
      <c r="F24">
        <v>18500</v>
      </c>
      <c r="G24">
        <v>150</v>
      </c>
      <c r="H24">
        <f t="shared" si="0"/>
        <v>-608.04999999999927</v>
      </c>
      <c r="I24">
        <f t="shared" si="1"/>
        <v>0</v>
      </c>
      <c r="J24">
        <f t="shared" si="2"/>
        <v>150</v>
      </c>
      <c r="K24">
        <v>150</v>
      </c>
    </row>
    <row r="25" spans="1:16" x14ac:dyDescent="0.2">
      <c r="A25" t="s">
        <v>78</v>
      </c>
      <c r="B25">
        <v>17891.95</v>
      </c>
      <c r="E25">
        <v>17511.25</v>
      </c>
      <c r="F25">
        <v>18500</v>
      </c>
      <c r="G25">
        <v>60</v>
      </c>
      <c r="H25">
        <f t="shared" si="0"/>
        <v>-988.75</v>
      </c>
      <c r="I25">
        <f t="shared" si="1"/>
        <v>0</v>
      </c>
      <c r="J25">
        <f t="shared" si="2"/>
        <v>60</v>
      </c>
      <c r="K25">
        <v>60</v>
      </c>
      <c r="O25">
        <v>0</v>
      </c>
      <c r="P25">
        <v>310</v>
      </c>
    </row>
    <row r="26" spans="1:16" x14ac:dyDescent="0.2">
      <c r="A26" t="s">
        <v>79</v>
      </c>
      <c r="B26">
        <v>17511.25</v>
      </c>
      <c r="E26">
        <v>17080.7</v>
      </c>
      <c r="F26">
        <v>18500</v>
      </c>
      <c r="G26">
        <v>15</v>
      </c>
      <c r="H26">
        <f t="shared" si="0"/>
        <v>-1419.2999999999993</v>
      </c>
      <c r="I26">
        <f t="shared" si="1"/>
        <v>0</v>
      </c>
      <c r="J26">
        <f t="shared" si="2"/>
        <v>15</v>
      </c>
      <c r="K26">
        <v>15</v>
      </c>
      <c r="O26">
        <v>100</v>
      </c>
      <c r="P26">
        <v>270</v>
      </c>
    </row>
    <row r="27" spans="1:16" x14ac:dyDescent="0.2">
      <c r="A27" t="s">
        <v>80</v>
      </c>
      <c r="B27">
        <v>17080.7</v>
      </c>
      <c r="E27">
        <v>17915.05</v>
      </c>
      <c r="F27">
        <v>18500</v>
      </c>
      <c r="G27">
        <v>5</v>
      </c>
      <c r="H27">
        <f t="shared" si="0"/>
        <v>-584.95000000000073</v>
      </c>
      <c r="I27">
        <f t="shared" si="1"/>
        <v>0</v>
      </c>
      <c r="J27">
        <f t="shared" si="2"/>
        <v>5</v>
      </c>
      <c r="K27">
        <v>5</v>
      </c>
      <c r="O27">
        <v>200</v>
      </c>
      <c r="P27">
        <v>200</v>
      </c>
    </row>
    <row r="28" spans="1:16" x14ac:dyDescent="0.2">
      <c r="A28" t="s">
        <v>81</v>
      </c>
      <c r="B28">
        <v>17915.05</v>
      </c>
      <c r="E28">
        <v>18321.150000000001</v>
      </c>
      <c r="F28">
        <v>18500</v>
      </c>
      <c r="G28">
        <v>60</v>
      </c>
      <c r="H28">
        <f t="shared" si="0"/>
        <v>-178.84999999999854</v>
      </c>
      <c r="I28">
        <f t="shared" si="1"/>
        <v>0</v>
      </c>
      <c r="J28">
        <f t="shared" si="2"/>
        <v>60</v>
      </c>
      <c r="K28">
        <v>60</v>
      </c>
      <c r="O28">
        <v>300</v>
      </c>
      <c r="P28">
        <v>160</v>
      </c>
    </row>
    <row r="29" spans="1:16" x14ac:dyDescent="0.2">
      <c r="A29" t="s">
        <v>82</v>
      </c>
      <c r="B29">
        <v>18321.150000000001</v>
      </c>
      <c r="E29">
        <v>18972.099999999999</v>
      </c>
      <c r="F29">
        <v>18500</v>
      </c>
      <c r="G29">
        <v>200</v>
      </c>
      <c r="H29">
        <f t="shared" si="0"/>
        <v>472.09999999999854</v>
      </c>
      <c r="I29">
        <f t="shared" si="1"/>
        <v>472.09999999999854</v>
      </c>
      <c r="J29">
        <f t="shared" si="2"/>
        <v>-272.09999999999854</v>
      </c>
      <c r="K29">
        <v>-272.09999999999854</v>
      </c>
    </row>
    <row r="30" spans="1:16" x14ac:dyDescent="0.2">
      <c r="A30" t="s">
        <v>83</v>
      </c>
      <c r="B30">
        <v>18972.099999999999</v>
      </c>
      <c r="E30">
        <v>19659.900000000001</v>
      </c>
      <c r="F30">
        <v>19200</v>
      </c>
      <c r="G30">
        <v>200</v>
      </c>
      <c r="H30">
        <f t="shared" si="0"/>
        <v>459.90000000000146</v>
      </c>
      <c r="I30">
        <f t="shared" si="1"/>
        <v>459.90000000000146</v>
      </c>
      <c r="J30">
        <f t="shared" si="2"/>
        <v>-259.90000000000146</v>
      </c>
      <c r="K30">
        <v>-359.90000000000146</v>
      </c>
    </row>
    <row r="31" spans="1:16" x14ac:dyDescent="0.2">
      <c r="A31" t="s">
        <v>84</v>
      </c>
      <c r="B31">
        <v>19659.900000000001</v>
      </c>
      <c r="E31">
        <v>19253.8</v>
      </c>
      <c r="F31">
        <v>19900</v>
      </c>
      <c r="G31">
        <v>200</v>
      </c>
      <c r="H31">
        <f t="shared" si="0"/>
        <v>-646.20000000000073</v>
      </c>
      <c r="I31">
        <f t="shared" si="1"/>
        <v>0</v>
      </c>
      <c r="J31">
        <f t="shared" si="2"/>
        <v>200</v>
      </c>
      <c r="K31">
        <v>300</v>
      </c>
    </row>
    <row r="32" spans="1:16" x14ac:dyDescent="0.2">
      <c r="A32" t="s">
        <v>85</v>
      </c>
      <c r="B32">
        <v>19253.8</v>
      </c>
      <c r="E32">
        <v>19523.55</v>
      </c>
      <c r="F32">
        <v>19600</v>
      </c>
      <c r="G32">
        <v>120</v>
      </c>
      <c r="H32">
        <f t="shared" si="0"/>
        <v>-76.450000000000728</v>
      </c>
      <c r="I32">
        <f t="shared" si="1"/>
        <v>0</v>
      </c>
      <c r="J32">
        <f t="shared" si="2"/>
        <v>120</v>
      </c>
      <c r="K32">
        <v>120</v>
      </c>
    </row>
    <row r="33" spans="1:11" x14ac:dyDescent="0.2">
      <c r="A33" t="s">
        <v>86</v>
      </c>
      <c r="B33">
        <v>19523.55</v>
      </c>
      <c r="E33">
        <v>18857.25</v>
      </c>
      <c r="F33">
        <v>19800</v>
      </c>
      <c r="G33">
        <v>160</v>
      </c>
      <c r="H33">
        <f t="shared" si="0"/>
        <v>-942.75</v>
      </c>
      <c r="I33">
        <f t="shared" si="1"/>
        <v>0</v>
      </c>
      <c r="J33">
        <f t="shared" si="2"/>
        <v>160</v>
      </c>
      <c r="K33">
        <v>300</v>
      </c>
    </row>
    <row r="34" spans="1:11" x14ac:dyDescent="0.2">
      <c r="A34" t="s">
        <v>87</v>
      </c>
      <c r="B34">
        <v>18857.25</v>
      </c>
      <c r="E34">
        <v>19794.7</v>
      </c>
      <c r="F34">
        <v>19600</v>
      </c>
      <c r="G34">
        <v>30</v>
      </c>
      <c r="H34">
        <f t="shared" si="0"/>
        <v>194.70000000000073</v>
      </c>
      <c r="I34">
        <f t="shared" si="1"/>
        <v>194.70000000000073</v>
      </c>
      <c r="J34">
        <f t="shared" si="2"/>
        <v>-164.70000000000073</v>
      </c>
      <c r="K34">
        <v>-164.70000000000073</v>
      </c>
    </row>
    <row r="35" spans="1:11" x14ac:dyDescent="0.2">
      <c r="I35" t="s">
        <v>54</v>
      </c>
      <c r="J35">
        <f>SUM(J2:J34)</f>
        <v>315.84999999999673</v>
      </c>
      <c r="K35">
        <v>318.59999999999673</v>
      </c>
    </row>
    <row r="41" spans="1:11" x14ac:dyDescent="0.2">
      <c r="E41" t="s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E37" sqref="E37"/>
    </sheetView>
  </sheetViews>
  <sheetFormatPr baseColWidth="10" defaultRowHeight="16" x14ac:dyDescent="0.2"/>
  <cols>
    <col min="1" max="1" width="15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</row>
    <row r="2" spans="1:13" x14ac:dyDescent="0.2">
      <c r="A2" t="s">
        <v>5</v>
      </c>
      <c r="B2">
        <v>14702.5</v>
      </c>
      <c r="C2">
        <v>15336.3</v>
      </c>
      <c r="D2">
        <v>14264.4</v>
      </c>
      <c r="E2">
        <v>14690.7</v>
      </c>
      <c r="F2">
        <v>14700</v>
      </c>
      <c r="G2">
        <v>300</v>
      </c>
      <c r="H2">
        <f>E2-F2</f>
        <v>-9.2999999999992724</v>
      </c>
      <c r="I2">
        <f>IF(H2&lt;0,0,H2)</f>
        <v>0</v>
      </c>
      <c r="J2">
        <f>G2-I2</f>
        <v>300</v>
      </c>
      <c r="L2" t="s">
        <v>43</v>
      </c>
      <c r="M2">
        <f>COUNTIF($J$2:$J$200,"&gt;0")</f>
        <v>27</v>
      </c>
    </row>
    <row r="3" spans="1:13" x14ac:dyDescent="0.2">
      <c r="A3" t="s">
        <v>6</v>
      </c>
      <c r="B3">
        <v>14798.4</v>
      </c>
      <c r="C3">
        <v>15044.35</v>
      </c>
      <c r="D3">
        <v>14151.4</v>
      </c>
      <c r="E3">
        <v>14631.1</v>
      </c>
      <c r="F3">
        <v>14700</v>
      </c>
      <c r="G3">
        <v>300</v>
      </c>
      <c r="H3">
        <f t="shared" ref="H3:H34" si="0">E3-F3</f>
        <v>-68.899999999999636</v>
      </c>
      <c r="I3">
        <f t="shared" ref="I3:I34" si="1">IF(H3&lt;0,0,H3)</f>
        <v>0</v>
      </c>
      <c r="J3">
        <f t="shared" ref="J3:J34" si="2">G3-I3</f>
        <v>300</v>
      </c>
      <c r="L3" t="s">
        <v>44</v>
      </c>
      <c r="M3">
        <f>COUNTIF($J$2:$J$200,"&lt;=0")</f>
        <v>7</v>
      </c>
    </row>
    <row r="4" spans="1:13" x14ac:dyDescent="0.2">
      <c r="A4" t="s">
        <v>7</v>
      </c>
      <c r="B4">
        <v>14481.05</v>
      </c>
      <c r="C4">
        <v>15606.35</v>
      </c>
      <c r="D4">
        <v>14416.25</v>
      </c>
      <c r="E4">
        <v>15582.8</v>
      </c>
      <c r="F4">
        <v>14700</v>
      </c>
      <c r="G4">
        <v>300</v>
      </c>
      <c r="H4">
        <f t="shared" si="0"/>
        <v>882.79999999999927</v>
      </c>
      <c r="I4">
        <f t="shared" si="1"/>
        <v>882.79999999999927</v>
      </c>
      <c r="J4">
        <f t="shared" si="2"/>
        <v>-582.79999999999927</v>
      </c>
      <c r="L4" t="s">
        <v>45</v>
      </c>
      <c r="M4" s="1">
        <f>M2/(M2+M3)</f>
        <v>0.79411764705882348</v>
      </c>
    </row>
    <row r="5" spans="1:13" x14ac:dyDescent="0.2">
      <c r="A5" t="s">
        <v>8</v>
      </c>
      <c r="B5">
        <v>15629.65</v>
      </c>
      <c r="C5">
        <v>15915.65</v>
      </c>
      <c r="D5">
        <v>15450.9</v>
      </c>
      <c r="E5">
        <v>15721.5</v>
      </c>
      <c r="F5">
        <v>15600</v>
      </c>
      <c r="G5">
        <v>300</v>
      </c>
      <c r="H5">
        <f t="shared" si="0"/>
        <v>121.5</v>
      </c>
      <c r="I5">
        <f t="shared" si="1"/>
        <v>121.5</v>
      </c>
      <c r="J5">
        <f t="shared" si="2"/>
        <v>178.5</v>
      </c>
      <c r="L5" t="s">
        <v>46</v>
      </c>
      <c r="M5" s="2">
        <f>100%-M4</f>
        <v>0.20588235294117652</v>
      </c>
    </row>
    <row r="6" spans="1:13" x14ac:dyDescent="0.2">
      <c r="A6" t="s">
        <v>9</v>
      </c>
      <c r="B6">
        <v>15755.05</v>
      </c>
      <c r="C6">
        <v>15962.25</v>
      </c>
      <c r="D6">
        <v>15513.45</v>
      </c>
      <c r="E6">
        <v>15763.05</v>
      </c>
      <c r="F6">
        <v>15700</v>
      </c>
      <c r="G6">
        <v>300</v>
      </c>
      <c r="H6">
        <f t="shared" si="0"/>
        <v>63.049999999999272</v>
      </c>
      <c r="I6">
        <f t="shared" si="1"/>
        <v>63.049999999999272</v>
      </c>
      <c r="J6">
        <f t="shared" si="2"/>
        <v>236.95000000000073</v>
      </c>
    </row>
    <row r="7" spans="1:13" x14ac:dyDescent="0.2">
      <c r="A7" t="s">
        <v>10</v>
      </c>
      <c r="B7">
        <v>15874.9</v>
      </c>
      <c r="C7">
        <v>17153.5</v>
      </c>
      <c r="D7">
        <v>15834.65</v>
      </c>
      <c r="E7">
        <v>17132.2</v>
      </c>
      <c r="F7">
        <v>15800</v>
      </c>
      <c r="G7">
        <v>300</v>
      </c>
      <c r="H7">
        <f t="shared" si="0"/>
        <v>1332.2000000000007</v>
      </c>
      <c r="I7">
        <f t="shared" si="1"/>
        <v>1332.2000000000007</v>
      </c>
      <c r="J7">
        <f t="shared" si="2"/>
        <v>-1032.2000000000007</v>
      </c>
      <c r="L7" t="s">
        <v>47</v>
      </c>
      <c r="M7" s="3">
        <f>AVERAGEIF($J$2:$J$200,"&gt;0")</f>
        <v>162.68333333333337</v>
      </c>
    </row>
    <row r="8" spans="1:13" x14ac:dyDescent="0.2">
      <c r="A8" t="s">
        <v>11</v>
      </c>
      <c r="B8">
        <v>17185.59</v>
      </c>
      <c r="C8">
        <v>17947.650000000001</v>
      </c>
      <c r="D8">
        <v>17055.05</v>
      </c>
      <c r="E8">
        <v>17618.150000000001</v>
      </c>
      <c r="F8">
        <v>17100</v>
      </c>
      <c r="G8">
        <v>300</v>
      </c>
      <c r="H8">
        <f t="shared" si="0"/>
        <v>518.15000000000146</v>
      </c>
      <c r="I8">
        <f t="shared" si="1"/>
        <v>518.15000000000146</v>
      </c>
      <c r="J8">
        <f t="shared" si="2"/>
        <v>-218.15000000000146</v>
      </c>
      <c r="L8" t="s">
        <v>48</v>
      </c>
      <c r="M8" s="3">
        <f>AVERAGEIF($J$2:$J$200,"&lt;=0")</f>
        <v>-435.22142857142848</v>
      </c>
    </row>
    <row r="9" spans="1:13" x14ac:dyDescent="0.2">
      <c r="A9" t="s">
        <v>12</v>
      </c>
      <c r="B9">
        <v>17531.900000000001</v>
      </c>
      <c r="C9">
        <v>18604.45</v>
      </c>
      <c r="D9">
        <v>17452.900000000001</v>
      </c>
      <c r="E9">
        <v>17671.650000000001</v>
      </c>
      <c r="F9">
        <v>17600</v>
      </c>
      <c r="G9">
        <v>300</v>
      </c>
      <c r="H9">
        <f t="shared" si="0"/>
        <v>71.650000000001455</v>
      </c>
      <c r="I9">
        <f t="shared" si="1"/>
        <v>71.650000000001455</v>
      </c>
      <c r="J9">
        <f t="shared" si="2"/>
        <v>228.34999999999854</v>
      </c>
      <c r="L9" t="s">
        <v>49</v>
      </c>
      <c r="M9" s="3">
        <f>M7/ABS(M8)</f>
        <v>0.37379440131733727</v>
      </c>
    </row>
    <row r="10" spans="1:13" x14ac:dyDescent="0.2">
      <c r="A10" t="s">
        <v>13</v>
      </c>
      <c r="B10">
        <v>17783.150000000001</v>
      </c>
      <c r="C10">
        <v>18210.150000000001</v>
      </c>
      <c r="D10">
        <v>16782.400000000001</v>
      </c>
      <c r="E10">
        <v>16983.2</v>
      </c>
      <c r="F10">
        <v>17700</v>
      </c>
      <c r="G10">
        <v>300</v>
      </c>
      <c r="H10">
        <f t="shared" si="0"/>
        <v>-716.79999999999927</v>
      </c>
      <c r="I10">
        <f t="shared" si="1"/>
        <v>0</v>
      </c>
      <c r="J10">
        <f t="shared" si="2"/>
        <v>300</v>
      </c>
    </row>
    <row r="11" spans="1:13" x14ac:dyDescent="0.2">
      <c r="A11" t="s">
        <v>14</v>
      </c>
      <c r="B11">
        <v>17104.400000000001</v>
      </c>
      <c r="C11">
        <v>17639.5</v>
      </c>
      <c r="D11">
        <v>16410.2</v>
      </c>
      <c r="E11">
        <v>17354.05</v>
      </c>
      <c r="F11">
        <v>17700</v>
      </c>
      <c r="G11">
        <v>50</v>
      </c>
      <c r="H11">
        <f t="shared" si="0"/>
        <v>-345.95000000000073</v>
      </c>
      <c r="I11">
        <f t="shared" si="1"/>
        <v>0</v>
      </c>
      <c r="J11">
        <f t="shared" si="2"/>
        <v>50</v>
      </c>
      <c r="L11" t="s">
        <v>50</v>
      </c>
      <c r="M11">
        <f>MAX($J$2:$J$200)</f>
        <v>672.95000000000073</v>
      </c>
    </row>
    <row r="12" spans="1:13" x14ac:dyDescent="0.2">
      <c r="A12" t="s">
        <v>15</v>
      </c>
      <c r="B12">
        <v>17387.150000000001</v>
      </c>
      <c r="C12">
        <v>18350.95</v>
      </c>
      <c r="D12">
        <v>16836.8</v>
      </c>
      <c r="E12">
        <v>17339.84</v>
      </c>
      <c r="F12">
        <v>17700</v>
      </c>
      <c r="G12">
        <v>150</v>
      </c>
      <c r="H12">
        <f t="shared" si="0"/>
        <v>-360.15999999999985</v>
      </c>
      <c r="I12">
        <f t="shared" si="1"/>
        <v>0</v>
      </c>
      <c r="J12">
        <f t="shared" si="2"/>
        <v>150</v>
      </c>
      <c r="L12" t="s">
        <v>51</v>
      </c>
      <c r="M12">
        <f>MIN($J$2:$J$200)</f>
        <v>-1032.2000000000007</v>
      </c>
    </row>
    <row r="13" spans="1:13" x14ac:dyDescent="0.2">
      <c r="A13" t="s">
        <v>16</v>
      </c>
      <c r="B13">
        <v>17529.45</v>
      </c>
      <c r="C13">
        <v>17794.59</v>
      </c>
      <c r="D13">
        <v>16203.25</v>
      </c>
      <c r="E13">
        <v>16793.900000000001</v>
      </c>
      <c r="F13">
        <v>17700</v>
      </c>
      <c r="G13">
        <v>200</v>
      </c>
      <c r="H13">
        <f t="shared" si="0"/>
        <v>-906.09999999999854</v>
      </c>
      <c r="I13">
        <f t="shared" si="1"/>
        <v>0</v>
      </c>
      <c r="J13">
        <f t="shared" si="2"/>
        <v>200</v>
      </c>
    </row>
    <row r="14" spans="1:13" x14ac:dyDescent="0.2">
      <c r="A14" t="s">
        <v>17</v>
      </c>
      <c r="B14">
        <v>16593.099999999999</v>
      </c>
      <c r="C14">
        <v>17559.8</v>
      </c>
      <c r="D14">
        <v>15671.45</v>
      </c>
      <c r="E14">
        <v>17464.75</v>
      </c>
      <c r="F14">
        <v>17700</v>
      </c>
      <c r="G14">
        <v>25</v>
      </c>
      <c r="H14">
        <f t="shared" si="0"/>
        <v>-235.25</v>
      </c>
      <c r="I14">
        <f t="shared" si="1"/>
        <v>0</v>
      </c>
      <c r="J14">
        <f t="shared" si="2"/>
        <v>25</v>
      </c>
      <c r="L14" t="s">
        <v>52</v>
      </c>
      <c r="M14" s="3">
        <f>(M4*M7)+(M5*M8)</f>
        <v>39.585294117647081</v>
      </c>
    </row>
    <row r="15" spans="1:13" x14ac:dyDescent="0.2">
      <c r="A15" t="s">
        <v>18</v>
      </c>
      <c r="B15">
        <v>17436.900000000001</v>
      </c>
      <c r="C15">
        <v>18114.650000000001</v>
      </c>
      <c r="D15">
        <v>16824.7</v>
      </c>
      <c r="E15">
        <v>17102.55</v>
      </c>
      <c r="F15">
        <v>17700</v>
      </c>
      <c r="G15">
        <v>150</v>
      </c>
      <c r="H15">
        <f t="shared" si="0"/>
        <v>-597.45000000000073</v>
      </c>
      <c r="I15">
        <f t="shared" si="1"/>
        <v>0</v>
      </c>
      <c r="J15">
        <f t="shared" si="2"/>
        <v>150</v>
      </c>
      <c r="L15" t="s">
        <v>53</v>
      </c>
      <c r="M15" s="3">
        <f>(M9*M4)-M5</f>
        <v>9.0954377516708929E-2</v>
      </c>
    </row>
    <row r="16" spans="1:13" x14ac:dyDescent="0.2">
      <c r="A16" t="s">
        <v>19</v>
      </c>
      <c r="B16">
        <v>16924.45</v>
      </c>
      <c r="C16">
        <v>17132.849999999999</v>
      </c>
      <c r="D16">
        <v>15735.75</v>
      </c>
      <c r="E16">
        <v>16584.55</v>
      </c>
      <c r="F16">
        <v>17700</v>
      </c>
      <c r="G16">
        <v>50</v>
      </c>
      <c r="H16">
        <f t="shared" si="0"/>
        <v>-1115.4500000000007</v>
      </c>
      <c r="I16">
        <f t="shared" si="1"/>
        <v>0</v>
      </c>
      <c r="J16">
        <f t="shared" si="2"/>
        <v>50</v>
      </c>
    </row>
    <row r="17" spans="1:10" x14ac:dyDescent="0.2">
      <c r="A17" t="s">
        <v>20</v>
      </c>
      <c r="B17">
        <v>16594.400000000001</v>
      </c>
      <c r="C17">
        <v>16793.849999999999</v>
      </c>
      <c r="D17">
        <v>15183.4</v>
      </c>
      <c r="E17">
        <v>15780.25</v>
      </c>
      <c r="F17">
        <v>17700</v>
      </c>
      <c r="G17">
        <v>25</v>
      </c>
      <c r="H17">
        <f t="shared" si="0"/>
        <v>-1919.75</v>
      </c>
      <c r="I17">
        <f t="shared" si="1"/>
        <v>0</v>
      </c>
      <c r="J17">
        <f t="shared" si="2"/>
        <v>25</v>
      </c>
    </row>
    <row r="18" spans="1:10" x14ac:dyDescent="0.2">
      <c r="A18" t="s">
        <v>21</v>
      </c>
      <c r="B18">
        <v>15703.7</v>
      </c>
      <c r="C18">
        <v>17172.8</v>
      </c>
      <c r="D18">
        <v>15511.05</v>
      </c>
      <c r="E18">
        <v>17158.25</v>
      </c>
      <c r="F18">
        <v>17700</v>
      </c>
      <c r="G18">
        <v>20</v>
      </c>
      <c r="H18">
        <f t="shared" si="0"/>
        <v>-541.75</v>
      </c>
      <c r="I18">
        <f t="shared" si="1"/>
        <v>0</v>
      </c>
      <c r="J18">
        <f t="shared" si="2"/>
        <v>20</v>
      </c>
    </row>
    <row r="19" spans="1:10" x14ac:dyDescent="0.2">
      <c r="A19" t="s">
        <v>22</v>
      </c>
      <c r="B19">
        <v>17243.2</v>
      </c>
      <c r="C19">
        <v>17992.2</v>
      </c>
      <c r="D19">
        <v>17154.8</v>
      </c>
      <c r="E19">
        <v>17759.3</v>
      </c>
      <c r="F19">
        <v>17700</v>
      </c>
      <c r="G19">
        <v>100</v>
      </c>
      <c r="H19">
        <f t="shared" si="0"/>
        <v>59.299999999999272</v>
      </c>
      <c r="I19">
        <f t="shared" si="1"/>
        <v>59.299999999999272</v>
      </c>
      <c r="J19">
        <f t="shared" si="2"/>
        <v>40.700000000000728</v>
      </c>
    </row>
    <row r="20" spans="1:10" x14ac:dyDescent="0.2">
      <c r="A20" t="s">
        <v>23</v>
      </c>
      <c r="B20">
        <v>17485.7</v>
      </c>
      <c r="C20">
        <v>18096.150000000001</v>
      </c>
      <c r="D20">
        <v>16747.7</v>
      </c>
      <c r="E20">
        <v>17094.349999999999</v>
      </c>
      <c r="F20">
        <v>17700</v>
      </c>
      <c r="G20">
        <v>150</v>
      </c>
      <c r="H20">
        <f t="shared" si="0"/>
        <v>-605.65000000000146</v>
      </c>
      <c r="I20">
        <f t="shared" si="1"/>
        <v>0</v>
      </c>
      <c r="J20">
        <f t="shared" si="2"/>
        <v>150</v>
      </c>
    </row>
    <row r="21" spans="1:10" x14ac:dyDescent="0.2">
      <c r="A21" t="s">
        <v>24</v>
      </c>
      <c r="B21">
        <v>17102.099999999999</v>
      </c>
      <c r="C21">
        <v>18022.8</v>
      </c>
      <c r="D21">
        <v>16855.55</v>
      </c>
      <c r="E21">
        <v>18012.2</v>
      </c>
      <c r="F21">
        <v>17700</v>
      </c>
      <c r="G21">
        <v>50</v>
      </c>
      <c r="H21">
        <f t="shared" si="0"/>
        <v>312.20000000000073</v>
      </c>
      <c r="I21">
        <f t="shared" si="1"/>
        <v>312.20000000000073</v>
      </c>
      <c r="J21">
        <f t="shared" si="2"/>
        <v>-262.20000000000073</v>
      </c>
    </row>
    <row r="22" spans="1:10" x14ac:dyDescent="0.2">
      <c r="A22" t="s">
        <v>25</v>
      </c>
      <c r="B22">
        <v>18130.7</v>
      </c>
      <c r="C22">
        <v>18816.05</v>
      </c>
      <c r="D22">
        <v>17959.2</v>
      </c>
      <c r="E22">
        <v>18758.349999999999</v>
      </c>
      <c r="F22">
        <v>18000</v>
      </c>
      <c r="G22">
        <v>300</v>
      </c>
      <c r="H22">
        <f t="shared" si="0"/>
        <v>758.34999999999854</v>
      </c>
      <c r="I22">
        <f t="shared" si="1"/>
        <v>758.34999999999854</v>
      </c>
      <c r="J22">
        <f t="shared" si="2"/>
        <v>-458.34999999999854</v>
      </c>
    </row>
    <row r="23" spans="1:10" x14ac:dyDescent="0.2">
      <c r="A23" t="s">
        <v>26</v>
      </c>
      <c r="B23">
        <v>18871.95</v>
      </c>
      <c r="C23">
        <v>18887.599999999999</v>
      </c>
      <c r="D23">
        <v>17774.25</v>
      </c>
      <c r="E23">
        <v>18105.3</v>
      </c>
      <c r="F23">
        <v>18700</v>
      </c>
      <c r="G23">
        <v>300</v>
      </c>
      <c r="H23">
        <f t="shared" si="0"/>
        <v>-594.70000000000073</v>
      </c>
      <c r="I23">
        <f t="shared" si="1"/>
        <v>0</v>
      </c>
      <c r="J23">
        <f t="shared" si="2"/>
        <v>300</v>
      </c>
    </row>
    <row r="24" spans="1:10" x14ac:dyDescent="0.2">
      <c r="A24" t="s">
        <v>27</v>
      </c>
      <c r="B24">
        <v>18131.7</v>
      </c>
      <c r="C24">
        <v>18251.95</v>
      </c>
      <c r="D24">
        <v>17405.55</v>
      </c>
      <c r="E24">
        <v>17662.150000000001</v>
      </c>
      <c r="F24">
        <v>18700</v>
      </c>
      <c r="G24">
        <v>100</v>
      </c>
      <c r="H24">
        <f t="shared" si="0"/>
        <v>-1037.8499999999985</v>
      </c>
      <c r="I24">
        <f t="shared" si="1"/>
        <v>0</v>
      </c>
      <c r="J24">
        <f t="shared" si="2"/>
        <v>100</v>
      </c>
    </row>
    <row r="25" spans="1:10" x14ac:dyDescent="0.2">
      <c r="A25" t="s">
        <v>28</v>
      </c>
      <c r="B25">
        <v>17811.599999999999</v>
      </c>
      <c r="C25">
        <v>18134.75</v>
      </c>
      <c r="D25">
        <v>17255.2</v>
      </c>
      <c r="E25">
        <v>17303.95</v>
      </c>
      <c r="F25">
        <v>18700</v>
      </c>
      <c r="G25">
        <v>50</v>
      </c>
      <c r="H25">
        <f t="shared" si="0"/>
        <v>-1396.0499999999993</v>
      </c>
      <c r="I25">
        <f t="shared" si="1"/>
        <v>0</v>
      </c>
      <c r="J25">
        <f t="shared" si="2"/>
        <v>50</v>
      </c>
    </row>
    <row r="26" spans="1:10" x14ac:dyDescent="0.2">
      <c r="A26" t="s">
        <v>29</v>
      </c>
      <c r="B26">
        <v>17360.099999999999</v>
      </c>
      <c r="C26">
        <v>17799.95</v>
      </c>
      <c r="D26">
        <v>16828.349999999999</v>
      </c>
      <c r="E26">
        <v>17359.75</v>
      </c>
      <c r="F26">
        <v>18700</v>
      </c>
      <c r="G26">
        <v>20</v>
      </c>
      <c r="H26">
        <f t="shared" si="0"/>
        <v>-1340.25</v>
      </c>
      <c r="I26">
        <f t="shared" si="1"/>
        <v>0</v>
      </c>
      <c r="J26">
        <f t="shared" si="2"/>
        <v>20</v>
      </c>
    </row>
    <row r="27" spans="1:10" x14ac:dyDescent="0.2">
      <c r="A27" t="s">
        <v>30</v>
      </c>
      <c r="B27">
        <v>17427.95</v>
      </c>
      <c r="C27">
        <v>18089.150000000001</v>
      </c>
      <c r="D27">
        <v>17312.75</v>
      </c>
      <c r="E27">
        <v>18065</v>
      </c>
      <c r="F27">
        <v>18700</v>
      </c>
      <c r="G27">
        <v>20</v>
      </c>
      <c r="H27">
        <f t="shared" si="0"/>
        <v>-635</v>
      </c>
      <c r="I27">
        <f t="shared" si="1"/>
        <v>0</v>
      </c>
      <c r="J27">
        <f t="shared" si="2"/>
        <v>20</v>
      </c>
    </row>
    <row r="28" spans="1:10" x14ac:dyDescent="0.2">
      <c r="A28" t="s">
        <v>31</v>
      </c>
      <c r="B28">
        <v>18124.8</v>
      </c>
      <c r="C28">
        <v>18662.45</v>
      </c>
      <c r="D28">
        <v>18042.400000000001</v>
      </c>
      <c r="E28">
        <v>18534.400000000001</v>
      </c>
      <c r="F28">
        <v>18700</v>
      </c>
      <c r="G28">
        <v>100</v>
      </c>
      <c r="H28">
        <f t="shared" si="0"/>
        <v>-165.59999999999854</v>
      </c>
      <c r="I28">
        <f t="shared" si="1"/>
        <v>0</v>
      </c>
      <c r="J28">
        <f t="shared" si="2"/>
        <v>100</v>
      </c>
    </row>
    <row r="29" spans="1:10" x14ac:dyDescent="0.2">
      <c r="A29" t="s">
        <v>32</v>
      </c>
      <c r="B29">
        <v>18579.400000000001</v>
      </c>
      <c r="C29">
        <v>19201.7</v>
      </c>
      <c r="D29">
        <v>18464.55</v>
      </c>
      <c r="E29">
        <v>19189.05</v>
      </c>
      <c r="F29">
        <v>18700</v>
      </c>
      <c r="G29">
        <v>250</v>
      </c>
      <c r="H29">
        <f t="shared" si="0"/>
        <v>489.04999999999927</v>
      </c>
      <c r="I29">
        <f t="shared" si="1"/>
        <v>489.04999999999927</v>
      </c>
      <c r="J29">
        <f t="shared" si="2"/>
        <v>-239.04999999999927</v>
      </c>
    </row>
    <row r="30" spans="1:10" x14ac:dyDescent="0.2">
      <c r="A30" t="s">
        <v>33</v>
      </c>
      <c r="B30">
        <v>19246.5</v>
      </c>
      <c r="C30">
        <v>19991.849999999999</v>
      </c>
      <c r="D30">
        <v>19234.400000000001</v>
      </c>
      <c r="E30">
        <v>19753.8</v>
      </c>
      <c r="F30">
        <v>19200</v>
      </c>
      <c r="G30">
        <v>300</v>
      </c>
      <c r="H30">
        <f t="shared" si="0"/>
        <v>553.79999999999927</v>
      </c>
      <c r="I30">
        <f t="shared" si="1"/>
        <v>553.79999999999927</v>
      </c>
      <c r="J30">
        <f t="shared" si="2"/>
        <v>-253.79999999999927</v>
      </c>
    </row>
    <row r="31" spans="1:10" x14ac:dyDescent="0.2">
      <c r="A31" t="s">
        <v>34</v>
      </c>
      <c r="B31">
        <v>19784</v>
      </c>
      <c r="C31">
        <v>19795.599999999999</v>
      </c>
      <c r="D31">
        <v>19223.650000000001</v>
      </c>
      <c r="E31">
        <v>19253.8</v>
      </c>
      <c r="F31">
        <v>19700</v>
      </c>
      <c r="G31">
        <v>300</v>
      </c>
      <c r="H31">
        <f t="shared" si="0"/>
        <v>-446.20000000000073</v>
      </c>
      <c r="I31">
        <f t="shared" si="1"/>
        <v>0</v>
      </c>
      <c r="J31">
        <f t="shared" si="2"/>
        <v>300</v>
      </c>
    </row>
    <row r="32" spans="1:10" x14ac:dyDescent="0.2">
      <c r="A32" t="s">
        <v>35</v>
      </c>
      <c r="B32">
        <v>19258.150000000001</v>
      </c>
      <c r="C32">
        <v>20222.45</v>
      </c>
      <c r="D32">
        <v>19255.7</v>
      </c>
      <c r="E32">
        <v>19638.3</v>
      </c>
      <c r="F32">
        <v>19700</v>
      </c>
      <c r="G32">
        <v>100</v>
      </c>
      <c r="H32">
        <f t="shared" si="0"/>
        <v>-61.700000000000728</v>
      </c>
      <c r="I32">
        <f t="shared" si="1"/>
        <v>0</v>
      </c>
      <c r="J32">
        <f t="shared" si="2"/>
        <v>100</v>
      </c>
    </row>
    <row r="33" spans="1:10" x14ac:dyDescent="0.2">
      <c r="A33" t="s">
        <v>36</v>
      </c>
      <c r="B33">
        <v>19622.400000000001</v>
      </c>
      <c r="C33">
        <v>19849.75</v>
      </c>
      <c r="D33">
        <v>18837.849999999999</v>
      </c>
      <c r="E33">
        <v>19079.599999999999</v>
      </c>
      <c r="F33">
        <v>19700</v>
      </c>
      <c r="G33">
        <v>250</v>
      </c>
      <c r="H33">
        <f t="shared" si="0"/>
        <v>-620.40000000000146</v>
      </c>
      <c r="I33">
        <f t="shared" si="1"/>
        <v>0</v>
      </c>
      <c r="J33">
        <f t="shared" si="2"/>
        <v>250</v>
      </c>
    </row>
    <row r="34" spans="1:10" x14ac:dyDescent="0.2">
      <c r="A34" t="s">
        <v>37</v>
      </c>
      <c r="B34">
        <v>19064.05</v>
      </c>
      <c r="C34">
        <v>19875.25</v>
      </c>
      <c r="D34">
        <v>18973.7</v>
      </c>
      <c r="E34">
        <v>19693.650000000001</v>
      </c>
      <c r="F34">
        <v>19700</v>
      </c>
      <c r="G34">
        <v>75</v>
      </c>
      <c r="H34">
        <f t="shared" si="0"/>
        <v>-6.3499999999985448</v>
      </c>
      <c r="I34">
        <f t="shared" si="1"/>
        <v>0</v>
      </c>
      <c r="J34">
        <f t="shared" si="2"/>
        <v>75</v>
      </c>
    </row>
    <row r="35" spans="1:10" x14ac:dyDescent="0.2">
      <c r="I35" t="s">
        <v>54</v>
      </c>
      <c r="J35">
        <f>SUM(J2:J34)</f>
        <v>672.95000000000073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F05-857F-D144-A5F2-62CC0F37C9AB}">
  <dimension ref="A1:F38"/>
  <sheetViews>
    <sheetView workbookViewId="0">
      <selection sqref="A1:D1048576"/>
    </sheetView>
  </sheetViews>
  <sheetFormatPr baseColWidth="10" defaultRowHeight="16" x14ac:dyDescent="0.2"/>
  <cols>
    <col min="1" max="1" width="14.83203125" customWidth="1"/>
  </cols>
  <sheetData>
    <row r="1" spans="1:6" x14ac:dyDescent="0.2">
      <c r="A1" t="s">
        <v>88</v>
      </c>
      <c r="B1" t="s">
        <v>89</v>
      </c>
      <c r="C1" t="s">
        <v>92</v>
      </c>
      <c r="D1" t="s">
        <v>99</v>
      </c>
      <c r="F1" t="s">
        <v>100</v>
      </c>
    </row>
    <row r="2" spans="1:6" x14ac:dyDescent="0.2">
      <c r="A2" t="s">
        <v>55</v>
      </c>
      <c r="B2">
        <v>15097.35</v>
      </c>
      <c r="C2">
        <v>14324.9</v>
      </c>
      <c r="D2">
        <f>C2-B2</f>
        <v>-772.45000000000073</v>
      </c>
      <c r="F2">
        <v>-1074.8999999999996</v>
      </c>
    </row>
    <row r="3" spans="1:6" x14ac:dyDescent="0.2">
      <c r="A3" t="s">
        <v>56</v>
      </c>
      <c r="B3">
        <v>14324.9</v>
      </c>
      <c r="C3">
        <v>14894.9</v>
      </c>
      <c r="D3">
        <f t="shared" ref="D3:D38" si="0">C3-B3</f>
        <v>570</v>
      </c>
      <c r="F3">
        <v>-862.20000000000073</v>
      </c>
    </row>
    <row r="4" spans="1:6" x14ac:dyDescent="0.2">
      <c r="A4" t="s">
        <v>57</v>
      </c>
      <c r="B4">
        <v>14894.9</v>
      </c>
      <c r="C4">
        <v>15337.85</v>
      </c>
      <c r="D4">
        <f t="shared" si="0"/>
        <v>442.95000000000073</v>
      </c>
      <c r="F4">
        <v>-772.45000000000073</v>
      </c>
    </row>
    <row r="5" spans="1:6" x14ac:dyDescent="0.2">
      <c r="A5" t="s">
        <v>58</v>
      </c>
      <c r="B5">
        <v>15337.85</v>
      </c>
      <c r="C5">
        <v>15790.45</v>
      </c>
      <c r="D5">
        <f t="shared" si="0"/>
        <v>452.60000000000036</v>
      </c>
      <c r="F5">
        <v>-704.35000000000218</v>
      </c>
    </row>
    <row r="6" spans="1:6" x14ac:dyDescent="0.2">
      <c r="A6" t="s">
        <v>59</v>
      </c>
      <c r="B6">
        <v>15790.45</v>
      </c>
      <c r="C6">
        <v>15778.45</v>
      </c>
      <c r="D6">
        <f t="shared" si="0"/>
        <v>-12</v>
      </c>
      <c r="F6">
        <v>-666.29999999999927</v>
      </c>
    </row>
    <row r="7" spans="1:6" x14ac:dyDescent="0.2">
      <c r="A7" t="s">
        <v>60</v>
      </c>
      <c r="B7">
        <v>15778.45</v>
      </c>
      <c r="C7">
        <v>16636.900000000001</v>
      </c>
      <c r="D7">
        <f t="shared" si="0"/>
        <v>858.45000000000073</v>
      </c>
      <c r="F7">
        <v>-430.54999999999927</v>
      </c>
    </row>
    <row r="8" spans="1:6" x14ac:dyDescent="0.2">
      <c r="A8" t="s">
        <v>61</v>
      </c>
      <c r="B8">
        <v>16636.900000000001</v>
      </c>
      <c r="C8">
        <v>17618.150000000001</v>
      </c>
      <c r="D8">
        <f t="shared" si="0"/>
        <v>981.25</v>
      </c>
      <c r="F8">
        <v>-426.10000000000218</v>
      </c>
    </row>
    <row r="9" spans="1:6" x14ac:dyDescent="0.2">
      <c r="A9" t="s">
        <v>62</v>
      </c>
      <c r="B9">
        <v>17618.150000000001</v>
      </c>
      <c r="C9">
        <v>17857.25</v>
      </c>
      <c r="D9">
        <f t="shared" si="0"/>
        <v>239.09999999999854</v>
      </c>
      <c r="F9">
        <v>-406.10000000000218</v>
      </c>
    </row>
    <row r="10" spans="1:6" x14ac:dyDescent="0.2">
      <c r="A10" t="s">
        <v>63</v>
      </c>
      <c r="B10">
        <v>17857.25</v>
      </c>
      <c r="C10">
        <v>17536.25</v>
      </c>
      <c r="D10">
        <f t="shared" si="0"/>
        <v>-321</v>
      </c>
      <c r="F10">
        <v>-389.89999999999964</v>
      </c>
    </row>
    <row r="11" spans="1:6" x14ac:dyDescent="0.2">
      <c r="A11" t="s">
        <v>64</v>
      </c>
      <c r="B11">
        <v>17536.25</v>
      </c>
      <c r="C11">
        <v>17203.95</v>
      </c>
      <c r="D11">
        <f t="shared" si="0"/>
        <v>-332.29999999999927</v>
      </c>
      <c r="F11">
        <v>-380.70000000000073</v>
      </c>
    </row>
    <row r="12" spans="1:6" x14ac:dyDescent="0.2">
      <c r="A12" t="s">
        <v>65</v>
      </c>
      <c r="B12">
        <v>17203.95</v>
      </c>
      <c r="C12">
        <v>17110.150000000001</v>
      </c>
      <c r="D12">
        <f t="shared" si="0"/>
        <v>-93.799999999999272</v>
      </c>
      <c r="F12">
        <v>-332.29999999999927</v>
      </c>
    </row>
    <row r="13" spans="1:6" x14ac:dyDescent="0.2">
      <c r="A13" t="s">
        <v>66</v>
      </c>
      <c r="B13">
        <v>17110.150000000001</v>
      </c>
      <c r="C13">
        <v>16247.95</v>
      </c>
      <c r="D13">
        <f t="shared" si="0"/>
        <v>-862.20000000000073</v>
      </c>
      <c r="F13">
        <v>-321</v>
      </c>
    </row>
    <row r="14" spans="1:6" x14ac:dyDescent="0.2">
      <c r="A14" t="s">
        <v>67</v>
      </c>
      <c r="B14">
        <v>16247.95</v>
      </c>
      <c r="C14">
        <v>17222.75</v>
      </c>
      <c r="D14">
        <f t="shared" si="0"/>
        <v>974.79999999999927</v>
      </c>
      <c r="F14">
        <v>-299.04999999999927</v>
      </c>
    </row>
    <row r="15" spans="1:6" x14ac:dyDescent="0.2">
      <c r="A15" t="s">
        <v>68</v>
      </c>
      <c r="B15">
        <v>17222.75</v>
      </c>
      <c r="C15">
        <v>17245.05</v>
      </c>
      <c r="D15">
        <f t="shared" si="0"/>
        <v>22.299999999999272</v>
      </c>
      <c r="F15">
        <v>-293.09999999999854</v>
      </c>
    </row>
    <row r="16" spans="1:6" x14ac:dyDescent="0.2">
      <c r="A16" t="s">
        <v>69</v>
      </c>
      <c r="B16">
        <v>17245.05</v>
      </c>
      <c r="C16">
        <v>16170.15</v>
      </c>
      <c r="D16">
        <f t="shared" si="0"/>
        <v>-1074.8999999999996</v>
      </c>
      <c r="F16">
        <v>-93.799999999999272</v>
      </c>
    </row>
    <row r="17" spans="1:6" x14ac:dyDescent="0.2">
      <c r="A17" t="s">
        <v>70</v>
      </c>
      <c r="B17">
        <v>16170.15</v>
      </c>
      <c r="C17">
        <v>15780.25</v>
      </c>
      <c r="D17">
        <f t="shared" si="0"/>
        <v>-389.89999999999964</v>
      </c>
      <c r="F17">
        <v>-12</v>
      </c>
    </row>
    <row r="18" spans="1:6" x14ac:dyDescent="0.2">
      <c r="A18" t="s">
        <v>71</v>
      </c>
      <c r="B18">
        <v>15780.25</v>
      </c>
      <c r="C18">
        <v>16929.599999999999</v>
      </c>
      <c r="D18">
        <f t="shared" si="0"/>
        <v>1149.3499999999985</v>
      </c>
      <c r="F18">
        <v>22.299999999999272</v>
      </c>
    </row>
    <row r="19" spans="1:6" x14ac:dyDescent="0.2">
      <c r="A19" t="s">
        <v>72</v>
      </c>
      <c r="B19">
        <v>16929.599999999999</v>
      </c>
      <c r="C19">
        <v>17522.45</v>
      </c>
      <c r="D19">
        <f t="shared" si="0"/>
        <v>592.85000000000218</v>
      </c>
      <c r="F19">
        <v>239.09999999999854</v>
      </c>
    </row>
    <row r="20" spans="1:6" x14ac:dyDescent="0.2">
      <c r="A20" t="s">
        <v>73</v>
      </c>
      <c r="B20">
        <v>17522.45</v>
      </c>
      <c r="C20">
        <v>16818.099999999999</v>
      </c>
      <c r="D20">
        <f t="shared" si="0"/>
        <v>-704.35000000000218</v>
      </c>
      <c r="F20">
        <v>269.75</v>
      </c>
    </row>
    <row r="21" spans="1:6" x14ac:dyDescent="0.2">
      <c r="A21" t="s">
        <v>74</v>
      </c>
      <c r="B21">
        <v>16818.099999999999</v>
      </c>
      <c r="C21">
        <v>17736.95</v>
      </c>
      <c r="D21">
        <f t="shared" si="0"/>
        <v>918.85000000000218</v>
      </c>
      <c r="F21">
        <v>344.10000000000218</v>
      </c>
    </row>
    <row r="22" spans="1:6" x14ac:dyDescent="0.2">
      <c r="A22" t="s">
        <v>75</v>
      </c>
      <c r="B22">
        <v>17736.95</v>
      </c>
      <c r="C22">
        <v>18484.099999999999</v>
      </c>
      <c r="D22">
        <f t="shared" si="0"/>
        <v>747.14999999999782</v>
      </c>
      <c r="F22">
        <v>406.10000000000218</v>
      </c>
    </row>
    <row r="23" spans="1:6" x14ac:dyDescent="0.2">
      <c r="A23" t="s">
        <v>76</v>
      </c>
      <c r="B23">
        <v>18484.099999999999</v>
      </c>
      <c r="C23">
        <v>18191</v>
      </c>
      <c r="D23">
        <f t="shared" si="0"/>
        <v>-293.09999999999854</v>
      </c>
      <c r="F23">
        <v>442.95000000000073</v>
      </c>
    </row>
    <row r="24" spans="1:6" x14ac:dyDescent="0.2">
      <c r="A24" t="s">
        <v>77</v>
      </c>
      <c r="B24">
        <v>18191</v>
      </c>
      <c r="C24">
        <v>17891.95</v>
      </c>
      <c r="D24">
        <f t="shared" si="0"/>
        <v>-299.04999999999927</v>
      </c>
      <c r="F24">
        <v>452.60000000000036</v>
      </c>
    </row>
    <row r="25" spans="1:6" x14ac:dyDescent="0.2">
      <c r="A25" t="s">
        <v>78</v>
      </c>
      <c r="B25">
        <v>17891.95</v>
      </c>
      <c r="C25">
        <v>17511.25</v>
      </c>
      <c r="D25">
        <f t="shared" si="0"/>
        <v>-380.70000000000073</v>
      </c>
      <c r="F25">
        <v>570</v>
      </c>
    </row>
    <row r="26" spans="1:6" x14ac:dyDescent="0.2">
      <c r="A26" t="s">
        <v>79</v>
      </c>
      <c r="B26">
        <v>17511.25</v>
      </c>
      <c r="C26">
        <v>17080.7</v>
      </c>
      <c r="D26">
        <f t="shared" si="0"/>
        <v>-430.54999999999927</v>
      </c>
      <c r="F26">
        <v>592.85000000000218</v>
      </c>
    </row>
    <row r="27" spans="1:6" x14ac:dyDescent="0.2">
      <c r="A27" t="s">
        <v>80</v>
      </c>
      <c r="B27">
        <v>17080.7</v>
      </c>
      <c r="C27">
        <v>17915.05</v>
      </c>
      <c r="D27">
        <f t="shared" si="0"/>
        <v>834.34999999999854</v>
      </c>
      <c r="F27">
        <v>630.20000000000073</v>
      </c>
    </row>
    <row r="28" spans="1:6" x14ac:dyDescent="0.2">
      <c r="A28" t="s">
        <v>81</v>
      </c>
      <c r="B28">
        <v>17915.05</v>
      </c>
      <c r="C28">
        <v>18321.150000000001</v>
      </c>
      <c r="D28">
        <f t="shared" si="0"/>
        <v>406.10000000000218</v>
      </c>
      <c r="F28">
        <v>650.94999999999709</v>
      </c>
    </row>
    <row r="29" spans="1:6" x14ac:dyDescent="0.2">
      <c r="A29" t="s">
        <v>82</v>
      </c>
      <c r="B29">
        <v>18321.150000000001</v>
      </c>
      <c r="C29">
        <v>18972.099999999999</v>
      </c>
      <c r="D29">
        <f t="shared" si="0"/>
        <v>650.94999999999709</v>
      </c>
      <c r="F29">
        <v>687.80000000000291</v>
      </c>
    </row>
    <row r="30" spans="1:6" x14ac:dyDescent="0.2">
      <c r="A30" t="s">
        <v>83</v>
      </c>
      <c r="B30">
        <v>18972.099999999999</v>
      </c>
      <c r="C30">
        <v>19659.900000000001</v>
      </c>
      <c r="D30">
        <f t="shared" si="0"/>
        <v>687.80000000000291</v>
      </c>
      <c r="F30">
        <v>747.14999999999782</v>
      </c>
    </row>
    <row r="31" spans="1:6" x14ac:dyDescent="0.2">
      <c r="A31" t="s">
        <v>84</v>
      </c>
      <c r="B31">
        <v>19659.900000000001</v>
      </c>
      <c r="C31">
        <v>19253.8</v>
      </c>
      <c r="D31">
        <f t="shared" si="0"/>
        <v>-406.10000000000218</v>
      </c>
      <c r="F31">
        <v>834.34999999999854</v>
      </c>
    </row>
    <row r="32" spans="1:6" x14ac:dyDescent="0.2">
      <c r="A32" t="s">
        <v>85</v>
      </c>
      <c r="B32">
        <v>19253.8</v>
      </c>
      <c r="C32">
        <v>19523.55</v>
      </c>
      <c r="D32">
        <f t="shared" si="0"/>
        <v>269.75</v>
      </c>
      <c r="F32">
        <v>858.45000000000073</v>
      </c>
    </row>
    <row r="33" spans="1:6" x14ac:dyDescent="0.2">
      <c r="A33" t="s">
        <v>86</v>
      </c>
      <c r="B33">
        <v>19523.55</v>
      </c>
      <c r="C33">
        <v>18857.25</v>
      </c>
      <c r="D33">
        <f t="shared" si="0"/>
        <v>-666.29999999999927</v>
      </c>
      <c r="F33">
        <v>918.85000000000218</v>
      </c>
    </row>
    <row r="34" spans="1:6" x14ac:dyDescent="0.2">
      <c r="A34" t="s">
        <v>101</v>
      </c>
      <c r="B34">
        <v>18857.25</v>
      </c>
      <c r="C34">
        <v>20133.150000000001</v>
      </c>
      <c r="D34">
        <f t="shared" si="0"/>
        <v>1275.9000000000015</v>
      </c>
      <c r="F34">
        <v>974.79999999999927</v>
      </c>
    </row>
    <row r="35" spans="1:6" x14ac:dyDescent="0.2">
      <c r="A35" t="s">
        <v>102</v>
      </c>
      <c r="B35">
        <v>20133.150000000001</v>
      </c>
      <c r="C35">
        <v>21778.7</v>
      </c>
      <c r="D35">
        <f t="shared" si="0"/>
        <v>1645.5499999999993</v>
      </c>
      <c r="F35">
        <v>981.25</v>
      </c>
    </row>
    <row r="36" spans="1:6" x14ac:dyDescent="0.2">
      <c r="A36" t="s">
        <v>103</v>
      </c>
      <c r="B36">
        <v>21778.7</v>
      </c>
      <c r="C36">
        <v>21352.6</v>
      </c>
      <c r="D36">
        <f t="shared" si="0"/>
        <v>-426.10000000000218</v>
      </c>
      <c r="F36">
        <v>1149.3499999999985</v>
      </c>
    </row>
    <row r="37" spans="1:6" x14ac:dyDescent="0.2">
      <c r="A37" t="s">
        <v>104</v>
      </c>
      <c r="B37">
        <v>21352.6</v>
      </c>
      <c r="C37">
        <v>21982.799999999999</v>
      </c>
      <c r="D37">
        <f t="shared" si="0"/>
        <v>630.20000000000073</v>
      </c>
      <c r="F37">
        <v>1275.9000000000015</v>
      </c>
    </row>
    <row r="38" spans="1:6" x14ac:dyDescent="0.2">
      <c r="A38" t="s">
        <v>105</v>
      </c>
      <c r="B38">
        <v>21982.799999999999</v>
      </c>
      <c r="C38">
        <v>22326.9</v>
      </c>
      <c r="D38">
        <f t="shared" si="0"/>
        <v>344.10000000000218</v>
      </c>
      <c r="F38">
        <v>1645.5499999999993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8634-9262-464A-A186-58DAA03B4997}">
  <dimension ref="A1:A34"/>
  <sheetViews>
    <sheetView workbookViewId="0">
      <selection activeCell="U25" sqref="U25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-1074.8999999999996</v>
      </c>
    </row>
    <row r="3" spans="1:1" x14ac:dyDescent="0.2">
      <c r="A3">
        <v>-862.20000000000073</v>
      </c>
    </row>
    <row r="4" spans="1:1" x14ac:dyDescent="0.2">
      <c r="A4">
        <v>-772.45000000000073</v>
      </c>
    </row>
    <row r="5" spans="1:1" x14ac:dyDescent="0.2">
      <c r="A5">
        <v>-704.35000000000218</v>
      </c>
    </row>
    <row r="6" spans="1:1" x14ac:dyDescent="0.2">
      <c r="A6">
        <v>-666.29999999999927</v>
      </c>
    </row>
    <row r="7" spans="1:1" x14ac:dyDescent="0.2">
      <c r="A7">
        <v>-430.54999999999927</v>
      </c>
    </row>
    <row r="8" spans="1:1" x14ac:dyDescent="0.2">
      <c r="A8">
        <v>-406.10000000000218</v>
      </c>
    </row>
    <row r="9" spans="1:1" x14ac:dyDescent="0.2">
      <c r="A9">
        <v>-389.89999999999964</v>
      </c>
    </row>
    <row r="10" spans="1:1" x14ac:dyDescent="0.2">
      <c r="A10">
        <v>-380.70000000000073</v>
      </c>
    </row>
    <row r="11" spans="1:1" x14ac:dyDescent="0.2">
      <c r="A11">
        <v>-332.29999999999927</v>
      </c>
    </row>
    <row r="12" spans="1:1" x14ac:dyDescent="0.2">
      <c r="A12">
        <v>-321</v>
      </c>
    </row>
    <row r="13" spans="1:1" x14ac:dyDescent="0.2">
      <c r="A13">
        <v>-299.04999999999927</v>
      </c>
    </row>
    <row r="14" spans="1:1" x14ac:dyDescent="0.2">
      <c r="A14">
        <v>-293.09999999999854</v>
      </c>
    </row>
    <row r="15" spans="1:1" x14ac:dyDescent="0.2">
      <c r="A15">
        <v>-93.799999999999272</v>
      </c>
    </row>
    <row r="16" spans="1:1" x14ac:dyDescent="0.2">
      <c r="A16">
        <v>-12</v>
      </c>
    </row>
    <row r="17" spans="1:1" x14ac:dyDescent="0.2">
      <c r="A17">
        <v>22.299999999999272</v>
      </c>
    </row>
    <row r="18" spans="1:1" x14ac:dyDescent="0.2">
      <c r="A18">
        <v>239.09999999999854</v>
      </c>
    </row>
    <row r="19" spans="1:1" x14ac:dyDescent="0.2">
      <c r="A19">
        <v>269.75</v>
      </c>
    </row>
    <row r="20" spans="1:1" x14ac:dyDescent="0.2">
      <c r="A20">
        <v>406.10000000000218</v>
      </c>
    </row>
    <row r="21" spans="1:1" x14ac:dyDescent="0.2">
      <c r="A21">
        <v>442.95000000000073</v>
      </c>
    </row>
    <row r="22" spans="1:1" x14ac:dyDescent="0.2">
      <c r="A22">
        <v>452.60000000000036</v>
      </c>
    </row>
    <row r="23" spans="1:1" x14ac:dyDescent="0.2">
      <c r="A23">
        <v>570</v>
      </c>
    </row>
    <row r="24" spans="1:1" x14ac:dyDescent="0.2">
      <c r="A24">
        <v>592.85000000000218</v>
      </c>
    </row>
    <row r="25" spans="1:1" x14ac:dyDescent="0.2">
      <c r="A25">
        <v>650.94999999999709</v>
      </c>
    </row>
    <row r="26" spans="1:1" x14ac:dyDescent="0.2">
      <c r="A26">
        <v>687.80000000000291</v>
      </c>
    </row>
    <row r="27" spans="1:1" x14ac:dyDescent="0.2">
      <c r="A27">
        <v>747.14999999999782</v>
      </c>
    </row>
    <row r="28" spans="1:1" x14ac:dyDescent="0.2">
      <c r="A28">
        <v>834.34999999999854</v>
      </c>
    </row>
    <row r="29" spans="1:1" x14ac:dyDescent="0.2">
      <c r="A29">
        <v>858.45000000000073</v>
      </c>
    </row>
    <row r="30" spans="1:1" x14ac:dyDescent="0.2">
      <c r="A30">
        <v>918.85000000000218</v>
      </c>
    </row>
    <row r="31" spans="1:1" x14ac:dyDescent="0.2">
      <c r="A31">
        <v>937.45000000000073</v>
      </c>
    </row>
    <row r="32" spans="1:1" x14ac:dyDescent="0.2">
      <c r="A32">
        <v>974.79999999999927</v>
      </c>
    </row>
    <row r="33" spans="1:1" x14ac:dyDescent="0.2">
      <c r="A33">
        <v>981.25</v>
      </c>
    </row>
    <row r="34" spans="1:1" x14ac:dyDescent="0.2">
      <c r="A34">
        <v>1149.3499999999985</v>
      </c>
    </row>
  </sheetData>
  <autoFilter ref="A1:A36" xr:uid="{573F8634-9262-464A-A186-58DAA03B4997}">
    <sortState xmlns:xlrd2="http://schemas.microsoft.com/office/spreadsheetml/2017/richdata2" ref="A2:A36">
      <sortCondition ref="A1:A3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 expiry to expiry</vt:lpstr>
      <vt:lpstr>P-bfly+Call</vt:lpstr>
      <vt:lpstr>month expiry - always ATM</vt:lpstr>
      <vt:lpstr>month expiry to expiry - 300otm</vt:lpstr>
      <vt:lpstr>calendar month</vt:lpstr>
      <vt:lpstr>close to close</vt:lpstr>
      <vt:lpstr>open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2023-11-20T15:54:37Z</dcterms:created>
  <dcterms:modified xsi:type="dcterms:W3CDTF">2024-04-01T07:19:17Z</dcterms:modified>
</cp:coreProperties>
</file>