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2031AA53-098F-1946-9CFF-3057708AE2C9}" xr6:coauthVersionLast="47" xr6:coauthVersionMax="47" xr10:uidLastSave="{00000000-0000-0000-0000-000000000000}"/>
  <bookViews>
    <workbookView xWindow="0" yWindow="760" windowWidth="34560" windowHeight="2020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Sheet1" sheetId="39" r:id="rId5"/>
    <sheet name="Crypto" sheetId="33" r:id="rId6"/>
    <sheet name="Agreement" sheetId="32" r:id="rId7"/>
    <sheet name="Debt funds" sheetId="37" r:id="rId8"/>
    <sheet name="covered call" sheetId="41" r:id="rId9"/>
    <sheet name="covered call-old" sheetId="12" r:id="rId10"/>
    <sheet name="P-bfly+Call" sheetId="19" r:id="rId11"/>
    <sheet name="All Weekly Fly" sheetId="16" r:id="rId12"/>
    <sheet name="Nifty Daily Range" sheetId="23" r:id="rId13"/>
    <sheet name="NF Weekly Range" sheetId="34" r:id="rId14"/>
    <sheet name="BNF Daily Range" sheetId="24" r:id="rId15"/>
    <sheet name="NF Weekly Fly" sheetId="28" r:id="rId16"/>
    <sheet name="month wise 2023-24" sheetId="5" r:id="rId17"/>
    <sheet name="laptops" sheetId="9" r:id="rId18"/>
    <sheet name="Sheet7" sheetId="13" r:id="rId19"/>
    <sheet name="Sheet6" sheetId="36" r:id="rId20"/>
    <sheet name="graphs 2023-24" sheetId="7" r:id="rId21"/>
    <sheet name="graphs 2024-25" sheetId="18" r:id="rId22"/>
  </sheets>
  <definedNames>
    <definedName name="_xlnm._FilterDatabase" localSheetId="8" hidden="1">'covered call'!$A$1:$AD$8</definedName>
    <definedName name="_xlnm._FilterDatabase" localSheetId="9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7" hidden="1">laptops!$A$1:$J$24</definedName>
    <definedName name="_xlnm._FilterDatabase" localSheetId="12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41" l="1"/>
  <c r="D17" i="41"/>
  <c r="D16" i="41"/>
  <c r="P11" i="41"/>
  <c r="N2" i="41"/>
  <c r="J17" i="41"/>
  <c r="R19" i="32"/>
  <c r="U26" i="32"/>
  <c r="U27" i="32" s="1"/>
  <c r="U20" i="32"/>
  <c r="U21" i="32" s="1"/>
  <c r="AA9" i="32"/>
  <c r="AA10" i="32" s="1"/>
  <c r="AA13" i="32" s="1"/>
  <c r="AA14" i="32" s="1"/>
  <c r="AA4" i="32"/>
  <c r="AA17" i="32" s="1"/>
  <c r="AA3" i="32"/>
  <c r="AA6" i="32" s="1"/>
  <c r="X14" i="32"/>
  <c r="X15" i="32" s="1"/>
  <c r="X8" i="32"/>
  <c r="X9" i="32" s="1"/>
  <c r="U14" i="32"/>
  <c r="U15" i="32" s="1"/>
  <c r="U8" i="32"/>
  <c r="U9" i="32" s="1"/>
  <c r="N7" i="32"/>
  <c r="L17" i="4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E54" i="17"/>
  <c r="BD54" i="17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E39" i="17"/>
  <c r="BD39" i="17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U49" i="17"/>
  <c r="AT49" i="17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B60" i="1"/>
  <c r="B61" i="1"/>
  <c r="B62" i="1"/>
  <c r="B63" i="1"/>
  <c r="B64" i="1"/>
  <c r="B65" i="1"/>
  <c r="B66" i="1"/>
  <c r="B67" i="1"/>
  <c r="B68" i="1"/>
  <c r="B69" i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AA15" i="32" l="1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W39" i="17"/>
  <c r="AS5" i="17"/>
  <c r="AT2" i="17"/>
  <c r="AU2" i="17" s="1"/>
  <c r="AR62" i="17"/>
  <c r="L6" i="41"/>
  <c r="O2" i="41"/>
  <c r="P14" i="41"/>
  <c r="L3" i="41"/>
  <c r="M2" i="41" s="1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P2" i="41" l="1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<sst xmlns="http://schemas.openxmlformats.org/spreadsheetml/2006/main" count="3008" uniqueCount="1258">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</sst>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8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571500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T90"/>
  <sheetViews>
    <sheetView workbookViewId="0">
      <selection activeCell="U25" sqref="U25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3" max="23" width="11.83203125" customWidth="1"/>
  </cols>
  <sheetData>
    <row r="1" spans="1:20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</row>
    <row r="2" spans="1:20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</row>
    <row r="3" spans="1:20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</row>
    <row r="4" spans="1:20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</row>
    <row r="5" spans="1:20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</row>
    <row r="6" spans="1:20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</row>
    <row r="7" spans="1:20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</row>
    <row r="8" spans="1:20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</row>
    <row r="9" spans="1:20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</row>
    <row r="11" spans="1:20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</row>
    <row r="12" spans="1:20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</row>
    <row r="13" spans="1:20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</row>
    <row r="14" spans="1:20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</row>
    <row r="15" spans="1:20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</row>
    <row r="16" spans="1:20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</row>
    <row r="17" spans="1:20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</row>
    <row r="18" spans="1:20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</row>
    <row r="19" spans="1:20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</row>
    <row r="20" spans="1:20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</row>
    <row r="21" spans="1:20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</row>
    <row r="23" spans="1:20" x14ac:dyDescent="0.2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</row>
    <row r="24" spans="1:20" ht="18" x14ac:dyDescent="0.2">
      <c r="E24" s="1"/>
    </row>
    <row r="25" spans="1:20" x14ac:dyDescent="0.2">
      <c r="A25" t="s">
        <v>893</v>
      </c>
    </row>
    <row r="26" spans="1:20" x14ac:dyDescent="0.2">
      <c r="A26" t="s">
        <v>929</v>
      </c>
      <c r="Q26" s="6"/>
      <c r="S26" s="2"/>
    </row>
    <row r="27" spans="1:20" x14ac:dyDescent="0.2">
      <c r="P27" s="7"/>
    </row>
    <row r="28" spans="1:20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0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0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0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0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2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2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2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2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2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2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2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2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L56" s="12"/>
    </row>
    <row r="57" spans="1:12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L57" s="12"/>
    </row>
    <row r="58" spans="1:12" x14ac:dyDescent="0.2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L58" s="12"/>
    </row>
    <row r="59" spans="1:12" x14ac:dyDescent="0.2">
      <c r="B59">
        <f t="shared" ref="B59:B69" si="4">SUM(C59:H59)</f>
        <v>12244759.396</v>
      </c>
      <c r="C59" s="12">
        <v>1000350</v>
      </c>
      <c r="D59" s="12">
        <v>0</v>
      </c>
      <c r="E59" s="12">
        <v>0</v>
      </c>
      <c r="F59" s="12">
        <v>3530497.6170000001</v>
      </c>
      <c r="G59" s="12">
        <v>5179527.017</v>
      </c>
      <c r="H59" s="12">
        <v>2534384.7620000001</v>
      </c>
      <c r="I59" s="3">
        <f t="shared" si="2"/>
        <v>-13.994198741972951</v>
      </c>
      <c r="J59">
        <f t="shared" si="3"/>
        <v>638513.30599999987</v>
      </c>
      <c r="L59" s="12"/>
    </row>
    <row r="60" spans="1:12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 t="e">
        <f t="shared" si="2"/>
        <v>#DIV/0!</v>
      </c>
      <c r="J60">
        <f t="shared" si="3"/>
        <v>0</v>
      </c>
      <c r="L60" s="12"/>
    </row>
    <row r="61" spans="1:12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L61" s="12"/>
    </row>
    <row r="62" spans="1:12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2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2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D1" workbookViewId="0">
      <selection activeCell="AV20" sqref="AV2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9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9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9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9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9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49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9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9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9"/>
      <c r="X3" s="17">
        <f t="shared" ref="X3:X4" si="2">W3*100/X$1</f>
        <v>0</v>
      </c>
      <c r="AA3" t="s">
        <v>22</v>
      </c>
      <c r="AB3">
        <v>70000</v>
      </c>
      <c r="AG3" s="49"/>
      <c r="AH3">
        <v>32543</v>
      </c>
      <c r="AI3" s="17">
        <f>AH3*100/AI$1</f>
        <v>0.15496666666666667</v>
      </c>
      <c r="AL3" t="s">
        <v>22</v>
      </c>
      <c r="AM3">
        <v>145000</v>
      </c>
      <c r="AQ3" s="49"/>
      <c r="AS3" s="17">
        <f>AR3*100/AS$1</f>
        <v>0</v>
      </c>
      <c r="AV3" t="s">
        <v>22</v>
      </c>
      <c r="AW3">
        <v>83000</v>
      </c>
      <c r="BA3" s="49"/>
      <c r="BC3" s="17">
        <f>BB3*100/BC$1</f>
        <v>0</v>
      </c>
      <c r="BF3" t="s">
        <v>22</v>
      </c>
      <c r="BG3">
        <v>83000</v>
      </c>
    </row>
    <row r="4" spans="2:61" x14ac:dyDescent="0.2">
      <c r="B4" s="49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9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9"/>
      <c r="X4" s="17">
        <f t="shared" si="2"/>
        <v>0</v>
      </c>
      <c r="AA4" t="s">
        <v>26</v>
      </c>
      <c r="AB4">
        <f>W29</f>
        <v>117564</v>
      </c>
      <c r="AG4" s="49"/>
      <c r="AI4" s="17">
        <f t="shared" ref="AI4:AI26" si="3">AH4*100/AI$1</f>
        <v>0</v>
      </c>
      <c r="AL4" t="s">
        <v>26</v>
      </c>
      <c r="AM4">
        <f>AH29</f>
        <v>182871</v>
      </c>
      <c r="AQ4" s="49"/>
      <c r="AS4" s="17">
        <f t="shared" ref="AS4" si="4">AR4*100/AS$1</f>
        <v>0</v>
      </c>
      <c r="AV4" t="s">
        <v>26</v>
      </c>
      <c r="AW4">
        <f>AR29</f>
        <v>108169</v>
      </c>
      <c r="BA4" s="49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9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9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9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9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9"/>
      <c r="AR5">
        <v>-3494</v>
      </c>
      <c r="AS5" s="17">
        <f>AR5*100/AS$1</f>
        <v>-1.6638095238095237E-2</v>
      </c>
      <c r="AV5" t="s">
        <v>178</v>
      </c>
      <c r="AW5">
        <v>0</v>
      </c>
      <c r="BA5" s="49"/>
      <c r="BC5" s="17">
        <f>BB5*100/BC$1</f>
        <v>0</v>
      </c>
      <c r="BF5" t="s">
        <v>178</v>
      </c>
      <c r="BG5">
        <v>0</v>
      </c>
    </row>
    <row r="6" spans="2:61" x14ac:dyDescent="0.2">
      <c r="B6" s="49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9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9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9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9"/>
      <c r="AR6">
        <v>15797</v>
      </c>
      <c r="AS6" s="17">
        <f t="shared" ref="AS6:AS26" si="8">AR6*100/AS$1</f>
        <v>7.5223809523809526E-2</v>
      </c>
      <c r="AV6" t="s">
        <v>23</v>
      </c>
      <c r="AW6">
        <v>61000</v>
      </c>
      <c r="AX6" t="s">
        <v>128</v>
      </c>
      <c r="AY6">
        <f>AW4+AW5+AW6</f>
        <v>169169</v>
      </c>
      <c r="BA6" s="49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61000</v>
      </c>
    </row>
    <row r="7" spans="2:61" x14ac:dyDescent="0.2">
      <c r="B7" s="49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9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9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9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9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446169</v>
      </c>
      <c r="BA7" s="49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338000</v>
      </c>
    </row>
    <row r="8" spans="2:61" x14ac:dyDescent="0.2">
      <c r="B8" s="49"/>
      <c r="C8">
        <v>1135</v>
      </c>
      <c r="D8" s="17">
        <f t="shared" si="0"/>
        <v>5.1126126126126124E-3</v>
      </c>
      <c r="H8" s="3"/>
      <c r="L8" s="49"/>
      <c r="N8" s="17">
        <f t="shared" si="6"/>
        <v>0</v>
      </c>
      <c r="R8" s="3"/>
      <c r="V8" s="49"/>
      <c r="W8">
        <v>2000</v>
      </c>
      <c r="X8" s="17">
        <f t="shared" si="7"/>
        <v>9.0090090090090089E-3</v>
      </c>
      <c r="AB8" s="3"/>
      <c r="AG8" s="49"/>
      <c r="AI8" s="17">
        <f t="shared" si="3"/>
        <v>0</v>
      </c>
      <c r="AM8" s="3"/>
      <c r="AQ8" s="49"/>
      <c r="AS8" s="17">
        <f t="shared" si="8"/>
        <v>0</v>
      </c>
      <c r="AW8" s="3"/>
      <c r="BA8" s="49"/>
      <c r="BC8" s="17">
        <f t="shared" si="9"/>
        <v>0</v>
      </c>
      <c r="BG8" s="3"/>
    </row>
    <row r="9" spans="2:61" x14ac:dyDescent="0.2">
      <c r="B9" s="49"/>
      <c r="C9">
        <v>27760</v>
      </c>
      <c r="D9" s="17">
        <f t="shared" si="0"/>
        <v>0.12504504504504504</v>
      </c>
      <c r="H9" s="10"/>
      <c r="L9" s="49"/>
      <c r="M9">
        <v>25562</v>
      </c>
      <c r="N9" s="17">
        <f t="shared" si="6"/>
        <v>0.11514414414414414</v>
      </c>
      <c r="R9" s="10"/>
      <c r="V9" s="49"/>
      <c r="W9">
        <v>20000</v>
      </c>
      <c r="X9" s="17">
        <f t="shared" si="7"/>
        <v>9.0090090090090086E-2</v>
      </c>
      <c r="AB9" s="10"/>
      <c r="AG9" s="49"/>
      <c r="AH9">
        <v>28330</v>
      </c>
      <c r="AI9" s="17">
        <f t="shared" si="3"/>
        <v>0.13490476190476192</v>
      </c>
      <c r="AM9" s="10"/>
      <c r="AQ9" s="49"/>
      <c r="AS9" s="17">
        <f t="shared" si="8"/>
        <v>0</v>
      </c>
      <c r="AW9" s="10"/>
      <c r="BA9" s="49"/>
      <c r="BC9" s="17">
        <f t="shared" si="9"/>
        <v>0</v>
      </c>
      <c r="BG9" s="10"/>
    </row>
    <row r="10" spans="2:61" x14ac:dyDescent="0.2">
      <c r="B10" s="49"/>
      <c r="D10" s="17">
        <f t="shared" si="0"/>
        <v>0</v>
      </c>
      <c r="L10" s="49"/>
      <c r="N10" s="17">
        <f t="shared" si="6"/>
        <v>0</v>
      </c>
      <c r="V10" s="49"/>
      <c r="W10">
        <v>7300</v>
      </c>
      <c r="X10" s="17">
        <f t="shared" si="7"/>
        <v>3.288288288288288E-2</v>
      </c>
      <c r="AG10" s="49"/>
      <c r="AH10">
        <v>6666</v>
      </c>
      <c r="AI10" s="17">
        <f t="shared" si="3"/>
        <v>3.1742857142857142E-2</v>
      </c>
      <c r="AQ10" s="49"/>
      <c r="AR10">
        <v>33356</v>
      </c>
      <c r="AS10" s="17">
        <f t="shared" si="8"/>
        <v>0.15883809523809525</v>
      </c>
      <c r="BA10" s="49"/>
      <c r="BC10" s="17">
        <f t="shared" si="9"/>
        <v>0</v>
      </c>
    </row>
    <row r="11" spans="2:61" x14ac:dyDescent="0.2">
      <c r="B11" s="49"/>
      <c r="C11">
        <v>-85944</v>
      </c>
      <c r="D11" s="17">
        <f t="shared" si="0"/>
        <v>-0.38713513513513514</v>
      </c>
      <c r="L11" s="49"/>
      <c r="N11" s="17">
        <f t="shared" si="6"/>
        <v>0</v>
      </c>
      <c r="V11" s="49"/>
      <c r="W11">
        <v>-1400</v>
      </c>
      <c r="X11" s="17">
        <f t="shared" si="7"/>
        <v>-6.3063063063063061E-3</v>
      </c>
      <c r="AG11" s="49"/>
      <c r="AH11">
        <v>7917</v>
      </c>
      <c r="AI11" s="17">
        <f t="shared" si="3"/>
        <v>3.7699999999999997E-2</v>
      </c>
      <c r="AQ11" s="49"/>
      <c r="AR11">
        <v>1985</v>
      </c>
      <c r="AS11" s="17">
        <f t="shared" si="8"/>
        <v>9.4523809523809517E-3</v>
      </c>
      <c r="BA11" s="49"/>
      <c r="BC11" s="17">
        <f t="shared" si="9"/>
        <v>0</v>
      </c>
    </row>
    <row r="12" spans="2:61" x14ac:dyDescent="0.2">
      <c r="B12" s="49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9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9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9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9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49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9"/>
      <c r="C13">
        <v>18486</v>
      </c>
      <c r="D13" s="17">
        <f t="shared" si="0"/>
        <v>8.3270270270270272E-2</v>
      </c>
      <c r="L13" s="49"/>
      <c r="M13">
        <v>16088</v>
      </c>
      <c r="N13" s="17">
        <f t="shared" si="6"/>
        <v>7.2468468468468467E-2</v>
      </c>
      <c r="V13" s="49"/>
      <c r="W13">
        <v>1000</v>
      </c>
      <c r="X13" s="17">
        <f t="shared" si="7"/>
        <v>4.5045045045045045E-3</v>
      </c>
      <c r="AG13" s="49"/>
      <c r="AH13">
        <v>5576</v>
      </c>
      <c r="AI13" s="17">
        <f t="shared" si="3"/>
        <v>2.6552380952380952E-2</v>
      </c>
      <c r="AQ13" s="49"/>
      <c r="AS13" s="17">
        <f t="shared" si="8"/>
        <v>0</v>
      </c>
      <c r="BA13" s="49"/>
      <c r="BC13" s="17">
        <f t="shared" si="9"/>
        <v>0</v>
      </c>
    </row>
    <row r="14" spans="2:61" x14ac:dyDescent="0.2">
      <c r="B14" s="49"/>
      <c r="D14" s="17">
        <f t="shared" si="0"/>
        <v>0</v>
      </c>
      <c r="L14" s="49"/>
      <c r="M14">
        <v>4952</v>
      </c>
      <c r="N14" s="17">
        <f t="shared" si="6"/>
        <v>2.2306306306306305E-2</v>
      </c>
      <c r="V14" s="49"/>
      <c r="W14">
        <v>17124</v>
      </c>
      <c r="X14" s="17">
        <f t="shared" si="7"/>
        <v>7.7135135135135133E-2</v>
      </c>
      <c r="AG14" s="49"/>
      <c r="AH14">
        <v>3261</v>
      </c>
      <c r="AI14" s="17">
        <f t="shared" si="3"/>
        <v>1.5528571428571428E-2</v>
      </c>
      <c r="AQ14" s="49"/>
      <c r="AS14" s="17">
        <f t="shared" si="8"/>
        <v>0</v>
      </c>
      <c r="BA14" s="49"/>
      <c r="BC14" s="17">
        <f t="shared" si="9"/>
        <v>0</v>
      </c>
    </row>
    <row r="15" spans="2:61" x14ac:dyDescent="0.2">
      <c r="B15" s="49"/>
      <c r="C15">
        <v>-7607</v>
      </c>
      <c r="D15" s="17">
        <f t="shared" si="0"/>
        <v>-3.4265765765765767E-2</v>
      </c>
      <c r="L15" s="49"/>
      <c r="M15">
        <v>6295</v>
      </c>
      <c r="N15" s="17">
        <f t="shared" si="6"/>
        <v>2.8355855855855854E-2</v>
      </c>
      <c r="V15" s="49"/>
      <c r="X15" s="17">
        <f t="shared" si="7"/>
        <v>0</v>
      </c>
      <c r="AG15" s="49"/>
      <c r="AH15">
        <v>2782</v>
      </c>
      <c r="AI15" s="17">
        <f t="shared" si="3"/>
        <v>1.3247619047619048E-2</v>
      </c>
      <c r="AQ15" s="49"/>
      <c r="AR15">
        <v>16363</v>
      </c>
      <c r="AS15" s="17">
        <f t="shared" si="8"/>
        <v>7.7919047619047624E-2</v>
      </c>
      <c r="BA15" s="49"/>
      <c r="BC15" s="17">
        <f t="shared" si="9"/>
        <v>0</v>
      </c>
    </row>
    <row r="16" spans="2:61" x14ac:dyDescent="0.2">
      <c r="B16" s="49"/>
      <c r="C16">
        <v>-284</v>
      </c>
      <c r="D16" s="17">
        <f t="shared" si="0"/>
        <v>-1.2792792792792793E-3</v>
      </c>
      <c r="L16" s="49"/>
      <c r="N16" s="17">
        <f t="shared" si="6"/>
        <v>0</v>
      </c>
      <c r="V16" s="49"/>
      <c r="X16" s="17">
        <f t="shared" si="7"/>
        <v>0</v>
      </c>
      <c r="AG16" s="49"/>
      <c r="AH16">
        <v>7502</v>
      </c>
      <c r="AI16" s="17">
        <f t="shared" si="3"/>
        <v>3.5723809523809526E-2</v>
      </c>
      <c r="AQ16" s="49"/>
      <c r="AR16">
        <v>15701</v>
      </c>
      <c r="AS16" s="17">
        <f t="shared" si="8"/>
        <v>7.4766666666666662E-2</v>
      </c>
      <c r="BA16" s="49"/>
      <c r="BC16" s="17">
        <f t="shared" si="9"/>
        <v>0</v>
      </c>
    </row>
    <row r="17" spans="2:58" x14ac:dyDescent="0.2">
      <c r="B17" s="49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9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9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9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9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49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9"/>
      <c r="C18">
        <v>6364</v>
      </c>
      <c r="D18" s="17">
        <f t="shared" si="0"/>
        <v>2.8666666666666667E-2</v>
      </c>
      <c r="L18" s="49"/>
      <c r="N18" s="17">
        <f t="shared" si="6"/>
        <v>0</v>
      </c>
      <c r="V18" s="49"/>
      <c r="W18">
        <v>9271</v>
      </c>
      <c r="X18" s="17">
        <f t="shared" si="7"/>
        <v>4.1761261261261264E-2</v>
      </c>
      <c r="AG18" s="49"/>
      <c r="AI18" s="17">
        <f t="shared" si="3"/>
        <v>0</v>
      </c>
      <c r="AQ18" s="49"/>
      <c r="AR18">
        <v>-23032</v>
      </c>
      <c r="AS18" s="17">
        <f t="shared" si="8"/>
        <v>-0.10967619047619048</v>
      </c>
      <c r="BA18" s="49"/>
      <c r="BC18" s="17">
        <f t="shared" si="9"/>
        <v>0</v>
      </c>
    </row>
    <row r="19" spans="2:58" x14ac:dyDescent="0.2">
      <c r="B19" s="49"/>
      <c r="C19">
        <v>13823</v>
      </c>
      <c r="D19" s="17">
        <f t="shared" si="0"/>
        <v>6.2265765765765764E-2</v>
      </c>
      <c r="L19" s="49"/>
      <c r="M19">
        <v>35029</v>
      </c>
      <c r="N19" s="17">
        <f t="shared" si="6"/>
        <v>0.15778828828828828</v>
      </c>
      <c r="V19" s="49"/>
      <c r="W19">
        <f>11013-5559</f>
        <v>5454</v>
      </c>
      <c r="X19" s="17">
        <f t="shared" si="7"/>
        <v>2.4567567567567568E-2</v>
      </c>
      <c r="AG19" s="49"/>
      <c r="AH19">
        <v>13273</v>
      </c>
      <c r="AI19" s="17">
        <f t="shared" si="3"/>
        <v>6.3204761904761902E-2</v>
      </c>
      <c r="AQ19" s="49"/>
      <c r="AR19">
        <v>26616</v>
      </c>
      <c r="AS19" s="17">
        <f t="shared" si="8"/>
        <v>0.12674285714285713</v>
      </c>
      <c r="BA19" s="49"/>
      <c r="BC19" s="17">
        <f t="shared" si="9"/>
        <v>0</v>
      </c>
    </row>
    <row r="20" spans="2:58" x14ac:dyDescent="0.2">
      <c r="B20" s="49"/>
      <c r="D20" s="17">
        <f t="shared" si="0"/>
        <v>0</v>
      </c>
      <c r="L20" s="49"/>
      <c r="M20">
        <v>43096</v>
      </c>
      <c r="N20" s="17">
        <f t="shared" si="6"/>
        <v>0.19412612612612612</v>
      </c>
      <c r="V20" s="49"/>
      <c r="W20">
        <v>6955</v>
      </c>
      <c r="X20" s="17">
        <f t="shared" si="7"/>
        <v>3.1328828828828828E-2</v>
      </c>
      <c r="AG20" s="49"/>
      <c r="AH20">
        <v>6000</v>
      </c>
      <c r="AI20" s="17">
        <f t="shared" si="3"/>
        <v>2.8571428571428571E-2</v>
      </c>
      <c r="AQ20" s="49"/>
      <c r="AR20">
        <v>13771</v>
      </c>
      <c r="AS20" s="17">
        <f t="shared" si="8"/>
        <v>6.5576190476190482E-2</v>
      </c>
      <c r="BA20" s="49"/>
      <c r="BC20" s="17">
        <f t="shared" si="9"/>
        <v>0</v>
      </c>
    </row>
    <row r="21" spans="2:58" x14ac:dyDescent="0.2">
      <c r="B21" s="49"/>
      <c r="D21" s="17">
        <f t="shared" si="0"/>
        <v>0</v>
      </c>
      <c r="L21" s="49"/>
      <c r="M21">
        <v>6928</v>
      </c>
      <c r="N21" s="17">
        <f t="shared" si="6"/>
        <v>3.1207207207207207E-2</v>
      </c>
      <c r="V21" s="49"/>
      <c r="X21" s="17">
        <f t="shared" si="7"/>
        <v>0</v>
      </c>
      <c r="AG21" s="49"/>
      <c r="AH21">
        <f>3226-5862+5576</f>
        <v>2940</v>
      </c>
      <c r="AI21" s="17">
        <f t="shared" si="3"/>
        <v>1.4E-2</v>
      </c>
      <c r="AQ21" s="49"/>
      <c r="AR21">
        <v>8753</v>
      </c>
      <c r="AS21" s="17">
        <f t="shared" si="8"/>
        <v>4.1680952380952381E-2</v>
      </c>
      <c r="BA21" s="49"/>
      <c r="BC21" s="17">
        <f t="shared" si="9"/>
        <v>0</v>
      </c>
    </row>
    <row r="22" spans="2:58" x14ac:dyDescent="0.2">
      <c r="B22" s="49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9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9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9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9" t="s">
        <v>21</v>
      </c>
      <c r="AR22">
        <v>2353</v>
      </c>
      <c r="AS22" s="17">
        <f t="shared" si="8"/>
        <v>1.1204761904761905E-2</v>
      </c>
      <c r="AT22">
        <f>SUM(AR22:AR26)</f>
        <v>2353</v>
      </c>
      <c r="AU22" s="17">
        <f>AT22*100/AS1</f>
        <v>1.1204761904761905E-2</v>
      </c>
      <c r="BA22" s="49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9"/>
      <c r="C23">
        <v>16934</v>
      </c>
      <c r="D23" s="17">
        <f t="shared" si="0"/>
        <v>7.6279279279279286E-2</v>
      </c>
      <c r="L23" s="49"/>
      <c r="M23">
        <v>-8980</v>
      </c>
      <c r="N23" s="17">
        <f t="shared" si="6"/>
        <v>-4.0450450450450454E-2</v>
      </c>
      <c r="V23" s="49"/>
      <c r="W23">
        <v>1022</v>
      </c>
      <c r="X23" s="17">
        <f t="shared" si="7"/>
        <v>4.6036036036036032E-3</v>
      </c>
      <c r="AG23" s="49"/>
      <c r="AH23">
        <v>5696</v>
      </c>
      <c r="AI23" s="17">
        <f t="shared" si="3"/>
        <v>2.7123809523809522E-2</v>
      </c>
      <c r="AQ23" s="49"/>
      <c r="AS23" s="17">
        <f t="shared" si="8"/>
        <v>0</v>
      </c>
      <c r="BA23" s="49"/>
      <c r="BC23" s="17">
        <f t="shared" si="9"/>
        <v>0</v>
      </c>
    </row>
    <row r="24" spans="2:58" x14ac:dyDescent="0.2">
      <c r="B24" s="49"/>
      <c r="D24" s="17">
        <f t="shared" si="0"/>
        <v>0</v>
      </c>
      <c r="L24" s="49"/>
      <c r="N24" s="17">
        <f t="shared" si="6"/>
        <v>0</v>
      </c>
      <c r="V24" s="49"/>
      <c r="W24">
        <v>22704</v>
      </c>
      <c r="X24" s="17">
        <f t="shared" si="7"/>
        <v>0.10227027027027027</v>
      </c>
      <c r="AG24" s="49"/>
      <c r="AH24">
        <v>25309</v>
      </c>
      <c r="AI24" s="17">
        <f t="shared" si="3"/>
        <v>0.12051904761904762</v>
      </c>
      <c r="AQ24" s="49"/>
      <c r="AS24" s="17">
        <f t="shared" si="8"/>
        <v>0</v>
      </c>
      <c r="BA24" s="49"/>
      <c r="BC24" s="17">
        <f t="shared" si="9"/>
        <v>0</v>
      </c>
    </row>
    <row r="25" spans="2:58" x14ac:dyDescent="0.2">
      <c r="B25" s="49"/>
      <c r="D25" s="17">
        <f t="shared" si="0"/>
        <v>0</v>
      </c>
      <c r="L25" s="49"/>
      <c r="N25" s="17">
        <f t="shared" si="6"/>
        <v>0</v>
      </c>
      <c r="V25" s="49"/>
      <c r="X25" s="17">
        <f t="shared" si="7"/>
        <v>0</v>
      </c>
      <c r="AG25" s="49"/>
      <c r="AH25">
        <v>7812</v>
      </c>
      <c r="AI25" s="17">
        <f t="shared" si="3"/>
        <v>3.7199999999999997E-2</v>
      </c>
      <c r="AQ25" s="49"/>
      <c r="AS25" s="17">
        <f t="shared" si="8"/>
        <v>0</v>
      </c>
      <c r="BA25" s="49"/>
      <c r="BC25" s="17">
        <f t="shared" si="9"/>
        <v>0</v>
      </c>
    </row>
    <row r="26" spans="2:58" x14ac:dyDescent="0.2">
      <c r="B26" s="49"/>
      <c r="D26" s="17">
        <f t="shared" si="0"/>
        <v>0</v>
      </c>
      <c r="L26" s="49"/>
      <c r="N26" s="17">
        <f t="shared" si="6"/>
        <v>0</v>
      </c>
      <c r="V26" s="49"/>
      <c r="W26">
        <v>10300</v>
      </c>
      <c r="X26" s="17">
        <f t="shared" si="7"/>
        <v>4.6396396396396394E-2</v>
      </c>
      <c r="AG26" s="49"/>
      <c r="AI26" s="17">
        <f t="shared" si="3"/>
        <v>0</v>
      </c>
      <c r="AQ26" s="49"/>
      <c r="AS26" s="17">
        <f t="shared" si="8"/>
        <v>0</v>
      </c>
      <c r="BA26" s="49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108169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0.51509047619047621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0.80556666666666665</v>
      </c>
      <c r="AS31" s="17"/>
      <c r="BA31" t="s">
        <v>179</v>
      </c>
      <c r="BB31" s="17">
        <f>((BB29*100)+(BG5*100)+(BG6*100))/BC$1</f>
        <v>0.2904761904761905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9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9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9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9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9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49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9"/>
      <c r="D35" s="17">
        <f t="shared" ref="D35:D58" si="10">C35*100/D$33</f>
        <v>0</v>
      </c>
      <c r="G35" t="s">
        <v>22</v>
      </c>
      <c r="H35">
        <v>70000</v>
      </c>
      <c r="L35" s="49"/>
      <c r="N35" s="17">
        <f t="shared" ref="N35:N58" si="11">M35*100/N$33</f>
        <v>0</v>
      </c>
      <c r="Q35" t="s">
        <v>22</v>
      </c>
      <c r="R35">
        <v>130000</v>
      </c>
      <c r="V35" s="49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9"/>
      <c r="AI35" s="17">
        <f t="shared" ref="AI35:AI58" si="13">AH35*100/AI$33</f>
        <v>0</v>
      </c>
      <c r="AL35" t="s">
        <v>22</v>
      </c>
      <c r="AM35">
        <v>83000</v>
      </c>
      <c r="AQ35" s="49"/>
      <c r="AS35" s="17">
        <f t="shared" ref="AS35:AS58" si="14">AR35*100/AS$33</f>
        <v>0</v>
      </c>
      <c r="AV35" t="s">
        <v>22</v>
      </c>
      <c r="AW35">
        <v>83000</v>
      </c>
      <c r="BA35" s="49"/>
      <c r="BC35" s="17">
        <f t="shared" ref="BC35:BC58" si="15">BB35*100/BC$33</f>
        <v>0</v>
      </c>
      <c r="BF35" t="s">
        <v>22</v>
      </c>
      <c r="BG35">
        <v>83000</v>
      </c>
    </row>
    <row r="36" spans="2:61" x14ac:dyDescent="0.2">
      <c r="B36" s="49"/>
      <c r="D36" s="17">
        <f t="shared" si="10"/>
        <v>0</v>
      </c>
      <c r="G36" t="s">
        <v>26</v>
      </c>
      <c r="H36">
        <f>C61</f>
        <v>205902</v>
      </c>
      <c r="L36" s="49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9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9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49"/>
      <c r="AS36" s="17">
        <f t="shared" si="14"/>
        <v>0</v>
      </c>
      <c r="AV36" t="s">
        <v>26</v>
      </c>
      <c r="AW36">
        <f>AR61</f>
        <v>0</v>
      </c>
      <c r="BA36" s="49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9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9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9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9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49"/>
      <c r="AS37" s="17">
        <f t="shared" si="14"/>
        <v>0</v>
      </c>
      <c r="AV37" t="s">
        <v>178</v>
      </c>
      <c r="AW37">
        <v>0</v>
      </c>
      <c r="BA37" s="49"/>
      <c r="BC37" s="17">
        <f t="shared" si="15"/>
        <v>0</v>
      </c>
      <c r="BF37" t="s">
        <v>178</v>
      </c>
      <c r="BG37">
        <v>0</v>
      </c>
    </row>
    <row r="38" spans="2:61" x14ac:dyDescent="0.2">
      <c r="B38" s="49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9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9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9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49"/>
      <c r="AS38" s="17">
        <f t="shared" si="14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49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 x14ac:dyDescent="0.2">
      <c r="B39" s="49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9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9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9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49" t="s">
        <v>18</v>
      </c>
      <c r="AS39" s="17">
        <f t="shared" si="14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49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 x14ac:dyDescent="0.2">
      <c r="B40" s="49"/>
      <c r="D40" s="17">
        <f t="shared" si="10"/>
        <v>0</v>
      </c>
      <c r="L40" s="49"/>
      <c r="N40" s="17">
        <f t="shared" si="11"/>
        <v>0</v>
      </c>
      <c r="V40" s="49"/>
      <c r="W40">
        <v>19421</v>
      </c>
      <c r="X40" s="17">
        <f t="shared" si="12"/>
        <v>8.7481981981981982E-2</v>
      </c>
      <c r="AG40" s="49"/>
      <c r="AI40" s="17">
        <f t="shared" si="13"/>
        <v>0</v>
      </c>
      <c r="AQ40" s="49"/>
      <c r="AS40" s="17">
        <f t="shared" si="14"/>
        <v>0</v>
      </c>
      <c r="BA40" s="49"/>
      <c r="BC40" s="17">
        <f t="shared" si="15"/>
        <v>0</v>
      </c>
    </row>
    <row r="41" spans="2:61" x14ac:dyDescent="0.2">
      <c r="B41" s="49"/>
      <c r="C41">
        <v>92350</v>
      </c>
      <c r="D41" s="17">
        <f t="shared" si="10"/>
        <v>0.41599099099099102</v>
      </c>
      <c r="H41" s="10"/>
      <c r="L41" s="49"/>
      <c r="M41">
        <v>32031</v>
      </c>
      <c r="N41" s="17">
        <f t="shared" si="11"/>
        <v>0.14428378378378379</v>
      </c>
      <c r="R41" s="10"/>
      <c r="V41" s="49"/>
      <c r="W41">
        <v>1918</v>
      </c>
      <c r="X41" s="17">
        <f t="shared" si="12"/>
        <v>8.6396396396396392E-3</v>
      </c>
      <c r="AB41" s="10"/>
      <c r="AG41" s="49"/>
      <c r="AH41">
        <v>15745</v>
      </c>
      <c r="AI41" s="17">
        <f t="shared" si="13"/>
        <v>7.4976190476190474E-2</v>
      </c>
      <c r="AM41" s="10"/>
      <c r="AQ41" s="49"/>
      <c r="AS41" s="17">
        <f t="shared" si="14"/>
        <v>0</v>
      </c>
      <c r="AW41" s="10"/>
      <c r="BA41" s="49"/>
      <c r="BC41" s="17">
        <f t="shared" si="15"/>
        <v>0</v>
      </c>
      <c r="BG41" s="10"/>
    </row>
    <row r="42" spans="2:61" x14ac:dyDescent="0.2">
      <c r="B42" s="49"/>
      <c r="C42">
        <v>4280</v>
      </c>
      <c r="D42" s="17">
        <f t="shared" si="10"/>
        <v>1.927927927927928E-2</v>
      </c>
      <c r="L42" s="49"/>
      <c r="N42" s="17">
        <f t="shared" si="11"/>
        <v>0</v>
      </c>
      <c r="V42" s="49"/>
      <c r="W42">
        <v>4777</v>
      </c>
      <c r="X42" s="17">
        <f t="shared" si="12"/>
        <v>2.1518018018018018E-2</v>
      </c>
      <c r="AG42" s="49"/>
      <c r="AH42">
        <v>12430</v>
      </c>
      <c r="AI42" s="17">
        <f t="shared" si="13"/>
        <v>5.9190476190476189E-2</v>
      </c>
      <c r="AQ42" s="49"/>
      <c r="AS42" s="17">
        <f t="shared" si="14"/>
        <v>0</v>
      </c>
      <c r="BA42" s="49"/>
      <c r="BC42" s="17">
        <f t="shared" si="15"/>
        <v>0</v>
      </c>
    </row>
    <row r="43" spans="2:61" x14ac:dyDescent="0.2">
      <c r="B43" s="49"/>
      <c r="D43" s="17">
        <f t="shared" si="10"/>
        <v>0</v>
      </c>
      <c r="L43" s="49"/>
      <c r="N43" s="17">
        <f t="shared" si="11"/>
        <v>0</v>
      </c>
      <c r="V43" s="49"/>
      <c r="W43">
        <f>14431+1090</f>
        <v>15521</v>
      </c>
      <c r="X43" s="17">
        <f t="shared" si="12"/>
        <v>6.9914414414414414E-2</v>
      </c>
      <c r="AG43" s="49"/>
      <c r="AI43" s="17">
        <f t="shared" si="13"/>
        <v>0</v>
      </c>
      <c r="AQ43" s="49"/>
      <c r="AS43" s="17">
        <f t="shared" si="14"/>
        <v>0</v>
      </c>
      <c r="BA43" s="49"/>
      <c r="BC43" s="17">
        <f t="shared" si="15"/>
        <v>0</v>
      </c>
    </row>
    <row r="44" spans="2:61" x14ac:dyDescent="0.2">
      <c r="B44" s="49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9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9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9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9" t="s">
        <v>19</v>
      </c>
      <c r="AS44" s="17">
        <f t="shared" si="14"/>
        <v>0</v>
      </c>
      <c r="AT44">
        <f>SUM(AR44:AR48)</f>
        <v>0</v>
      </c>
      <c r="AU44" s="17">
        <f>AT44*100/AS33</f>
        <v>0</v>
      </c>
      <c r="BA44" s="49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9"/>
      <c r="C45">
        <v>15387</v>
      </c>
      <c r="D45" s="17">
        <f t="shared" si="10"/>
        <v>6.9310810810810808E-2</v>
      </c>
      <c r="L45" s="49"/>
      <c r="M45">
        <v>28902</v>
      </c>
      <c r="N45" s="17">
        <f>M45*100/N$33</f>
        <v>0.1301891891891892</v>
      </c>
      <c r="V45" s="49"/>
      <c r="W45">
        <v>2194</v>
      </c>
      <c r="X45" s="17">
        <f t="shared" si="12"/>
        <v>9.8828828828828822E-3</v>
      </c>
      <c r="AG45" s="49"/>
      <c r="AH45">
        <v>1210</v>
      </c>
      <c r="AI45" s="17">
        <f t="shared" si="13"/>
        <v>5.7619047619047615E-3</v>
      </c>
      <c r="AQ45" s="49"/>
      <c r="AS45" s="17">
        <f t="shared" si="14"/>
        <v>0</v>
      </c>
      <c r="BA45" s="49"/>
      <c r="BC45" s="17">
        <f t="shared" si="15"/>
        <v>0</v>
      </c>
    </row>
    <row r="46" spans="2:61" x14ac:dyDescent="0.2">
      <c r="B46" s="49"/>
      <c r="C46">
        <v>6591</v>
      </c>
      <c r="D46" s="17">
        <f t="shared" si="10"/>
        <v>2.968918918918919E-2</v>
      </c>
      <c r="L46" s="49"/>
      <c r="N46" s="17">
        <f>M46*100/N$33</f>
        <v>0</v>
      </c>
      <c r="V46" s="49"/>
      <c r="W46">
        <v>21380</v>
      </c>
      <c r="X46" s="17">
        <f t="shared" si="12"/>
        <v>9.6306306306306308E-2</v>
      </c>
      <c r="AG46" s="49"/>
      <c r="AI46" s="17">
        <f t="shared" si="13"/>
        <v>0</v>
      </c>
      <c r="AQ46" s="49"/>
      <c r="AS46" s="17">
        <f t="shared" si="14"/>
        <v>0</v>
      </c>
      <c r="BA46" s="49"/>
      <c r="BC46" s="17">
        <f t="shared" si="15"/>
        <v>0</v>
      </c>
    </row>
    <row r="47" spans="2:61" x14ac:dyDescent="0.2">
      <c r="B47" s="49"/>
      <c r="C47">
        <v>7649</v>
      </c>
      <c r="D47" s="17">
        <f t="shared" si="10"/>
        <v>3.4454954954954958E-2</v>
      </c>
      <c r="L47" s="49"/>
      <c r="M47">
        <v>7200</v>
      </c>
      <c r="N47" s="17">
        <f t="shared" si="11"/>
        <v>3.2432432432432434E-2</v>
      </c>
      <c r="V47" s="49"/>
      <c r="W47">
        <v>7152</v>
      </c>
      <c r="X47" s="17">
        <f t="shared" si="12"/>
        <v>3.2216216216216217E-2</v>
      </c>
      <c r="AG47" s="49"/>
      <c r="AH47">
        <v>20876</v>
      </c>
      <c r="AI47" s="17">
        <f t="shared" si="13"/>
        <v>9.9409523809523809E-2</v>
      </c>
      <c r="AQ47" s="49"/>
      <c r="AS47" s="17">
        <f t="shared" si="14"/>
        <v>0</v>
      </c>
      <c r="BA47" s="49"/>
      <c r="BC47" s="17">
        <f t="shared" si="15"/>
        <v>0</v>
      </c>
    </row>
    <row r="48" spans="2:61" x14ac:dyDescent="0.2">
      <c r="B48" s="49"/>
      <c r="D48" s="17">
        <f t="shared" si="10"/>
        <v>0</v>
      </c>
      <c r="L48" s="49"/>
      <c r="M48">
        <v>5823</v>
      </c>
      <c r="N48" s="17">
        <f t="shared" si="11"/>
        <v>2.6229729729729728E-2</v>
      </c>
      <c r="V48" s="49"/>
      <c r="W48">
        <v>-24109</v>
      </c>
      <c r="X48" s="17">
        <f t="shared" si="12"/>
        <v>-0.10859909909909909</v>
      </c>
      <c r="AG48" s="49"/>
      <c r="AH48">
        <v>7775</v>
      </c>
      <c r="AI48" s="17">
        <f t="shared" si="13"/>
        <v>3.7023809523809521E-2</v>
      </c>
      <c r="AQ48" s="49"/>
      <c r="AS48" s="17">
        <f t="shared" si="14"/>
        <v>0</v>
      </c>
      <c r="BA48" s="49"/>
      <c r="BC48" s="17">
        <f t="shared" si="15"/>
        <v>0</v>
      </c>
    </row>
    <row r="49" spans="2:58" x14ac:dyDescent="0.2">
      <c r="B49" s="49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9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9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9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49" t="s">
        <v>20</v>
      </c>
      <c r="AS49" s="17">
        <f t="shared" si="14"/>
        <v>0</v>
      </c>
      <c r="AT49">
        <f>SUM(AR49:AR53)</f>
        <v>0</v>
      </c>
      <c r="AU49" s="17">
        <f>AT49*100/AS33</f>
        <v>0</v>
      </c>
      <c r="BA49" s="49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9"/>
      <c r="C50">
        <v>-9964</v>
      </c>
      <c r="D50" s="17">
        <f t="shared" si="10"/>
        <v>-4.4882882882882884E-2</v>
      </c>
      <c r="L50" s="49"/>
      <c r="M50">
        <v>11981</v>
      </c>
      <c r="N50" s="17">
        <f t="shared" si="11"/>
        <v>5.3968468468468471E-2</v>
      </c>
      <c r="V50" s="49"/>
      <c r="W50">
        <v>-2194</v>
      </c>
      <c r="X50" s="17">
        <f t="shared" si="12"/>
        <v>-9.8828828828828822E-3</v>
      </c>
      <c r="AG50" s="49"/>
      <c r="AI50" s="17">
        <f t="shared" si="13"/>
        <v>0</v>
      </c>
      <c r="AQ50" s="49"/>
      <c r="AS50" s="17">
        <f t="shared" si="14"/>
        <v>0</v>
      </c>
      <c r="BA50" s="49"/>
      <c r="BC50" s="17">
        <f t="shared" si="15"/>
        <v>0</v>
      </c>
    </row>
    <row r="51" spans="2:58" x14ac:dyDescent="0.2">
      <c r="B51" s="49"/>
      <c r="C51">
        <v>17253</v>
      </c>
      <c r="D51" s="17">
        <f t="shared" si="10"/>
        <v>7.7716216216216216E-2</v>
      </c>
      <c r="L51" s="49"/>
      <c r="M51">
        <v>27753</v>
      </c>
      <c r="N51" s="17">
        <f t="shared" si="11"/>
        <v>0.1250135135135135</v>
      </c>
      <c r="V51" s="49"/>
      <c r="W51">
        <f>44528-1973</f>
        <v>42555</v>
      </c>
      <c r="X51" s="17">
        <f t="shared" si="12"/>
        <v>0.1916891891891892</v>
      </c>
      <c r="AG51" s="49"/>
      <c r="AH51">
        <f>7146+6075</f>
        <v>13221</v>
      </c>
      <c r="AI51" s="17">
        <f t="shared" si="13"/>
        <v>6.295714285714285E-2</v>
      </c>
      <c r="AQ51" s="49"/>
      <c r="AS51" s="17">
        <f t="shared" si="14"/>
        <v>0</v>
      </c>
      <c r="BA51" s="49"/>
      <c r="BC51" s="17">
        <f t="shared" si="15"/>
        <v>0</v>
      </c>
    </row>
    <row r="52" spans="2:58" x14ac:dyDescent="0.2">
      <c r="B52" s="49"/>
      <c r="C52">
        <v>4187</v>
      </c>
      <c r="D52" s="17">
        <f t="shared" si="10"/>
        <v>1.8860360360360359E-2</v>
      </c>
      <c r="L52" s="49"/>
      <c r="M52">
        <v>15021</v>
      </c>
      <c r="N52" s="17">
        <f t="shared" si="11"/>
        <v>6.7662162162162157E-2</v>
      </c>
      <c r="V52" s="49"/>
      <c r="W52">
        <v>11270</v>
      </c>
      <c r="X52" s="17">
        <f t="shared" si="12"/>
        <v>5.0765765765765768E-2</v>
      </c>
      <c r="AG52" s="49"/>
      <c r="AH52">
        <f>5871-21771</f>
        <v>-15900</v>
      </c>
      <c r="AI52" s="17">
        <f t="shared" si="13"/>
        <v>-7.571428571428572E-2</v>
      </c>
      <c r="AQ52" s="49"/>
      <c r="AS52" s="17">
        <f t="shared" si="14"/>
        <v>0</v>
      </c>
      <c r="BA52" s="49"/>
      <c r="BC52" s="17">
        <f t="shared" si="15"/>
        <v>0</v>
      </c>
    </row>
    <row r="53" spans="2:58" x14ac:dyDescent="0.2">
      <c r="B53" s="49"/>
      <c r="D53" s="17">
        <f t="shared" si="10"/>
        <v>0</v>
      </c>
      <c r="L53" s="49"/>
      <c r="N53" s="17">
        <f t="shared" si="11"/>
        <v>0</v>
      </c>
      <c r="V53" s="49"/>
      <c r="W53">
        <v>13782</v>
      </c>
      <c r="X53" s="17">
        <f t="shared" si="12"/>
        <v>6.2081081081081083E-2</v>
      </c>
      <c r="AG53" s="49"/>
      <c r="AH53">
        <v>13064</v>
      </c>
      <c r="AI53" s="17">
        <f t="shared" si="13"/>
        <v>6.2209523809523812E-2</v>
      </c>
      <c r="AQ53" s="49"/>
      <c r="AS53" s="17">
        <f t="shared" si="14"/>
        <v>0</v>
      </c>
      <c r="BA53" s="49"/>
      <c r="BC53" s="17">
        <f t="shared" si="15"/>
        <v>0</v>
      </c>
    </row>
    <row r="54" spans="2:58" x14ac:dyDescent="0.2">
      <c r="B54" s="49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9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9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9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9" t="s">
        <v>21</v>
      </c>
      <c r="AS54" s="17">
        <f t="shared" si="14"/>
        <v>0</v>
      </c>
      <c r="AT54">
        <f>SUM(AR54:AR58)</f>
        <v>0</v>
      </c>
      <c r="AU54" s="17">
        <f>AT54*100/AS33</f>
        <v>0</v>
      </c>
      <c r="BA54" s="49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9"/>
      <c r="D55" s="17">
        <f t="shared" si="10"/>
        <v>0</v>
      </c>
      <c r="L55" s="49"/>
      <c r="N55" s="17">
        <f t="shared" si="11"/>
        <v>0</v>
      </c>
      <c r="V55" s="49"/>
      <c r="X55" s="17">
        <f t="shared" si="12"/>
        <v>0</v>
      </c>
      <c r="AG55" s="49"/>
      <c r="AI55" s="17">
        <f t="shared" si="13"/>
        <v>0</v>
      </c>
      <c r="AQ55" s="49"/>
      <c r="AS55" s="17">
        <f t="shared" si="14"/>
        <v>0</v>
      </c>
      <c r="BA55" s="49"/>
      <c r="BC55" s="17">
        <f t="shared" si="15"/>
        <v>0</v>
      </c>
    </row>
    <row r="56" spans="2:58" x14ac:dyDescent="0.2">
      <c r="B56" s="49"/>
      <c r="C56">
        <v>21350</v>
      </c>
      <c r="D56" s="17">
        <f t="shared" si="10"/>
        <v>9.6171171171171174E-2</v>
      </c>
      <c r="L56" s="49"/>
      <c r="M56">
        <v>20162</v>
      </c>
      <c r="N56" s="17">
        <f t="shared" si="11"/>
        <v>9.0819819819819819E-2</v>
      </c>
      <c r="V56" s="49"/>
      <c r="X56" s="17">
        <f t="shared" si="12"/>
        <v>0</v>
      </c>
      <c r="AG56" s="49"/>
      <c r="AI56" s="17">
        <f t="shared" si="13"/>
        <v>0</v>
      </c>
      <c r="AQ56" s="49"/>
      <c r="AS56" s="17">
        <f t="shared" si="14"/>
        <v>0</v>
      </c>
      <c r="BA56" s="49"/>
      <c r="BC56" s="17">
        <f t="shared" si="15"/>
        <v>0</v>
      </c>
    </row>
    <row r="57" spans="2:58" x14ac:dyDescent="0.2">
      <c r="B57" s="49"/>
      <c r="C57">
        <v>41626</v>
      </c>
      <c r="D57" s="17">
        <f t="shared" si="10"/>
        <v>0.18750450450450451</v>
      </c>
      <c r="H57" s="5"/>
      <c r="L57" s="49"/>
      <c r="N57" s="17">
        <f t="shared" si="11"/>
        <v>0</v>
      </c>
      <c r="V57" s="49"/>
      <c r="X57" s="17">
        <f t="shared" si="12"/>
        <v>0</v>
      </c>
      <c r="AG57" s="49"/>
      <c r="AI57" s="17">
        <f t="shared" si="13"/>
        <v>0</v>
      </c>
      <c r="AQ57" s="49"/>
      <c r="AS57" s="17">
        <f t="shared" si="14"/>
        <v>0</v>
      </c>
      <c r="BA57" s="49"/>
      <c r="BC57" s="17">
        <f t="shared" si="15"/>
        <v>0</v>
      </c>
    </row>
    <row r="58" spans="2:58" x14ac:dyDescent="0.2">
      <c r="B58" s="49"/>
      <c r="D58" s="17">
        <f t="shared" si="10"/>
        <v>0</v>
      </c>
      <c r="H58" s="11"/>
      <c r="L58" s="49"/>
      <c r="N58" s="17">
        <f t="shared" si="11"/>
        <v>0</v>
      </c>
      <c r="V58" s="49"/>
      <c r="X58" s="17">
        <f t="shared" si="12"/>
        <v>0</v>
      </c>
      <c r="AG58" s="49"/>
      <c r="AI58" s="17">
        <f t="shared" si="13"/>
        <v>0</v>
      </c>
      <c r="AQ58" s="49"/>
      <c r="AS58" s="17">
        <f t="shared" si="14"/>
        <v>0</v>
      </c>
      <c r="BA58" s="49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0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P26" sqref="P26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O3" sqref="O3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s="48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D27"/>
  <sheetViews>
    <sheetView workbookViewId="0">
      <selection activeCell="R20" sqref="R20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30" x14ac:dyDescent="0.2">
      <c r="M1" t="s">
        <v>1149</v>
      </c>
      <c r="R1" t="s">
        <v>1131</v>
      </c>
      <c r="S1" t="s">
        <v>1138</v>
      </c>
    </row>
    <row r="2" spans="2:30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1000</v>
      </c>
      <c r="Z2" s="14" t="s">
        <v>961</v>
      </c>
      <c r="AA2" s="14">
        <v>8531532</v>
      </c>
    </row>
    <row r="3" spans="2:30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200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1000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17945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 x14ac:dyDescent="0.2">
      <c r="C6" t="s">
        <v>157</v>
      </c>
      <c r="D6">
        <f>SUM(D2:D5)</f>
        <v>9500000</v>
      </c>
      <c r="J6">
        <v>16000</v>
      </c>
      <c r="R6">
        <v>754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 x14ac:dyDescent="0.2">
      <c r="J7">
        <v>85316</v>
      </c>
      <c r="N7" s="12">
        <f>SUM(N2:N5)</f>
        <v>52700</v>
      </c>
      <c r="R7">
        <v>950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 x14ac:dyDescent="0.2">
      <c r="C8" t="s">
        <v>1009</v>
      </c>
      <c r="D8">
        <v>16000</v>
      </c>
      <c r="F8" s="5"/>
      <c r="R8">
        <v>200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 x14ac:dyDescent="0.2">
      <c r="E9" s="5"/>
      <c r="F9" s="5"/>
      <c r="R9">
        <v>800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16500</v>
      </c>
      <c r="Z10" s="35" t="s">
        <v>963</v>
      </c>
      <c r="AA10" s="35">
        <f>AA2-AA9</f>
        <v>8446216.6799999997</v>
      </c>
      <c r="AD10" t="s">
        <v>1253</v>
      </c>
    </row>
    <row r="11" spans="2:30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  <c r="R11">
        <v>160</v>
      </c>
      <c r="T11" t="s">
        <v>1245</v>
      </c>
      <c r="U11" s="12">
        <v>19092500</v>
      </c>
      <c r="W11" t="s">
        <v>1245</v>
      </c>
      <c r="X11" s="12">
        <v>19455500</v>
      </c>
      <c r="AD11" t="s">
        <v>1256</v>
      </c>
    </row>
    <row r="12" spans="2:30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R12">
        <v>870</v>
      </c>
      <c r="T12" t="s">
        <v>1246</v>
      </c>
      <c r="U12" s="12">
        <v>3500000</v>
      </c>
      <c r="W12" t="s">
        <v>1246</v>
      </c>
      <c r="X12" s="12">
        <v>3500000</v>
      </c>
      <c r="AD12" t="s">
        <v>1255</v>
      </c>
    </row>
    <row r="13" spans="2:30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R13">
        <v>619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 x14ac:dyDescent="0.2">
      <c r="B14" s="5"/>
      <c r="C14" t="s">
        <v>1012</v>
      </c>
      <c r="D14">
        <v>1150000</v>
      </c>
      <c r="G14">
        <v>1150000</v>
      </c>
      <c r="P14">
        <v>1299</v>
      </c>
      <c r="R14">
        <v>2000</v>
      </c>
      <c r="T14" t="s">
        <v>1247</v>
      </c>
      <c r="U14" s="12">
        <f>U11*U12/U13</f>
        <v>3341187.5</v>
      </c>
      <c r="W14" t="s">
        <v>1247</v>
      </c>
      <c r="X14" s="12">
        <f>X11*X12/X13</f>
        <v>3404712.5</v>
      </c>
      <c r="Z14">
        <v>-150000</v>
      </c>
      <c r="AA14">
        <f>AA13+Z14</f>
        <v>2383865.0039999997</v>
      </c>
      <c r="AD14" t="s">
        <v>1252</v>
      </c>
    </row>
    <row r="15" spans="2:30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R15">
        <v>2600</v>
      </c>
      <c r="T15" t="s">
        <v>1248</v>
      </c>
      <c r="U15" s="12">
        <f>U13-U14</f>
        <v>16658812.5</v>
      </c>
      <c r="W15" t="s">
        <v>1248</v>
      </c>
      <c r="X15" s="12">
        <f>X13-X14</f>
        <v>16595287.5</v>
      </c>
      <c r="Z15" t="s">
        <v>958</v>
      </c>
      <c r="AA15">
        <f>AA14*AB3</f>
        <v>119193.25019999999</v>
      </c>
      <c r="AD15" t="s">
        <v>1254</v>
      </c>
    </row>
    <row r="16" spans="2:30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R16">
        <v>1200</v>
      </c>
      <c r="Z16" t="s">
        <v>964</v>
      </c>
      <c r="AA16">
        <f>AA14+AA15</f>
        <v>2503058.2541999999</v>
      </c>
      <c r="AD16" t="s">
        <v>1256</v>
      </c>
    </row>
    <row r="17" spans="7:30" x14ac:dyDescent="0.2">
      <c r="P17">
        <v>1527</v>
      </c>
      <c r="R17">
        <v>2150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7:30" x14ac:dyDescent="0.2">
      <c r="G18" s="12">
        <v>1146550</v>
      </c>
      <c r="H18" s="12">
        <f>G15-G18</f>
        <v>365285</v>
      </c>
      <c r="P18">
        <v>299</v>
      </c>
      <c r="R18">
        <v>2000</v>
      </c>
      <c r="T18" t="s">
        <v>1246</v>
      </c>
      <c r="U18" s="12">
        <v>17500000</v>
      </c>
    </row>
    <row r="19" spans="7:30" x14ac:dyDescent="0.2">
      <c r="P19">
        <v>569</v>
      </c>
      <c r="R19">
        <f>50+375+50+60+37+85</f>
        <v>657</v>
      </c>
      <c r="T19" t="s">
        <v>1249</v>
      </c>
      <c r="U19" s="12">
        <v>20000000</v>
      </c>
      <c r="Z19" t="s">
        <v>157</v>
      </c>
      <c r="AA19">
        <f>AA16+AA17</f>
        <v>3044950.1741999998</v>
      </c>
    </row>
    <row r="20" spans="7:30" x14ac:dyDescent="0.2">
      <c r="P20">
        <v>199</v>
      </c>
      <c r="T20" t="s">
        <v>1247</v>
      </c>
      <c r="U20" s="12">
        <f>U17*U18/U19</f>
        <v>17368750</v>
      </c>
    </row>
    <row r="21" spans="7:30" x14ac:dyDescent="0.2">
      <c r="I21" t="s">
        <v>157</v>
      </c>
      <c r="J21">
        <f>SUM(J3:J20)</f>
        <v>3330645</v>
      </c>
      <c r="P21">
        <f>SUM(P14:P20)</f>
        <v>5021</v>
      </c>
      <c r="T21" t="s">
        <v>1248</v>
      </c>
      <c r="U21" s="12">
        <f>U19-U20</f>
        <v>2631250</v>
      </c>
    </row>
    <row r="23" spans="7:30" x14ac:dyDescent="0.2">
      <c r="T23" t="s">
        <v>1245</v>
      </c>
      <c r="U23" s="12">
        <v>19850000</v>
      </c>
    </row>
    <row r="24" spans="7:30" x14ac:dyDescent="0.2">
      <c r="T24" t="s">
        <v>1246</v>
      </c>
      <c r="U24" s="12">
        <v>3500000</v>
      </c>
    </row>
    <row r="25" spans="7:30" x14ac:dyDescent="0.2">
      <c r="T25" t="s">
        <v>1249</v>
      </c>
      <c r="U25" s="12">
        <v>20000000</v>
      </c>
    </row>
    <row r="26" spans="7:30" x14ac:dyDescent="0.2">
      <c r="T26" t="s">
        <v>1247</v>
      </c>
      <c r="U26" s="12">
        <f>U23*U24/U25</f>
        <v>3473750</v>
      </c>
    </row>
    <row r="27" spans="7:30" x14ac:dyDescent="0.2">
      <c r="T27" t="s">
        <v>1248</v>
      </c>
      <c r="U27" s="12">
        <f>U25-U26</f>
        <v>16526250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workbookViewId="0">
      <selection activeCell="O9" sqref="O9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F14" sqref="F14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-114053.55000200003</v>
      </c>
      <c r="N2" s="28">
        <f>M2+P14</f>
        <v>841018.2863364002</v>
      </c>
      <c r="O2" s="3">
        <f>SUM(G2:G15)</f>
        <v>8030307.5612299005</v>
      </c>
      <c r="P2" s="2">
        <f>N2/O2</f>
        <v>0.10473051996125439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229.09100000000001</v>
      </c>
      <c r="S6" s="3">
        <f>(R6-Q6)*P6</f>
        <v>384812.98205000017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247.67240000000001</v>
      </c>
      <c r="S7" s="3">
        <f t="shared" ref="S7:S8" si="5">(R7-Q7)*P7</f>
        <v>352994.77428840013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266.39</v>
      </c>
      <c r="S8" s="3">
        <f t="shared" si="5"/>
        <v>217264.08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384812.98205000017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352994.77428840013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217264.08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955071.83633840026</v>
      </c>
      <c r="W14" s="19"/>
    </row>
    <row r="15" spans="1:30" x14ac:dyDescent="0.2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ref="D21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9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9" t="s">
        <v>17</v>
      </c>
      <c r="P2">
        <f>SUM(N2:N6)</f>
        <v>78.099999999999994</v>
      </c>
      <c r="R2" t="s">
        <v>25</v>
      </c>
      <c r="S2">
        <v>172000</v>
      </c>
      <c r="W2" s="49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9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9"/>
      <c r="C3">
        <v>-6.4</v>
      </c>
      <c r="G3" t="s">
        <v>22</v>
      </c>
      <c r="H3">
        <v>66000</v>
      </c>
      <c r="M3" s="49"/>
      <c r="N3">
        <v>20.2</v>
      </c>
      <c r="R3" t="s">
        <v>22</v>
      </c>
      <c r="S3">
        <v>142000</v>
      </c>
      <c r="W3" s="49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9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9"/>
      <c r="C4">
        <v>36.9</v>
      </c>
      <c r="G4" t="s">
        <v>26</v>
      </c>
      <c r="H4">
        <f>D25</f>
        <v>306390</v>
      </c>
      <c r="M4" s="49"/>
      <c r="N4">
        <v>22.4</v>
      </c>
      <c r="R4" t="s">
        <v>26</v>
      </c>
      <c r="S4">
        <f>O28</f>
        <v>115265</v>
      </c>
      <c r="W4" s="49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9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9"/>
      <c r="C5">
        <v>4.8</v>
      </c>
      <c r="G5" t="s">
        <v>23</v>
      </c>
      <c r="H5">
        <v>58000</v>
      </c>
      <c r="M5" s="49"/>
      <c r="N5">
        <v>10.8</v>
      </c>
      <c r="R5" t="s">
        <v>23</v>
      </c>
      <c r="S5">
        <v>65000</v>
      </c>
      <c r="W5" s="49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9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9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9"/>
      <c r="N6">
        <v>24.7</v>
      </c>
      <c r="R6" t="s">
        <v>24</v>
      </c>
      <c r="S6">
        <f>SUM(S2:S5)</f>
        <v>494265</v>
      </c>
      <c r="W6" s="49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9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9"/>
      <c r="C7">
        <v>19.3</v>
      </c>
      <c r="M7" s="49" t="s">
        <v>18</v>
      </c>
      <c r="N7">
        <v>8.1</v>
      </c>
      <c r="P7">
        <f>SUM(N7:N11)</f>
        <v>53.6</v>
      </c>
      <c r="W7" s="49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9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9"/>
      <c r="C8">
        <v>22.2</v>
      </c>
      <c r="M8" s="49"/>
      <c r="N8">
        <v>-6.8</v>
      </c>
      <c r="W8" s="49"/>
      <c r="X8">
        <v>12514</v>
      </c>
      <c r="Y8" s="17">
        <f t="shared" si="0"/>
        <v>7.8212500000000004E-2</v>
      </c>
      <c r="AG8" s="49"/>
      <c r="AH8">
        <v>13989</v>
      </c>
      <c r="AI8" s="17">
        <f t="shared" si="1"/>
        <v>6.9944999999999993E-2</v>
      </c>
      <c r="AM8" s="3"/>
    </row>
    <row r="9" spans="2:41" x14ac:dyDescent="0.2">
      <c r="B9" s="49"/>
      <c r="C9">
        <v>10.8</v>
      </c>
      <c r="M9" s="49"/>
      <c r="N9">
        <v>23.2</v>
      </c>
      <c r="S9" s="10"/>
      <c r="W9" s="49"/>
      <c r="X9">
        <v>20811</v>
      </c>
      <c r="Y9" s="17">
        <f t="shared" si="0"/>
        <v>0.13006875000000001</v>
      </c>
      <c r="AC9" s="10"/>
      <c r="AG9" s="49"/>
      <c r="AH9">
        <v>23989</v>
      </c>
      <c r="AI9" s="17">
        <f t="shared" si="1"/>
        <v>0.119945</v>
      </c>
      <c r="AM9" s="10"/>
    </row>
    <row r="10" spans="2:41" x14ac:dyDescent="0.2">
      <c r="B10" s="49" t="s">
        <v>19</v>
      </c>
      <c r="C10">
        <v>24.2</v>
      </c>
      <c r="E10">
        <f>SUM(C10:C13)</f>
        <v>64.599999999999994</v>
      </c>
      <c r="M10" s="49"/>
      <c r="N10">
        <v>17.100000000000001</v>
      </c>
      <c r="W10" s="49"/>
      <c r="X10">
        <v>13577</v>
      </c>
      <c r="Y10" s="17">
        <f t="shared" si="0"/>
        <v>8.4856249999999994E-2</v>
      </c>
      <c r="AG10" s="49"/>
      <c r="AH10">
        <v>12000</v>
      </c>
      <c r="AI10" s="17">
        <f t="shared" si="1"/>
        <v>0.06</v>
      </c>
    </row>
    <row r="11" spans="2:41" x14ac:dyDescent="0.2">
      <c r="B11" s="49"/>
      <c r="C11">
        <v>0.8</v>
      </c>
      <c r="M11" s="49"/>
      <c r="N11">
        <v>12</v>
      </c>
      <c r="W11" s="49"/>
      <c r="X11">
        <v>1412</v>
      </c>
      <c r="Y11" s="17">
        <f t="shared" si="0"/>
        <v>8.8249999999999995E-3</v>
      </c>
      <c r="AG11" s="49"/>
      <c r="AH11">
        <v>13391</v>
      </c>
      <c r="AI11" s="17">
        <f t="shared" si="1"/>
        <v>6.6955000000000001E-2</v>
      </c>
    </row>
    <row r="12" spans="2:41" x14ac:dyDescent="0.2">
      <c r="B12" s="49"/>
      <c r="C12">
        <v>28.1</v>
      </c>
      <c r="M12" s="49" t="s">
        <v>19</v>
      </c>
      <c r="N12">
        <v>7.5</v>
      </c>
      <c r="P12">
        <f>SUM(N12:N16)</f>
        <v>62.6</v>
      </c>
      <c r="W12" s="49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9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9"/>
      <c r="C13">
        <v>11.5</v>
      </c>
      <c r="M13" s="49"/>
      <c r="N13">
        <v>13</v>
      </c>
      <c r="W13" s="49"/>
      <c r="X13">
        <v>9637</v>
      </c>
      <c r="Y13" s="17">
        <f t="shared" si="0"/>
        <v>6.023125E-2</v>
      </c>
      <c r="AG13" s="49"/>
      <c r="AH13">
        <v>-2716</v>
      </c>
      <c r="AI13" s="17">
        <f t="shared" si="1"/>
        <v>-1.358E-2</v>
      </c>
    </row>
    <row r="14" spans="2:41" x14ac:dyDescent="0.2">
      <c r="B14" s="49" t="s">
        <v>20</v>
      </c>
      <c r="C14">
        <v>4.9000000000000004</v>
      </c>
      <c r="E14">
        <f>SUM(C14:C18)</f>
        <v>65.5</v>
      </c>
      <c r="M14" s="49"/>
      <c r="N14">
        <v>4.8</v>
      </c>
      <c r="W14" s="49"/>
      <c r="X14">
        <v>6542</v>
      </c>
      <c r="Y14" s="17">
        <f t="shared" si="0"/>
        <v>4.08875E-2</v>
      </c>
      <c r="AG14" s="49"/>
      <c r="AH14">
        <v>-37463</v>
      </c>
      <c r="AI14" s="17">
        <f t="shared" si="1"/>
        <v>-0.18731500000000001</v>
      </c>
    </row>
    <row r="15" spans="2:41" x14ac:dyDescent="0.2">
      <c r="B15" s="49"/>
      <c r="C15">
        <v>43.6</v>
      </c>
      <c r="M15" s="49"/>
      <c r="N15">
        <v>10.9</v>
      </c>
      <c r="W15" s="49"/>
      <c r="X15">
        <v>8408</v>
      </c>
      <c r="Y15" s="17">
        <f t="shared" si="0"/>
        <v>5.2549999999999999E-2</v>
      </c>
      <c r="AG15" s="49"/>
      <c r="AH15">
        <v>12412</v>
      </c>
      <c r="AI15" s="17">
        <f t="shared" si="1"/>
        <v>6.2059999999999997E-2</v>
      </c>
    </row>
    <row r="16" spans="2:41" x14ac:dyDescent="0.2">
      <c r="B16" s="49"/>
      <c r="C16">
        <v>-4.2</v>
      </c>
      <c r="M16" s="49"/>
      <c r="N16">
        <v>26.4</v>
      </c>
      <c r="W16" s="49"/>
      <c r="X16">
        <v>-6006</v>
      </c>
      <c r="Y16" s="17">
        <f t="shared" si="0"/>
        <v>-3.7537500000000001E-2</v>
      </c>
      <c r="AG16" s="49"/>
      <c r="AH16">
        <v>10060</v>
      </c>
      <c r="AI16" s="17">
        <f t="shared" si="1"/>
        <v>5.0299999999999997E-2</v>
      </c>
    </row>
    <row r="17" spans="2:38" x14ac:dyDescent="0.2">
      <c r="B17" s="49"/>
      <c r="C17">
        <v>8.1999999999999993</v>
      </c>
      <c r="M17" s="49" t="s">
        <v>20</v>
      </c>
      <c r="N17">
        <v>-118.2</v>
      </c>
      <c r="P17">
        <f>SUM(N17:N21)</f>
        <v>-90.300000000000011</v>
      </c>
      <c r="W17" s="49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9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9"/>
      <c r="C18">
        <v>13</v>
      </c>
      <c r="M18" s="49"/>
      <c r="N18">
        <v>-4</v>
      </c>
      <c r="W18" s="49"/>
      <c r="X18">
        <v>16136</v>
      </c>
      <c r="Y18" s="17">
        <f t="shared" si="0"/>
        <v>0.10085</v>
      </c>
      <c r="AG18" s="49"/>
      <c r="AH18">
        <v>5687</v>
      </c>
      <c r="AI18" s="17">
        <f t="shared" si="1"/>
        <v>2.8434999999999998E-2</v>
      </c>
    </row>
    <row r="19" spans="2:38" x14ac:dyDescent="0.2">
      <c r="B19" s="49" t="s">
        <v>21</v>
      </c>
      <c r="C19">
        <v>9</v>
      </c>
      <c r="E19">
        <f>SUM(C19:C23)</f>
        <v>62</v>
      </c>
      <c r="M19" s="49"/>
      <c r="N19">
        <v>16.3</v>
      </c>
      <c r="W19" s="49"/>
      <c r="Y19" s="17">
        <f t="shared" si="0"/>
        <v>0</v>
      </c>
      <c r="AG19" s="49"/>
      <c r="AH19">
        <v>21733</v>
      </c>
      <c r="AI19" s="17">
        <f t="shared" si="1"/>
        <v>0.108665</v>
      </c>
    </row>
    <row r="20" spans="2:38" x14ac:dyDescent="0.2">
      <c r="B20" s="49"/>
      <c r="C20">
        <v>30.1</v>
      </c>
      <c r="M20" s="49"/>
      <c r="N20">
        <v>15.6</v>
      </c>
      <c r="W20" s="49"/>
      <c r="X20">
        <v>49619</v>
      </c>
      <c r="Y20" s="17">
        <f t="shared" si="0"/>
        <v>0.31011875</v>
      </c>
      <c r="AG20" s="49"/>
      <c r="AH20">
        <f>17976+3580</f>
        <v>21556</v>
      </c>
      <c r="AI20" s="17">
        <f t="shared" si="1"/>
        <v>0.10778</v>
      </c>
    </row>
    <row r="21" spans="2:38" x14ac:dyDescent="0.2">
      <c r="B21" s="49"/>
      <c r="M21" s="49"/>
      <c r="W21" s="49"/>
      <c r="X21">
        <v>19404</v>
      </c>
      <c r="Y21" s="17">
        <f t="shared" si="0"/>
        <v>0.12127499999999999</v>
      </c>
      <c r="AG21" s="49"/>
      <c r="AH21">
        <v>10789</v>
      </c>
      <c r="AI21" s="17">
        <f t="shared" si="1"/>
        <v>5.3945E-2</v>
      </c>
    </row>
    <row r="22" spans="2:38" x14ac:dyDescent="0.2">
      <c r="B22" s="49"/>
      <c r="C22">
        <v>22.9</v>
      </c>
      <c r="M22" s="49" t="s">
        <v>21</v>
      </c>
      <c r="N22">
        <v>-10</v>
      </c>
      <c r="P22">
        <f>SUM(N22:N26)</f>
        <v>11.2</v>
      </c>
      <c r="W22" s="49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9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9"/>
      <c r="M23" s="49"/>
      <c r="N23">
        <v>21.2</v>
      </c>
      <c r="W23" s="49"/>
      <c r="Y23" s="17">
        <f t="shared" si="0"/>
        <v>0</v>
      </c>
      <c r="AG23" s="49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9"/>
      <c r="W24" s="49"/>
      <c r="Y24" s="17">
        <f t="shared" si="0"/>
        <v>0</v>
      </c>
      <c r="AG24" s="49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9"/>
      <c r="W25" s="49"/>
      <c r="Y25" s="17">
        <f t="shared" si="0"/>
        <v>0</v>
      </c>
      <c r="AG25" s="49"/>
      <c r="AH25">
        <f>27071+14672-7637-3380</f>
        <v>30726</v>
      </c>
      <c r="AI25" s="17">
        <f t="shared" si="1"/>
        <v>0.15362999999999999</v>
      </c>
    </row>
    <row r="26" spans="2:38" x14ac:dyDescent="0.2">
      <c r="M26" s="49"/>
      <c r="W26" s="49"/>
      <c r="Y26" s="17">
        <f t="shared" si="0"/>
        <v>0</v>
      </c>
      <c r="AG26" s="49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50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50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50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9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50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9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50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9"/>
      <c r="N34">
        <v>27.4</v>
      </c>
      <c r="O34" s="17">
        <f t="shared" si="2"/>
        <v>0.1957142857142857</v>
      </c>
      <c r="R34" t="s">
        <v>26</v>
      </c>
      <c r="S34">
        <v>197885</v>
      </c>
      <c r="W34" s="49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9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50"/>
      <c r="C35" s="10">
        <v>4.0999999999999996</v>
      </c>
      <c r="D35" s="10"/>
      <c r="E35" s="10"/>
      <c r="F35" s="10"/>
      <c r="M35" s="49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9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9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50" t="s">
        <v>18</v>
      </c>
      <c r="C36" s="10">
        <v>10.9</v>
      </c>
      <c r="D36" s="10"/>
      <c r="E36" s="10">
        <f>SUM(C36:C40)</f>
        <v>48.900000000000006</v>
      </c>
      <c r="F36" s="10"/>
      <c r="M36" s="49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9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9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50"/>
      <c r="C37" s="10">
        <v>3.7</v>
      </c>
      <c r="D37" s="10"/>
      <c r="E37" s="10"/>
      <c r="F37" s="10"/>
      <c r="G37" s="10"/>
      <c r="H37" s="10"/>
      <c r="M37" s="49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9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9"/>
      <c r="AI37" s="17">
        <f t="shared" si="4"/>
        <v>0</v>
      </c>
      <c r="AL37" t="s">
        <v>178</v>
      </c>
      <c r="AM37">
        <v>182216</v>
      </c>
    </row>
    <row r="38" spans="2:41" x14ac:dyDescent="0.2">
      <c r="B38" s="50"/>
      <c r="C38" s="10">
        <v>-6.2</v>
      </c>
      <c r="D38" s="10"/>
      <c r="E38" s="10"/>
      <c r="F38" s="10"/>
      <c r="G38" s="10"/>
      <c r="H38" s="10"/>
      <c r="M38" s="49"/>
      <c r="N38">
        <v>-0.9</v>
      </c>
      <c r="O38" s="17">
        <f t="shared" si="2"/>
        <v>-6.4285714285714285E-3</v>
      </c>
      <c r="W38" s="49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9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50"/>
      <c r="C39" s="10">
        <v>20.100000000000001</v>
      </c>
      <c r="D39" s="10"/>
      <c r="E39" s="10"/>
      <c r="F39" s="10"/>
      <c r="G39" s="10"/>
      <c r="H39" s="10"/>
      <c r="M39" s="49"/>
      <c r="N39">
        <v>21.3</v>
      </c>
      <c r="O39" s="17">
        <f t="shared" si="2"/>
        <v>0.15214285714285714</v>
      </c>
      <c r="S39" s="10"/>
      <c r="W39" s="49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9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50"/>
      <c r="C40" s="10">
        <v>20.399999999999999</v>
      </c>
      <c r="D40" s="10"/>
      <c r="E40" s="10"/>
      <c r="F40" s="10"/>
      <c r="M40" s="49"/>
      <c r="N40">
        <v>10.199999999999999</v>
      </c>
      <c r="O40" s="17">
        <f t="shared" si="2"/>
        <v>7.2857142857142843E-2</v>
      </c>
      <c r="W40" s="49"/>
      <c r="X40">
        <v>-33678</v>
      </c>
      <c r="Y40" s="17">
        <f t="shared" si="3"/>
        <v>-0.19810588235294119</v>
      </c>
      <c r="AG40" s="49"/>
      <c r="AH40">
        <v>21305</v>
      </c>
      <c r="AI40" s="17">
        <f t="shared" si="4"/>
        <v>9.5968468468468474E-2</v>
      </c>
    </row>
    <row r="41" spans="2:41" x14ac:dyDescent="0.2">
      <c r="B41" s="50" t="s">
        <v>19</v>
      </c>
      <c r="C41" s="10">
        <v>18.5</v>
      </c>
      <c r="D41" s="10"/>
      <c r="E41" s="10">
        <f>SUM(C41:C45)</f>
        <v>73.8</v>
      </c>
      <c r="F41" s="10"/>
      <c r="M41" s="49"/>
      <c r="N41">
        <v>7.3</v>
      </c>
      <c r="O41" s="17">
        <f t="shared" si="2"/>
        <v>5.2142857142857144E-2</v>
      </c>
      <c r="W41" s="49"/>
      <c r="X41">
        <v>15143</v>
      </c>
      <c r="Y41" s="17">
        <f t="shared" si="3"/>
        <v>8.9076470588235299E-2</v>
      </c>
      <c r="AC41" s="10"/>
      <c r="AG41" s="49"/>
      <c r="AH41">
        <v>12952</v>
      </c>
      <c r="AI41" s="17">
        <f t="shared" si="4"/>
        <v>5.834234234234234E-2</v>
      </c>
      <c r="AM41" s="10"/>
    </row>
    <row r="42" spans="2:41" x14ac:dyDescent="0.2">
      <c r="B42" s="50"/>
      <c r="C42" s="10"/>
      <c r="D42" s="10"/>
      <c r="E42" s="10"/>
      <c r="F42" s="10"/>
      <c r="M42" s="49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9"/>
      <c r="X42">
        <v>6921</v>
      </c>
      <c r="Y42" s="17">
        <f t="shared" si="3"/>
        <v>4.071176470588235E-2</v>
      </c>
      <c r="AG42" s="49"/>
      <c r="AH42">
        <v>13077</v>
      </c>
      <c r="AI42" s="17">
        <f t="shared" si="4"/>
        <v>5.8905405405405405E-2</v>
      </c>
    </row>
    <row r="43" spans="2:41" x14ac:dyDescent="0.2">
      <c r="B43" s="50"/>
      <c r="C43" s="10">
        <v>34</v>
      </c>
      <c r="D43" s="10"/>
      <c r="E43" s="10"/>
      <c r="M43" s="49"/>
      <c r="O43" s="17">
        <f t="shared" si="2"/>
        <v>0</v>
      </c>
      <c r="W43" s="49"/>
      <c r="X43">
        <v>1053</v>
      </c>
      <c r="Y43" s="17">
        <f t="shared" si="3"/>
        <v>6.1941176470588239E-3</v>
      </c>
      <c r="AG43" s="49"/>
      <c r="AI43" s="17">
        <f t="shared" si="4"/>
        <v>0</v>
      </c>
    </row>
    <row r="44" spans="2:41" x14ac:dyDescent="0.2">
      <c r="B44" s="50"/>
      <c r="C44" s="10">
        <v>13.2</v>
      </c>
      <c r="D44" s="10"/>
      <c r="E44" s="10"/>
      <c r="F44" s="10"/>
      <c r="M44" s="49"/>
      <c r="N44">
        <v>19.2</v>
      </c>
      <c r="O44" s="17">
        <f t="shared" si="2"/>
        <v>0.13714285714285715</v>
      </c>
      <c r="W44" s="49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9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50"/>
      <c r="C45" s="10">
        <v>8.1</v>
      </c>
      <c r="D45" s="10"/>
      <c r="E45" s="10"/>
      <c r="F45" s="10"/>
      <c r="M45" s="49"/>
      <c r="N45">
        <v>-1.9</v>
      </c>
      <c r="O45" s="17">
        <f t="shared" si="2"/>
        <v>-1.3571428571428571E-2</v>
      </c>
      <c r="W45" s="49"/>
      <c r="X45">
        <v>13430</v>
      </c>
      <c r="Y45" s="17">
        <f t="shared" si="3"/>
        <v>7.9000000000000001E-2</v>
      </c>
      <c r="AG45" s="49"/>
      <c r="AH45">
        <v>229</v>
      </c>
      <c r="AI45" s="17">
        <f t="shared" si="4"/>
        <v>1.0315315315315315E-3</v>
      </c>
    </row>
    <row r="46" spans="2:41" x14ac:dyDescent="0.2">
      <c r="B46" s="50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9"/>
      <c r="N46">
        <v>22.3</v>
      </c>
      <c r="O46" s="17">
        <f t="shared" si="2"/>
        <v>0.15928571428571428</v>
      </c>
      <c r="W46" s="49"/>
      <c r="X46">
        <v>-13924</v>
      </c>
      <c r="Y46" s="17">
        <f t="shared" si="3"/>
        <v>-8.1905882352941176E-2</v>
      </c>
      <c r="AG46" s="49"/>
      <c r="AH46">
        <v>19551</v>
      </c>
      <c r="AI46" s="17">
        <f t="shared" si="4"/>
        <v>8.8067567567567562E-2</v>
      </c>
    </row>
    <row r="47" spans="2:41" x14ac:dyDescent="0.2">
      <c r="B47" s="50"/>
      <c r="C47" s="10">
        <v>29.2</v>
      </c>
      <c r="D47" s="10"/>
      <c r="E47" s="10"/>
      <c r="F47" s="10"/>
      <c r="G47" s="10"/>
      <c r="H47" s="10"/>
      <c r="M47" s="49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9"/>
      <c r="X47">
        <v>15018</v>
      </c>
      <c r="Y47" s="17">
        <f t="shared" si="3"/>
        <v>8.8341176470588229E-2</v>
      </c>
      <c r="AG47" s="49"/>
      <c r="AH47">
        <v>16372</v>
      </c>
      <c r="AI47" s="17">
        <f t="shared" si="4"/>
        <v>7.3747747747747741E-2</v>
      </c>
    </row>
    <row r="48" spans="2:41" x14ac:dyDescent="0.2">
      <c r="B48" s="50"/>
      <c r="C48" s="10">
        <v>6.4</v>
      </c>
      <c r="D48" s="10"/>
      <c r="E48" s="10"/>
      <c r="F48" s="10"/>
      <c r="G48" s="10"/>
      <c r="H48" s="10"/>
      <c r="M48" s="49"/>
      <c r="N48">
        <v>16.3</v>
      </c>
      <c r="O48" s="17">
        <f t="shared" si="2"/>
        <v>0.11642857142857142</v>
      </c>
      <c r="W48" s="49"/>
      <c r="X48">
        <v>13405</v>
      </c>
      <c r="Y48" s="17">
        <f t="shared" si="3"/>
        <v>7.8852941176470584E-2</v>
      </c>
      <c r="AG48" s="49"/>
      <c r="AH48">
        <v>9432</v>
      </c>
      <c r="AI48" s="17">
        <f t="shared" si="4"/>
        <v>4.2486486486486487E-2</v>
      </c>
    </row>
    <row r="49" spans="2:38" x14ac:dyDescent="0.2">
      <c r="B49" s="50"/>
      <c r="C49" s="10">
        <v>37</v>
      </c>
      <c r="D49" s="10"/>
      <c r="E49" s="10"/>
      <c r="F49" s="10"/>
      <c r="G49" s="10"/>
      <c r="H49" s="10"/>
      <c r="M49" s="49"/>
      <c r="N49">
        <v>11.3</v>
      </c>
      <c r="O49" s="17">
        <f t="shared" si="2"/>
        <v>8.0714285714285711E-2</v>
      </c>
      <c r="W49" s="49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9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50"/>
      <c r="C50" s="10">
        <v>4</v>
      </c>
      <c r="D50" s="10"/>
      <c r="E50" s="10"/>
      <c r="F50" s="10"/>
      <c r="G50" s="10"/>
      <c r="H50" s="10"/>
      <c r="M50" s="49"/>
      <c r="N50">
        <v>7.6</v>
      </c>
      <c r="O50" s="17">
        <f t="shared" si="2"/>
        <v>5.4285714285714284E-2</v>
      </c>
      <c r="W50" s="49"/>
      <c r="X50">
        <v>-714</v>
      </c>
      <c r="Y50" s="17">
        <f t="shared" si="3"/>
        <v>-4.1999999999999997E-3</v>
      </c>
      <c r="AG50" s="49"/>
      <c r="AH50">
        <v>13468</v>
      </c>
      <c r="AI50" s="17">
        <f t="shared" si="4"/>
        <v>6.0666666666666667E-2</v>
      </c>
    </row>
    <row r="51" spans="2:38" x14ac:dyDescent="0.2">
      <c r="B51" s="50"/>
      <c r="C51" s="10">
        <v>9.8000000000000007</v>
      </c>
      <c r="D51" s="10"/>
      <c r="E51" s="10"/>
      <c r="F51" s="10"/>
      <c r="G51" s="10"/>
      <c r="H51" s="10"/>
      <c r="M51" s="49"/>
      <c r="N51">
        <v>11.6</v>
      </c>
      <c r="O51" s="17">
        <f t="shared" si="2"/>
        <v>8.2857142857142851E-2</v>
      </c>
      <c r="W51" s="49"/>
      <c r="X51">
        <v>-450</v>
      </c>
      <c r="Y51" s="17">
        <f t="shared" si="3"/>
        <v>-2.6470588235294116E-3</v>
      </c>
      <c r="AG51" s="49"/>
      <c r="AH51">
        <v>9439</v>
      </c>
      <c r="AI51" s="17">
        <f t="shared" si="4"/>
        <v>4.2518018018018015E-2</v>
      </c>
    </row>
    <row r="52" spans="2:38" x14ac:dyDescent="0.2">
      <c r="B52" s="50" t="s">
        <v>21</v>
      </c>
      <c r="C52" s="10"/>
      <c r="D52" s="10"/>
      <c r="E52" s="10">
        <f>SUM(C52:C56)</f>
        <v>0</v>
      </c>
      <c r="F52" s="10"/>
      <c r="G52" s="10"/>
      <c r="H52" s="10"/>
      <c r="M52" s="49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9"/>
      <c r="X52">
        <v>51238</v>
      </c>
      <c r="Y52" s="17">
        <f t="shared" si="3"/>
        <v>0.3014</v>
      </c>
      <c r="AG52" s="49"/>
      <c r="AH52">
        <v>23888</v>
      </c>
      <c r="AI52" s="17">
        <f t="shared" si="4"/>
        <v>0.1076036036036036</v>
      </c>
    </row>
    <row r="53" spans="2:38" x14ac:dyDescent="0.2">
      <c r="B53" s="50"/>
      <c r="C53" s="10"/>
      <c r="D53" s="10"/>
      <c r="E53" s="10"/>
      <c r="F53" s="10"/>
      <c r="G53" s="10"/>
      <c r="H53" s="10"/>
      <c r="M53" s="49"/>
      <c r="O53" s="17">
        <f t="shared" si="2"/>
        <v>0</v>
      </c>
      <c r="W53" s="49"/>
      <c r="Y53" s="17">
        <f t="shared" si="3"/>
        <v>0</v>
      </c>
      <c r="AG53" s="49"/>
      <c r="AH53">
        <v>7555</v>
      </c>
      <c r="AI53" s="17">
        <f t="shared" si="4"/>
        <v>3.4031531531531531E-2</v>
      </c>
    </row>
    <row r="54" spans="2:38" x14ac:dyDescent="0.2">
      <c r="B54" s="50"/>
      <c r="C54" s="10"/>
      <c r="D54" s="10"/>
      <c r="E54" s="10"/>
      <c r="F54" s="10"/>
      <c r="G54" s="10"/>
      <c r="H54" s="10"/>
      <c r="M54" s="49"/>
      <c r="O54" s="17">
        <f t="shared" si="2"/>
        <v>0</v>
      </c>
      <c r="W54" s="49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9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50"/>
      <c r="C55" s="10"/>
      <c r="D55" s="10"/>
      <c r="E55" s="10"/>
      <c r="F55" s="10"/>
      <c r="G55" s="10"/>
      <c r="H55" s="10"/>
      <c r="M55" s="49"/>
      <c r="O55" s="17">
        <f t="shared" si="2"/>
        <v>0</v>
      </c>
      <c r="W55" s="49"/>
      <c r="X55">
        <v>21835</v>
      </c>
      <c r="Y55" s="17">
        <f t="shared" si="3"/>
        <v>0.12844117647058823</v>
      </c>
      <c r="AG55" s="49"/>
      <c r="AH55">
        <v>14479</v>
      </c>
      <c r="AI55" s="17">
        <f t="shared" si="4"/>
        <v>6.5220720720720715E-2</v>
      </c>
    </row>
    <row r="56" spans="2:38" x14ac:dyDescent="0.2">
      <c r="B56" s="50"/>
      <c r="C56" s="10"/>
      <c r="D56" s="10"/>
      <c r="E56" s="10"/>
      <c r="F56" s="10"/>
      <c r="G56" s="10"/>
      <c r="H56" s="10"/>
      <c r="M56" s="49"/>
      <c r="O56" s="17">
        <f t="shared" si="2"/>
        <v>0</v>
      </c>
      <c r="W56" s="49"/>
      <c r="X56">
        <v>12411</v>
      </c>
      <c r="Y56" s="17">
        <f t="shared" si="3"/>
        <v>7.300588235294117E-2</v>
      </c>
      <c r="AG56" s="49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9"/>
      <c r="Y57" s="17">
        <f t="shared" si="3"/>
        <v>0</v>
      </c>
      <c r="AG57" s="49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9"/>
      <c r="Y58" s="17">
        <f t="shared" si="3"/>
        <v>0</v>
      </c>
      <c r="AG58" s="49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1" t="s">
        <v>939</v>
      </c>
      <c r="C8" s="51" t="s">
        <v>940</v>
      </c>
      <c r="D8" s="33" t="s">
        <v>941</v>
      </c>
      <c r="E8" s="51" t="s">
        <v>940</v>
      </c>
    </row>
    <row r="9" spans="2:5" ht="18" x14ac:dyDescent="0.2">
      <c r="B9" s="51"/>
      <c r="C9" s="51"/>
      <c r="D9" s="40">
        <v>300000</v>
      </c>
      <c r="E9" s="51"/>
    </row>
    <row r="10" spans="2:5" ht="18" x14ac:dyDescent="0.2">
      <c r="B10" s="51" t="s">
        <v>942</v>
      </c>
      <c r="C10" s="51" t="s">
        <v>943</v>
      </c>
      <c r="D10" s="33" t="s">
        <v>944</v>
      </c>
      <c r="E10" s="51" t="s">
        <v>943</v>
      </c>
    </row>
    <row r="11" spans="2:5" ht="18" x14ac:dyDescent="0.2">
      <c r="B11" s="51"/>
      <c r="C11" s="51"/>
      <c r="D11" s="40">
        <v>600000</v>
      </c>
      <c r="E11" s="51"/>
    </row>
    <row r="12" spans="2:5" ht="18" x14ac:dyDescent="0.2">
      <c r="B12" s="51" t="s">
        <v>945</v>
      </c>
      <c r="C12" s="51" t="s">
        <v>946</v>
      </c>
      <c r="D12" s="33" t="s">
        <v>947</v>
      </c>
      <c r="E12" s="33" t="s">
        <v>948</v>
      </c>
    </row>
    <row r="13" spans="2:5" ht="18" x14ac:dyDescent="0.2">
      <c r="B13" s="51"/>
      <c r="C13" s="51"/>
      <c r="D13" s="40">
        <v>900000</v>
      </c>
      <c r="E13" s="40">
        <v>600000</v>
      </c>
    </row>
    <row r="14" spans="2:5" ht="18" x14ac:dyDescent="0.2">
      <c r="B14" s="51" t="s">
        <v>949</v>
      </c>
      <c r="C14" s="51" t="s">
        <v>950</v>
      </c>
      <c r="D14" s="33" t="s">
        <v>951</v>
      </c>
      <c r="E14" s="33" t="s">
        <v>952</v>
      </c>
    </row>
    <row r="15" spans="2:5" ht="18" x14ac:dyDescent="0.2">
      <c r="B15" s="51"/>
      <c r="C15" s="51"/>
      <c r="D15" s="40">
        <v>1200000</v>
      </c>
      <c r="E15" s="40">
        <v>900000</v>
      </c>
    </row>
    <row r="16" spans="2:5" ht="18" x14ac:dyDescent="0.2">
      <c r="B16" s="51"/>
      <c r="C16" s="51"/>
      <c r="D16" s="33" t="s">
        <v>953</v>
      </c>
      <c r="E16" s="33" t="s">
        <v>954</v>
      </c>
    </row>
    <row r="17" spans="2:10" ht="18" x14ac:dyDescent="0.2">
      <c r="B17" s="51"/>
      <c r="C17" s="51"/>
      <c r="D17" s="40">
        <v>1500000</v>
      </c>
      <c r="E17" s="40">
        <v>1200000</v>
      </c>
    </row>
    <row r="18" spans="2:10" ht="18" x14ac:dyDescent="0.2">
      <c r="B18" s="51"/>
      <c r="C18" s="51"/>
      <c r="D18" s="51" t="s">
        <v>955</v>
      </c>
      <c r="E18" s="33" t="s">
        <v>956</v>
      </c>
    </row>
    <row r="19" spans="2:10" ht="18" x14ac:dyDescent="0.2">
      <c r="B19" s="51"/>
      <c r="C19" s="51"/>
      <c r="D19" s="51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  <mergeCell ref="B8:B9"/>
    <mergeCell ref="C8:C9"/>
    <mergeCell ref="E8:E9"/>
    <mergeCell ref="B10:B11"/>
    <mergeCell ref="C10:C11"/>
    <mergeCell ref="E10:E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Sheet1 (2)</vt:lpstr>
      <vt:lpstr>Sheet1 (3)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2024-12-30T15:35:03Z</dcterms:modified>
</cp:coreProperties>
</file>