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killovilla\"/>
    </mc:Choice>
  </mc:AlternateContent>
  <xr:revisionPtr revIDLastSave="0" documentId="13_ncr:1_{9E71397D-80B7-414D-A89E-588DC401EAA4}" xr6:coauthVersionLast="36" xr6:coauthVersionMax="47" xr10:uidLastSave="{00000000-0000-0000-0000-000000000000}"/>
  <bookViews>
    <workbookView xWindow="-108" yWindow="-108" windowWidth="23256" windowHeight="12576" activeTab="1" xr2:uid="{07A94F8A-C1C5-4CB5-85CB-1A877B4E0905}"/>
  </bookViews>
  <sheets>
    <sheet name="raw" sheetId="1" r:id="rId1"/>
    <sheet name="final calculations" sheetId="4" r:id="rId2"/>
    <sheet name="Dashboard" sheetId="6" r:id="rId3"/>
    <sheet name="graphs" sheetId="2" r:id="rId4"/>
    <sheet name="references" sheetId="3" r:id="rId5"/>
  </sheets>
  <definedNames>
    <definedName name="_xlnm._FilterDatabase" localSheetId="1" hidden="1">'final calculations'!$G$19:$M$28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4" l="1"/>
  <c r="D78" i="4" s="1"/>
  <c r="D61" i="4"/>
  <c r="D62" i="4" s="1"/>
  <c r="D58" i="4"/>
  <c r="D59" i="4" s="1"/>
  <c r="D23" i="4"/>
  <c r="D27" i="4"/>
  <c r="D28" i="4" s="1"/>
  <c r="J10" i="4" s="1"/>
  <c r="D25" i="4"/>
  <c r="D26" i="4"/>
  <c r="I10" i="4" s="1"/>
  <c r="H10" i="4"/>
  <c r="D33" i="4"/>
  <c r="E35" i="4" s="1"/>
  <c r="D53" i="4"/>
  <c r="D56" i="4" s="1"/>
  <c r="O10" i="4"/>
  <c r="D72" i="4"/>
  <c r="D73" i="4" s="1"/>
  <c r="D74" i="4" s="1"/>
  <c r="D75" i="4" s="1"/>
  <c r="D76" i="4" s="1"/>
  <c r="D77" i="4" s="1"/>
  <c r="D68" i="4"/>
  <c r="D66" i="4"/>
  <c r="D67" i="4" s="1"/>
  <c r="D69" i="4" s="1"/>
  <c r="D50" i="4"/>
  <c r="D37" i="4"/>
  <c r="D47" i="4"/>
  <c r="D43" i="4"/>
  <c r="E45" i="4" s="1"/>
  <c r="F74" i="1"/>
  <c r="G72" i="1"/>
  <c r="G71" i="1"/>
  <c r="F73" i="1"/>
  <c r="G68" i="1"/>
  <c r="F66" i="1"/>
  <c r="F67" i="1"/>
  <c r="F65" i="1"/>
  <c r="E68" i="1"/>
  <c r="I35" i="4"/>
  <c r="J35" i="4" s="1"/>
  <c r="K35" i="4" s="1"/>
  <c r="L35" i="4" s="1"/>
  <c r="M35" i="4" s="1"/>
  <c r="N35" i="4" s="1"/>
  <c r="O35" i="4" s="1"/>
  <c r="I36" i="4"/>
  <c r="J36" i="4" s="1"/>
  <c r="K36" i="4" s="1"/>
  <c r="L36" i="4" s="1"/>
  <c r="M36" i="4" s="1"/>
  <c r="N36" i="4" s="1"/>
  <c r="O36" i="4" s="1"/>
  <c r="I37" i="4"/>
  <c r="J37" i="4" s="1"/>
  <c r="K37" i="4" s="1"/>
  <c r="L37" i="4" s="1"/>
  <c r="M37" i="4" s="1"/>
  <c r="N37" i="4" s="1"/>
  <c r="O37" i="4" s="1"/>
  <c r="P37" i="4" s="1"/>
  <c r="I38" i="4"/>
  <c r="J38" i="4" s="1"/>
  <c r="K38" i="4" s="1"/>
  <c r="L38" i="4" s="1"/>
  <c r="M38" i="4" s="1"/>
  <c r="N38" i="4" s="1"/>
  <c r="O38" i="4" s="1"/>
  <c r="I39" i="4"/>
  <c r="J39" i="4" s="1"/>
  <c r="K39" i="4" s="1"/>
  <c r="L39" i="4" s="1"/>
  <c r="M39" i="4" s="1"/>
  <c r="N39" i="4" s="1"/>
  <c r="O39" i="4" s="1"/>
  <c r="I34" i="4"/>
  <c r="J34" i="4" s="1"/>
  <c r="K34" i="4" s="1"/>
  <c r="L34" i="4" s="1"/>
  <c r="M34" i="4" s="1"/>
  <c r="D48" i="4" s="1"/>
  <c r="D49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M28" i="4"/>
  <c r="Q21" i="4"/>
  <c r="Q22" i="4"/>
  <c r="Q23" i="4"/>
  <c r="Q24" i="4"/>
  <c r="Q25" i="4"/>
  <c r="Q26" i="4"/>
  <c r="Q27" i="4"/>
  <c r="Q20" i="4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I20" i="4"/>
  <c r="I21" i="4"/>
  <c r="I22" i="4"/>
  <c r="I23" i="4"/>
  <c r="I24" i="4"/>
  <c r="I25" i="4"/>
  <c r="I26" i="4"/>
  <c r="I27" i="4"/>
  <c r="R74" i="1"/>
  <c r="Q74" i="1"/>
  <c r="E4" i="4"/>
  <c r="E5" i="4"/>
  <c r="E6" i="4"/>
  <c r="E7" i="4"/>
  <c r="E8" i="4"/>
  <c r="E9" i="4"/>
  <c r="E10" i="4"/>
  <c r="E11" i="4"/>
  <c r="E12" i="4"/>
  <c r="E13" i="4"/>
  <c r="E14" i="4"/>
  <c r="E15" i="4"/>
  <c r="E3" i="4"/>
  <c r="E44" i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18" i="1"/>
  <c r="F19" i="1" s="1"/>
  <c r="F20" i="1" s="1"/>
  <c r="F22" i="1" s="1"/>
  <c r="F30" i="1" s="1"/>
  <c r="F31" i="1" s="1"/>
  <c r="F4" i="1"/>
  <c r="F5" i="1" s="1"/>
  <c r="F29" i="1"/>
  <c r="F28" i="1"/>
  <c r="F26" i="1"/>
  <c r="F25" i="1"/>
  <c r="F23" i="1"/>
  <c r="F16" i="1"/>
  <c r="F17" i="1" s="1"/>
  <c r="F14" i="1"/>
  <c r="H11" i="4" l="1"/>
  <c r="H12" i="4" s="1"/>
  <c r="H13" i="4" s="1"/>
  <c r="H14" i="4" s="1"/>
  <c r="H15" i="4" s="1"/>
  <c r="I15" i="4" s="1"/>
  <c r="D54" i="4"/>
  <c r="O11" i="4"/>
  <c r="J11" i="4"/>
  <c r="J12" i="4" s="1"/>
  <c r="J13" i="4" s="1"/>
  <c r="J14" i="4" s="1"/>
  <c r="J15" i="4" s="1"/>
  <c r="D79" i="4"/>
  <c r="N10" i="4" s="1"/>
  <c r="N11" i="4" s="1"/>
  <c r="N12" i="4" s="1"/>
  <c r="N13" i="4" s="1"/>
  <c r="N14" i="4" s="1"/>
  <c r="N15" i="4" s="1"/>
  <c r="O12" i="4"/>
  <c r="N34" i="4"/>
  <c r="O34" i="4" s="1"/>
  <c r="P34" i="4"/>
  <c r="P36" i="4"/>
  <c r="P38" i="4"/>
  <c r="P39" i="4"/>
  <c r="P35" i="4"/>
  <c r="I12" i="4"/>
  <c r="G10" i="4"/>
  <c r="G11" i="4" s="1"/>
  <c r="G12" i="4" s="1"/>
  <c r="I11" i="4"/>
  <c r="K10" i="4"/>
  <c r="I14" i="4"/>
  <c r="I13" i="4"/>
  <c r="H30" i="1"/>
  <c r="H31" i="1" s="1"/>
  <c r="H32" i="1" s="1"/>
  <c r="G4" i="1"/>
  <c r="F32" i="1"/>
  <c r="F8" i="1"/>
  <c r="K15" i="4" l="1"/>
  <c r="K13" i="4"/>
  <c r="K11" i="4"/>
  <c r="L11" i="4" s="1"/>
  <c r="M11" i="4" s="1"/>
  <c r="P10" i="4"/>
  <c r="K14" i="4"/>
  <c r="K12" i="4"/>
  <c r="L12" i="4" s="1"/>
  <c r="M12" i="4" s="1"/>
  <c r="P11" i="4"/>
  <c r="O13" i="4"/>
  <c r="P12" i="4"/>
  <c r="P40" i="4"/>
  <c r="D36" i="4" s="1"/>
  <c r="D40" i="4" s="1"/>
  <c r="D38" i="4"/>
  <c r="L10" i="4"/>
  <c r="M10" i="4" s="1"/>
  <c r="G13" i="4"/>
  <c r="R69" i="1"/>
  <c r="R70" i="1"/>
  <c r="Q69" i="1"/>
  <c r="R57" i="1"/>
  <c r="P74" i="1"/>
  <c r="P69" i="1"/>
  <c r="P64" i="1"/>
  <c r="N58" i="1"/>
  <c r="O58" i="1" s="1"/>
  <c r="N59" i="1"/>
  <c r="O59" i="1" s="1"/>
  <c r="N61" i="1"/>
  <c r="O61" i="1" s="1"/>
  <c r="N63" i="1"/>
  <c r="O63" i="1" s="1"/>
  <c r="N60" i="1"/>
  <c r="O60" i="1" s="1"/>
  <c r="N62" i="1"/>
  <c r="O62" i="1" s="1"/>
  <c r="N64" i="1"/>
  <c r="O64" i="1" s="1"/>
  <c r="N66" i="1"/>
  <c r="O66" i="1" s="1"/>
  <c r="N68" i="1"/>
  <c r="O68" i="1" s="1"/>
  <c r="N65" i="1"/>
  <c r="O65" i="1" s="1"/>
  <c r="N67" i="1"/>
  <c r="O67" i="1" s="1"/>
  <c r="N69" i="1"/>
  <c r="O69" i="1" s="1"/>
  <c r="N71" i="1"/>
  <c r="N73" i="1"/>
  <c r="N70" i="1"/>
  <c r="N72" i="1"/>
  <c r="N74" i="1"/>
  <c r="N75" i="1"/>
  <c r="O75" i="1" s="1"/>
  <c r="N76" i="1"/>
  <c r="O76" i="1" s="1"/>
  <c r="M58" i="1"/>
  <c r="M59" i="1"/>
  <c r="M61" i="1"/>
  <c r="M63" i="1"/>
  <c r="M60" i="1"/>
  <c r="M62" i="1"/>
  <c r="M64" i="1"/>
  <c r="M66" i="1"/>
  <c r="M68" i="1"/>
  <c r="M65" i="1"/>
  <c r="M67" i="1"/>
  <c r="M69" i="1"/>
  <c r="M71" i="1"/>
  <c r="M73" i="1"/>
  <c r="M70" i="1"/>
  <c r="M72" i="1"/>
  <c r="M74" i="1"/>
  <c r="M75" i="1"/>
  <c r="M76" i="1"/>
  <c r="M57" i="1"/>
  <c r="N57" i="1"/>
  <c r="O57" i="1" s="1"/>
  <c r="O6" i="1"/>
  <c r="P6" i="1"/>
  <c r="R6" i="1"/>
  <c r="S6" i="1"/>
  <c r="T6" i="1"/>
  <c r="P7" i="1"/>
  <c r="Q7" i="1"/>
  <c r="T7" i="1"/>
  <c r="U7" i="1"/>
  <c r="R8" i="1"/>
  <c r="O10" i="1"/>
  <c r="P10" i="1"/>
  <c r="R10" i="1"/>
  <c r="S10" i="1"/>
  <c r="T10" i="1"/>
  <c r="P11" i="1"/>
  <c r="Q11" i="1"/>
  <c r="T11" i="1"/>
  <c r="U11" i="1"/>
  <c r="R12" i="1"/>
  <c r="O14" i="1"/>
  <c r="P14" i="1"/>
  <c r="R14" i="1"/>
  <c r="S14" i="1"/>
  <c r="T14" i="1"/>
  <c r="P15" i="1"/>
  <c r="Q15" i="1"/>
  <c r="T15" i="1"/>
  <c r="U15" i="1"/>
  <c r="R16" i="1"/>
  <c r="Q4" i="1"/>
  <c r="P4" i="1"/>
  <c r="T4" i="1"/>
  <c r="S4" i="1"/>
  <c r="R4" i="1"/>
  <c r="H59" i="1"/>
  <c r="H58" i="1"/>
  <c r="H57" i="1"/>
  <c r="F60" i="1"/>
  <c r="H51" i="1"/>
  <c r="H50" i="1"/>
  <c r="H49" i="1"/>
  <c r="H48" i="1"/>
  <c r="H47" i="1"/>
  <c r="H46" i="1"/>
  <c r="H45" i="1"/>
  <c r="H44" i="1"/>
  <c r="G51" i="1"/>
  <c r="F51" i="1"/>
  <c r="E51" i="1"/>
  <c r="D51" i="1" s="1"/>
  <c r="C52" i="1"/>
  <c r="F10" i="1"/>
  <c r="G50" i="1"/>
  <c r="G49" i="1"/>
  <c r="G48" i="1"/>
  <c r="G47" i="1"/>
  <c r="G46" i="1"/>
  <c r="G45" i="1"/>
  <c r="G44" i="1"/>
  <c r="E50" i="1"/>
  <c r="D50" i="1" s="1"/>
  <c r="E49" i="1"/>
  <c r="E48" i="1"/>
  <c r="D48" i="1" s="1"/>
  <c r="E47" i="1"/>
  <c r="D47" i="1" s="1"/>
  <c r="E46" i="1"/>
  <c r="E45" i="1"/>
  <c r="D44" i="1"/>
  <c r="F41" i="1" s="1"/>
  <c r="D45" i="1"/>
  <c r="D46" i="1"/>
  <c r="D49" i="1"/>
  <c r="F50" i="1"/>
  <c r="F49" i="1"/>
  <c r="F48" i="1"/>
  <c r="F47" i="1"/>
  <c r="F46" i="1"/>
  <c r="F45" i="1"/>
  <c r="F44" i="1"/>
  <c r="C79" i="1"/>
  <c r="C28" i="1"/>
  <c r="N5" i="1"/>
  <c r="P5" i="1" s="1"/>
  <c r="N6" i="1"/>
  <c r="Q6" i="1" s="1"/>
  <c r="N7" i="1"/>
  <c r="R7" i="1" s="1"/>
  <c r="N8" i="1"/>
  <c r="O8" i="1" s="1"/>
  <c r="N9" i="1"/>
  <c r="P9" i="1" s="1"/>
  <c r="N10" i="1"/>
  <c r="Q10" i="1" s="1"/>
  <c r="N11" i="1"/>
  <c r="R11" i="1" s="1"/>
  <c r="N12" i="1"/>
  <c r="O12" i="1" s="1"/>
  <c r="N13" i="1"/>
  <c r="P13" i="1" s="1"/>
  <c r="N14" i="1"/>
  <c r="Q14" i="1" s="1"/>
  <c r="N15" i="1"/>
  <c r="R15" i="1" s="1"/>
  <c r="N16" i="1"/>
  <c r="O16" i="1" s="1"/>
  <c r="N17" i="1"/>
  <c r="P17" i="1" s="1"/>
  <c r="N4" i="1"/>
  <c r="U4" i="1" s="1"/>
  <c r="C71" i="1"/>
  <c r="C40" i="1"/>
  <c r="M32" i="1"/>
  <c r="M33" i="1"/>
  <c r="M34" i="1"/>
  <c r="M35" i="1"/>
  <c r="M36" i="1"/>
  <c r="M30" i="1"/>
  <c r="M31" i="1"/>
  <c r="M24" i="1"/>
  <c r="M25" i="1"/>
  <c r="M26" i="1"/>
  <c r="M27" i="1"/>
  <c r="M28" i="1"/>
  <c r="M29" i="1"/>
  <c r="M2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2" i="1"/>
  <c r="M13" i="1"/>
  <c r="M14" i="1"/>
  <c r="M15" i="1"/>
  <c r="M16" i="1"/>
  <c r="M17" i="1"/>
  <c r="K13" i="1"/>
  <c r="K14" i="1"/>
  <c r="K15" i="1"/>
  <c r="K16" i="1"/>
  <c r="K17" i="1"/>
  <c r="K5" i="1"/>
  <c r="K6" i="1"/>
  <c r="K7" i="1"/>
  <c r="K8" i="1"/>
  <c r="K9" i="1"/>
  <c r="K10" i="1"/>
  <c r="K11" i="1"/>
  <c r="K12" i="1"/>
  <c r="K4" i="1"/>
  <c r="M6" i="1"/>
  <c r="M7" i="1"/>
  <c r="M8" i="1"/>
  <c r="M9" i="1"/>
  <c r="M10" i="1"/>
  <c r="M11" i="1"/>
  <c r="M12" i="1"/>
  <c r="M5" i="1"/>
  <c r="Q10" i="4" l="1"/>
  <c r="R11" i="4"/>
  <c r="Q11" i="4"/>
  <c r="R10" i="4"/>
  <c r="Q12" i="4"/>
  <c r="R12" i="4"/>
  <c r="O14" i="4"/>
  <c r="P13" i="4"/>
  <c r="D41" i="4"/>
  <c r="D51" i="4"/>
  <c r="G14" i="4"/>
  <c r="L13" i="4"/>
  <c r="M13" i="4" s="1"/>
  <c r="S17" i="1"/>
  <c r="O17" i="1"/>
  <c r="S13" i="1"/>
  <c r="O13" i="1"/>
  <c r="S9" i="1"/>
  <c r="O9" i="1"/>
  <c r="S5" i="1"/>
  <c r="O5" i="1"/>
  <c r="G52" i="1"/>
  <c r="R17" i="1"/>
  <c r="U16" i="1"/>
  <c r="Q16" i="1"/>
  <c r="R13" i="1"/>
  <c r="U12" i="1"/>
  <c r="Q12" i="1"/>
  <c r="R9" i="1"/>
  <c r="U8" i="1"/>
  <c r="Q8" i="1"/>
  <c r="R5" i="1"/>
  <c r="U17" i="1"/>
  <c r="Q17" i="1"/>
  <c r="T16" i="1"/>
  <c r="P16" i="1"/>
  <c r="S15" i="1"/>
  <c r="O15" i="1"/>
  <c r="U13" i="1"/>
  <c r="Q13" i="1"/>
  <c r="T12" i="1"/>
  <c r="P12" i="1"/>
  <c r="S11" i="1"/>
  <c r="O11" i="1"/>
  <c r="U9" i="1"/>
  <c r="Q9" i="1"/>
  <c r="T8" i="1"/>
  <c r="P8" i="1"/>
  <c r="S7" i="1"/>
  <c r="O7" i="1"/>
  <c r="U5" i="1"/>
  <c r="Q5" i="1"/>
  <c r="O4" i="1"/>
  <c r="T17" i="1"/>
  <c r="S16" i="1"/>
  <c r="U14" i="1"/>
  <c r="T13" i="1"/>
  <c r="S12" i="1"/>
  <c r="U10" i="1"/>
  <c r="T9" i="1"/>
  <c r="S8" i="1"/>
  <c r="U6" i="1"/>
  <c r="T5" i="1"/>
  <c r="P59" i="1"/>
  <c r="H60" i="1"/>
  <c r="H61" i="1" s="1"/>
  <c r="F52" i="1"/>
  <c r="Q13" i="4" l="1"/>
  <c r="R13" i="4"/>
  <c r="P14" i="4"/>
  <c r="P15" i="4"/>
  <c r="G15" i="4"/>
  <c r="L15" i="4" s="1"/>
  <c r="M15" i="4" s="1"/>
  <c r="L14" i="4"/>
  <c r="M14" i="4" s="1"/>
  <c r="Q15" i="4" l="1"/>
  <c r="R15" i="4"/>
  <c r="Q14" i="4"/>
  <c r="R14" i="4"/>
</calcChain>
</file>

<file path=xl/sharedStrings.xml><?xml version="1.0" encoding="utf-8"?>
<sst xmlns="http://schemas.openxmlformats.org/spreadsheetml/2006/main" count="466" uniqueCount="250">
  <si>
    <t>Orders during peak time</t>
  </si>
  <si>
    <t>Avg monthly orders 2022</t>
  </si>
  <si>
    <t>6-8 lakhs</t>
  </si>
  <si>
    <t>YoY growth</t>
  </si>
  <si>
    <t>Data</t>
  </si>
  <si>
    <t>Actual</t>
  </si>
  <si>
    <t>Assumed</t>
  </si>
  <si>
    <t>Forecasted</t>
  </si>
  <si>
    <t>Revenue per order</t>
  </si>
  <si>
    <t>in INR</t>
  </si>
  <si>
    <t>Avg food prep time</t>
  </si>
  <si>
    <t>minutes</t>
  </si>
  <si>
    <t>Avg dist b/w delivery boy and rest</t>
  </si>
  <si>
    <t>km</t>
  </si>
  <si>
    <t>Drone info</t>
  </si>
  <si>
    <t>flying range</t>
  </si>
  <si>
    <t>flying altitude</t>
  </si>
  <si>
    <t>ft</t>
  </si>
  <si>
    <t>flight time</t>
  </si>
  <si>
    <t>min</t>
  </si>
  <si>
    <t>max carrying capacity</t>
  </si>
  <si>
    <t>kg</t>
  </si>
  <si>
    <t>top speed</t>
  </si>
  <si>
    <t>kmph</t>
  </si>
  <si>
    <t>cost of 1 drone</t>
  </si>
  <si>
    <t>INR</t>
  </si>
  <si>
    <t>avg speed</t>
  </si>
  <si>
    <t>avg battery life</t>
  </si>
  <si>
    <t>months</t>
  </si>
  <si>
    <t>monthly maintenance cost</t>
  </si>
  <si>
    <t>cost of 1 battery</t>
  </si>
  <si>
    <t>Legend</t>
  </si>
  <si>
    <t>Value</t>
  </si>
  <si>
    <t>Unit</t>
  </si>
  <si>
    <t>Delivery executive info</t>
  </si>
  <si>
    <t>fixed salary per month</t>
  </si>
  <si>
    <t>fee per delivery (inclusive of bonus)</t>
  </si>
  <si>
    <t>orders delivered per executive per month</t>
  </si>
  <si>
    <t>350-500</t>
  </si>
  <si>
    <t>City wise orders</t>
  </si>
  <si>
    <t>Bangalore</t>
  </si>
  <si>
    <t>Hyderabad</t>
  </si>
  <si>
    <t>Delhi NCR</t>
  </si>
  <si>
    <t>Chennai</t>
  </si>
  <si>
    <t>Mumbai</t>
  </si>
  <si>
    <t>Kolkata</t>
  </si>
  <si>
    <t>Pune</t>
  </si>
  <si>
    <t>Other</t>
  </si>
  <si>
    <t>Total</t>
  </si>
  <si>
    <t>attrition rate per month</t>
  </si>
  <si>
    <t>upto 3 km</t>
  </si>
  <si>
    <t>Order distribution km wise</t>
  </si>
  <si>
    <t>Order distribution 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</si>
  <si>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</si>
  <si>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</si>
  <si>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</si>
  <si>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</si>
  <si>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</si>
  <si>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</si>
  <si>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</si>
  <si>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Complaints</t>
  </si>
  <si>
    <t>Missing items</t>
  </si>
  <si>
    <t>Quality issue</t>
  </si>
  <si>
    <t>Quantity issue</t>
  </si>
  <si>
    <t>Wrong delivery</t>
  </si>
  <si>
    <t>Packaging issue</t>
  </si>
  <si>
    <t>Late delivery</t>
  </si>
  <si>
    <t>%</t>
  </si>
  <si>
    <t>Bangalore's share</t>
  </si>
  <si>
    <t>avg fee per delivery (inculding base pay)</t>
  </si>
  <si>
    <t>Delivery boy charges breakup</t>
  </si>
  <si>
    <t>base pay per order</t>
  </si>
  <si>
    <t>pick up charges</t>
  </si>
  <si>
    <t>drop charges</t>
  </si>
  <si>
    <t>per km charges</t>
  </si>
  <si>
    <t>total</t>
  </si>
  <si>
    <t>sq km</t>
  </si>
  <si>
    <t>Bangalore area</t>
  </si>
  <si>
    <t>Avg delivery boy fee</t>
  </si>
  <si>
    <t>Weighted avg</t>
  </si>
  <si>
    <t>restaurant commission</t>
  </si>
  <si>
    <t>Avg delivery charges to client</t>
  </si>
  <si>
    <t>Total delivery time (including food prep)</t>
  </si>
  <si>
    <t>travel time per km in bangalore</t>
  </si>
  <si>
    <t>https://timesofindia.indiatimes.com/city/bengaluru/office-travel-time-in-bengaluru-rose-by-6-in-the-last-year/articleshow/63987921.cms#:~:text=In%20Delhi%2DNCR%2C%20Mumbai%20and,per%20km%20on%20the%20road.</t>
  </si>
  <si>
    <t>item</t>
  </si>
  <si>
    <t>link</t>
  </si>
  <si>
    <t>https://www.vumonic.com/blog/the-inside-scoop-on-swiggy-zomato</t>
  </si>
  <si>
    <t>avg order value</t>
  </si>
  <si>
    <t>per drone per month deliveries</t>
  </si>
  <si>
    <t>per drone per month operational cost</t>
  </si>
  <si>
    <t>drone flight time (minutes)</t>
  </si>
  <si>
    <t>last mile drive distance</t>
  </si>
  <si>
    <t>1st mile drive distance</t>
  </si>
  <si>
    <t>drone flight distance</t>
  </si>
  <si>
    <t>total distance</t>
  </si>
  <si>
    <t>1st mile time</t>
  </si>
  <si>
    <t>last mile time</t>
  </si>
  <si>
    <t>time in minutes</t>
  </si>
  <si>
    <t>distance in km</t>
  </si>
  <si>
    <t>total time</t>
  </si>
  <si>
    <t>total delivery time (in minutes including food prep)</t>
  </si>
  <si>
    <t>weighted avg total delivery time of 95% of orders</t>
  </si>
  <si>
    <t>Bangalore less than 42 min orders</t>
  </si>
  <si>
    <t>Bangalore total</t>
  </si>
  <si>
    <t>1st + last mile distance</t>
  </si>
  <si>
    <t>total less than 43</t>
  </si>
  <si>
    <t>Maybe</t>
  </si>
  <si>
    <t>https://www.evoma.com/business-centre/what-is-the-cost-of-renting-an-office-in-bangalore/</t>
  </si>
  <si>
    <t>rent in bangalore</t>
  </si>
  <si>
    <t>rent in Bangalore/sq ft</t>
  </si>
  <si>
    <t>60-70</t>
  </si>
  <si>
    <t>distribution points</t>
  </si>
  <si>
    <t>total rent</t>
  </si>
  <si>
    <t>sq ft</t>
  </si>
  <si>
    <t>area of 1 distribution point</t>
  </si>
  <si>
    <t>rent of dist points</t>
  </si>
  <si>
    <t>rent of command center</t>
  </si>
  <si>
    <t>area of central command center</t>
  </si>
  <si>
    <t>new deliveries unlocked</t>
  </si>
  <si>
    <t>deliveries per dist point</t>
  </si>
  <si>
    <t>peak hours deliveries</t>
  </si>
  <si>
    <t>no of peak hours</t>
  </si>
  <si>
    <t>time of 1 flight</t>
  </si>
  <si>
    <t xml:space="preserve">max per hour per dist pt deliveries </t>
  </si>
  <si>
    <t>drone charging time</t>
  </si>
  <si>
    <t>https://www.propelrc.com/drone-battery-charging-time/</t>
  </si>
  <si>
    <t>cool of time b/w flights</t>
  </si>
  <si>
    <t>deliveries in one charge</t>
  </si>
  <si>
    <t>charging time</t>
  </si>
  <si>
    <t>flight + charge time</t>
  </si>
  <si>
    <t>deliveries in 1 hr by 1 drone</t>
  </si>
  <si>
    <t>drone required at a time for 1 dist pt</t>
  </si>
  <si>
    <t>total drones required</t>
  </si>
  <si>
    <t>cost of all drones</t>
  </si>
  <si>
    <t>taclo's revenue per order</t>
  </si>
  <si>
    <t>total monthly revenue</t>
  </si>
  <si>
    <t>total annual revenue</t>
  </si>
  <si>
    <t>Year</t>
  </si>
  <si>
    <t>India orders (monthly)</t>
  </si>
  <si>
    <t>Bangalore existing orders (monthly)</t>
  </si>
  <si>
    <t>Bangalore new (drone) orders (monthly)</t>
  </si>
  <si>
    <t>total delivery time</t>
  </si>
  <si>
    <t>food prep time</t>
  </si>
  <si>
    <t>avg drone speed</t>
  </si>
  <si>
    <t>travel time per km in Bangalore</t>
  </si>
  <si>
    <t>min/km</t>
  </si>
  <si>
    <t>delivery time (without food prep time) 4.5 min/km</t>
  </si>
  <si>
    <t>Current order distribution (km wise)</t>
  </si>
  <si>
    <t>Delivery time</t>
  </si>
  <si>
    <t>Order Potential</t>
  </si>
  <si>
    <t>conversion rate of potential orders</t>
  </si>
  <si>
    <t>-</t>
  </si>
  <si>
    <t>Average Order Value (INR)</t>
  </si>
  <si>
    <t>India Inflation Rate - Historical Data</t>
  </si>
  <si>
    <t>Inflation Rate (%)</t>
  </si>
  <si>
    <t>Annual Change</t>
  </si>
  <si>
    <t>Inflation Rate (10 year avg)</t>
  </si>
  <si>
    <t>India inflation</t>
  </si>
  <si>
    <t>https://www.macrotrends.net/countries/IND/india/inflation-rate-cpi</t>
  </si>
  <si>
    <t>restaurant commission rate</t>
  </si>
  <si>
    <t>https://www.inventiva.co.in/trends/what-commission-fees-are-levied/</t>
  </si>
  <si>
    <t>bangalore's share in India orders</t>
  </si>
  <si>
    <t>India's inflation rate (10 year avg)</t>
  </si>
  <si>
    <t>Taclo's restaurant commission</t>
  </si>
  <si>
    <t>20-25%</t>
  </si>
  <si>
    <t>Taclo's delivery charges for customer</t>
  </si>
  <si>
    <t>INR/km</t>
  </si>
  <si>
    <t>Restaurant Commission</t>
  </si>
  <si>
    <t>Delivery Charges (per order) (weighted avg)</t>
  </si>
  <si>
    <t>Per order revenue</t>
  </si>
  <si>
    <t>Total monthly revenue (from new [drone] orders)</t>
  </si>
  <si>
    <t>Total annual revenue from new orders</t>
  </si>
  <si>
    <t>Avg delivery charges (weighted avg over current order distribution)</t>
  </si>
  <si>
    <t>Bangalore new (drone) orders (daily)</t>
  </si>
  <si>
    <t>peak hour orders</t>
  </si>
  <si>
    <t>peak hours</t>
  </si>
  <si>
    <t>12 pm - 2 pm &amp; 7-9 pm</t>
  </si>
  <si>
    <t>total distribution points</t>
  </si>
  <si>
    <t>Estimated orders in 1 hour during peak hours (city wide)</t>
  </si>
  <si>
    <t>Estimated orders in 1 hour during peak hours (per distribution point)</t>
  </si>
  <si>
    <t>Estimated orders in 2 minutes during peak hours (per distribution point)</t>
  </si>
  <si>
    <t>delivery time</t>
  </si>
  <si>
    <t>waiting time at distribution point</t>
  </si>
  <si>
    <t>possible directions for drone</t>
  </si>
  <si>
    <t># dist points</t>
  </si>
  <si>
    <t>possible directions to go</t>
  </si>
  <si>
    <t>% of dist pts</t>
  </si>
  <si>
    <t>weighted avg</t>
  </si>
  <si>
    <t>5.76 weighted avg</t>
  </si>
  <si>
    <t>Estimated orders in 2 minutes during peak hours (per distribution point per direction)</t>
  </si>
  <si>
    <t># of drones required per distribution point</t>
  </si>
  <si>
    <t>avg weight of 1 food parcel</t>
  </si>
  <si>
    <t>carrying capacity of drone</t>
  </si>
  <si>
    <t>kg (assumed)</t>
  </si>
  <si>
    <t># of parcel's 1 drone can carry at a time</t>
  </si>
  <si>
    <t>Avg drones required</t>
  </si>
  <si>
    <t>drones required</t>
  </si>
  <si>
    <t>buffer drones</t>
  </si>
  <si>
    <t>cost of operational drones</t>
  </si>
  <si>
    <t>cost of total drones</t>
  </si>
  <si>
    <t>dist b/w dist pts</t>
  </si>
  <si>
    <t># of pts</t>
  </si>
  <si>
    <t>weighted avg dist for drone per flight</t>
  </si>
  <si>
    <t xml:space="preserve">km </t>
  </si>
  <si>
    <t>dist for drone per flight (weighted avg)</t>
  </si>
  <si>
    <t>time for 1 flight</t>
  </si>
  <si>
    <t>flights in one charge</t>
  </si>
  <si>
    <t>deliveries in charge</t>
  </si>
  <si>
    <t>deliveries in 1 hour by 1 drone</t>
  </si>
  <si>
    <t xml:space="preserve">deliveries in 1 charge by 1 drone </t>
  </si>
  <si>
    <t>deliveries in 1 hour by 1 drone (1 charge = 90 min)</t>
  </si>
  <si>
    <t>total operational cost (monthly)</t>
  </si>
  <si>
    <t>no of employees per dist point</t>
  </si>
  <si>
    <t>salary of dist pt manager (per month)</t>
  </si>
  <si>
    <t>salary of dist pt managers</t>
  </si>
  <si>
    <t>command center technicians</t>
  </si>
  <si>
    <t>technician salary per month</t>
  </si>
  <si>
    <t>tech total salary</t>
  </si>
  <si>
    <t>area of command center</t>
  </si>
  <si>
    <t>rent of command center per month</t>
  </si>
  <si>
    <t>orders delivered per month by delivery executive</t>
  </si>
  <si>
    <t>fixed salary of DE per month</t>
  </si>
  <si>
    <t>per delivery salary of DE</t>
  </si>
  <si>
    <t>per delivery dist travelled (weighted avg)</t>
  </si>
  <si>
    <t>per km salary of DE</t>
  </si>
  <si>
    <t>new 1st + last mile dist (weighted avg)</t>
  </si>
  <si>
    <t>per delivery combined charges of both DEs</t>
  </si>
  <si>
    <t>DEs required per drone delivery</t>
  </si>
  <si>
    <t>revised combined DE charges per drone delivery</t>
  </si>
  <si>
    <t>one side dist of 1 delivery (weighted avg)</t>
  </si>
  <si>
    <t>one side DE travel time</t>
  </si>
  <si>
    <t>deliveries by 1 DE in 1 hour</t>
  </si>
  <si>
    <t>DEs required per dist point</t>
  </si>
  <si>
    <t>total DEs required</t>
  </si>
  <si>
    <t>total fixed DE salary per month</t>
  </si>
  <si>
    <t>total variable DE salary per month (avg)</t>
  </si>
  <si>
    <t>Total expenses per month</t>
  </si>
  <si>
    <t>Monthly expenses (from new [drone] orders)</t>
  </si>
  <si>
    <t>Total Monthly expenses (from new [drone] orders)</t>
  </si>
  <si>
    <t>Profit</t>
  </si>
  <si>
    <t>Profit %</t>
  </si>
  <si>
    <t>Intitial Investment payoff spread over 5 years)</t>
  </si>
  <si>
    <t>Rent in Bangalore (per sq ft)</t>
  </si>
  <si>
    <t>Avg weight of 1 food parcel</t>
  </si>
  <si>
    <t>Avg order value (2022)</t>
  </si>
  <si>
    <t>Conversion rate of potential new orders</t>
  </si>
  <si>
    <t>Monthly salary of distribution point manager</t>
  </si>
  <si>
    <t>Monthly salary of command center techical staff</t>
  </si>
  <si>
    <t>Per delivery combined fee for DEs (1st + last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</si>
</sst>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44444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9" fontId="0" fillId="0" borderId="1" xfId="0" applyNumberFormat="1" applyBorder="1"/>
    <xf numFmtId="0" fontId="0" fillId="4" borderId="1" xfId="0" applyFill="1" applyBorder="1"/>
    <xf numFmtId="9" fontId="0" fillId="0" borderId="1" xfId="2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9" fontId="0" fillId="0" borderId="1" xfId="0" applyNumberFormat="1" applyFill="1" applyBorder="1"/>
    <xf numFmtId="1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1" applyNumberFormat="1" applyFont="1" applyFill="1" applyBorder="1"/>
    <xf numFmtId="9" fontId="0" fillId="2" borderId="1" xfId="2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Fill="1" applyBorder="1"/>
    <xf numFmtId="0" fontId="0" fillId="0" borderId="1" xfId="0" applyNumberFormat="1" applyBorder="1"/>
    <xf numFmtId="0" fontId="0" fillId="0" borderId="3" xfId="0" applyNumberFormat="1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0" fillId="0" borderId="0" xfId="0" applyFill="1"/>
    <xf numFmtId="0" fontId="0" fillId="5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9" fontId="0" fillId="0" borderId="0" xfId="2" applyFont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9" fontId="0" fillId="0" borderId="1" xfId="2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8" borderId="1" xfId="0" applyFill="1" applyBorder="1"/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10" fontId="4" fillId="11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Fill="1" applyBorder="1" applyAlignment="1">
      <alignment wrapText="1"/>
    </xf>
    <xf numFmtId="43" fontId="0" fillId="0" borderId="1" xfId="0" applyNumberFormat="1" applyBorder="1"/>
    <xf numFmtId="0" fontId="0" fillId="0" borderId="2" xfId="0" applyBorder="1"/>
    <xf numFmtId="43" fontId="0" fillId="0" borderId="1" xfId="0" applyNumberFormat="1" applyFill="1" applyBorder="1"/>
    <xf numFmtId="164" fontId="0" fillId="0" borderId="1" xfId="1" applyNumberFormat="1" applyFont="1" applyFill="1" applyBorder="1"/>
    <xf numFmtId="0" fontId="3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Vs Expenses (INR) Projection</a:t>
            </a:r>
            <a:br>
              <a:rPr lang="en-US"/>
            </a:br>
            <a:r>
              <a:rPr lang="en-US"/>
              <a:t>Drone Delivery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calculations'!$L$10:$L$15</c:f>
              <c:numCache>
                <c:formatCode>_(* #,##0_);_(* \(#,##0\);_(* "-"??_);_(@_)</c:formatCode>
                <c:ptCount val="6"/>
                <c:pt idx="0">
                  <c:v>113232000.00000001</c:v>
                </c:pt>
                <c:pt idx="1">
                  <c:v>145745760</c:v>
                </c:pt>
                <c:pt idx="2">
                  <c:v>199928889.59999999</c:v>
                </c:pt>
                <c:pt idx="3">
                  <c:v>240823435.20000002</c:v>
                </c:pt>
                <c:pt idx="4">
                  <c:v>326749236.87936002</c:v>
                </c:pt>
                <c:pt idx="5">
                  <c:v>389648464.9786368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7-48B5-B20C-4E7EEB614741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calculations'!$P$10:$P$15</c:f>
              <c:numCache>
                <c:formatCode>_(* #,##0_);_(* \(#,##0\);_(* "-"??_);_(@_)</c:formatCode>
                <c:ptCount val="6"/>
                <c:pt idx="0">
                  <c:v>144255833.33333331</c:v>
                </c:pt>
                <c:pt idx="1">
                  <c:v>152911183.33333331</c:v>
                </c:pt>
                <c:pt idx="2">
                  <c:v>162085854.33333331</c:v>
                </c:pt>
                <c:pt idx="3">
                  <c:v>171811005.59333333</c:v>
                </c:pt>
                <c:pt idx="4">
                  <c:v>182119665.92893332</c:v>
                </c:pt>
                <c:pt idx="5">
                  <c:v>106062183.34066933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7-48B5-B20C-4E7EEB61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59888"/>
        <c:axId val="448958248"/>
      </c:barChart>
      <c:catAx>
        <c:axId val="44895988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8248"/>
        <c:crosses val="autoZero"/>
        <c:auto val="0"/>
        <c:lblAlgn val="ctr"/>
        <c:lblOffset val="100"/>
        <c:noMultiLvlLbl val="0"/>
      </c:catAx>
      <c:valAx>
        <c:axId val="4489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98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Estimate</a:t>
            </a:r>
            <a:r>
              <a:rPr lang="en-US" baseline="0"/>
              <a:t> (Drone Delivery System)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calculations'!$R$10:$R$15</c:f>
              <c:numCache>
                <c:formatCode>0%</c:formatCode>
                <c:ptCount val="6"/>
                <c:pt idx="0">
                  <c:v>-0.27398468042014001</c:v>
                </c:pt>
                <c:pt idx="1">
                  <c:v>-4.9163854463644865E-2</c:v>
                </c:pt>
                <c:pt idx="2">
                  <c:v>0.18928247609627438</c:v>
                </c:pt>
                <c:pt idx="3">
                  <c:v>0.28656857896472143</c:v>
                </c:pt>
                <c:pt idx="4">
                  <c:v>0.44263170231618865</c:v>
                </c:pt>
                <c:pt idx="5">
                  <c:v>0.72780033062241267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D7A-995A-8404ADC7D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189296"/>
        <c:axId val="539187000"/>
      </c:barChart>
      <c:dateAx>
        <c:axId val="5391892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7000"/>
        <c:crosses val="autoZero"/>
        <c:auto val="1"/>
        <c:lblOffset val="100"/>
        <c:baseTimeUnit val="years"/>
      </c:dateAx>
      <c:valAx>
        <c:axId val="5391870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391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- historical data and forecsting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cat>
            <c:numRef>
              <c:f>raw!$J$4:$J$12</c:f>
              <c:numCache>
                <c:formatCode>m/d/yyyy</c:formatCode>
                <c:ptCount val="9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43070</c:v>
                </c:pt>
                <c:pt idx="4">
                  <c:v>43435</c:v>
                </c:pt>
                <c:pt idx="5">
                  <c:v>43800</c:v>
                </c:pt>
                <c:pt idx="6">
                  <c:v>44166</c:v>
                </c:pt>
                <c:pt idx="7">
                  <c:v>44531</c:v>
                </c:pt>
                <c:pt idx="8">
                  <c:v>44896</c:v>
                </c:pt>
              </c:numCache>
            </c:numRef>
          </c:cat>
          <c:val>
            <c:numRef>
              <c:f>raw!$L$4:$L$12</c:f>
              <c:numCache>
                <c:formatCode>_(* #,##0_);_(* \(#,##0\);_(* "-"??_);_(@_)</c:formatCode>
                <c:ptCount val="9"/>
                <c:pt idx="0">
                  <c:v>130000</c:v>
                </c:pt>
                <c:pt idx="1">
                  <c:v>400000</c:v>
                </c:pt>
                <c:pt idx="2">
                  <c:v>1000000</c:v>
                </c:pt>
                <c:pt idx="3">
                  <c:v>1750000</c:v>
                </c:pt>
                <c:pt idx="4">
                  <c:v>2000000</c:v>
                </c:pt>
                <c:pt idx="5">
                  <c:v>2500000</c:v>
                </c:pt>
                <c:pt idx="6">
                  <c:v>4500000</c:v>
                </c:pt>
                <c:pt idx="7">
                  <c:v>6000000</c:v>
                </c:pt>
                <c:pt idx="8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C-4FC0-AFB5-61A8DC01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230032"/>
        <c:axId val="656229048"/>
      </c:barChart>
      <c:dateAx>
        <c:axId val="6562300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9048"/>
        <c:crosses val="autoZero"/>
        <c:auto val="1"/>
        <c:lblOffset val="100"/>
        <c:baseTimeUnit val="years"/>
      </c:dateAx>
      <c:valAx>
        <c:axId val="656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00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order - </a:t>
            </a:r>
            <a:br>
              <a:rPr lang="en-US"/>
            </a:br>
            <a:r>
              <a:rPr lang="en-US"/>
              <a:t>historical data and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raw!$J$22:$J$31</c:f>
              <c:numCache>
                <c:formatCode>m/d/yyyy</c:formatCode>
                <c:ptCount val="10"/>
                <c:pt idx="0">
                  <c:v>41609</c:v>
                </c:pt>
                <c:pt idx="1">
                  <c:v>41974</c:v>
                </c:pt>
                <c:pt idx="2">
                  <c:v>42339</c:v>
                </c:pt>
                <c:pt idx="3">
                  <c:v>42705</c:v>
                </c:pt>
                <c:pt idx="4">
                  <c:v>43070</c:v>
                </c:pt>
                <c:pt idx="5">
                  <c:v>43435</c:v>
                </c:pt>
                <c:pt idx="6">
                  <c:v>43800</c:v>
                </c:pt>
                <c:pt idx="7">
                  <c:v>44166</c:v>
                </c:pt>
                <c:pt idx="8">
                  <c:v>44531</c:v>
                </c:pt>
                <c:pt idx="9">
                  <c:v>44896</c:v>
                </c:pt>
              </c:numCache>
            </c:numRef>
          </c:cat>
          <c:val>
            <c:numRef>
              <c:f>raw!$L$22:$L$31</c:f>
              <c:numCache>
                <c:formatCode>General</c:formatCode>
                <c:ptCount val="10"/>
                <c:pt idx="0">
                  <c:v>45</c:v>
                </c:pt>
                <c:pt idx="1">
                  <c:v>52</c:v>
                </c:pt>
                <c:pt idx="2">
                  <c:v>55</c:v>
                </c:pt>
                <c:pt idx="3">
                  <c:v>59</c:v>
                </c:pt>
                <c:pt idx="4">
                  <c:v>57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66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3-42FD-A937-68FC40F8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24728"/>
        <c:axId val="627127680"/>
      </c:barChart>
      <c:dateAx>
        <c:axId val="6271247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27680"/>
        <c:crosses val="autoZero"/>
        <c:auto val="1"/>
        <c:lblOffset val="100"/>
        <c:baseTimeUnit val="years"/>
      </c:dateAx>
      <c:valAx>
        <c:axId val="627127680"/>
        <c:scaling>
          <c:orientation val="minMax"/>
          <c:max val="8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2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BCD66-67EA-49AE-B57E-45FB0F83F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C1370-E699-41E9-80C2-FAA267915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18B0B-EEE9-4A2D-902A-C188B188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144780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2D463-EE74-4FD7-8673-031C7E9B4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EDBB2-EEFC-46AD-81D8-4AB9213CC6DE}" name="Table1" displayName="Table1" ref="K56:O76" totalsRowShown="0" headerRowDxfId="9" headerRowBorderDxfId="8" tableBorderDxfId="7" totalsRowBorderDxfId="6">
  <autoFilter ref="K56:O76" xr:uid="{9F2EDBB2-EEFC-46AD-81D8-4AB9213CC6DE}"/>
  <sortState ref="K57:O76">
    <sortCondition ref="N56:N76"/>
  </sortState>
  <tableColumns count="5">
    <tableColumn id="1" xr3:uid="{1B21D243-8B40-4F6C-9D34-8829B30B2F19}" name="1st + last mile distance" dataDxfId="5"/>
    <tableColumn id="3" xr3:uid="{1BE3EA14-D3DE-4FCF-9BE0-DFE5BDF4C74F}" name="drone flight distance" dataDxfId="4"/>
    <tableColumn id="4" xr3:uid="{82228225-F2F4-43DF-B649-06386A360BBF}" name="total distance" dataDxfId="3">
      <calculatedColumnFormula>Table1[[#This Row],[1st + last mile distance]]+Table1[[#This Row],[drone flight distance]]</calculatedColumnFormula>
    </tableColumn>
    <tableColumn id="5" xr3:uid="{6217F653-5340-472C-804C-27C56E727D67}" name="total delivery time (in minutes including food prep)" dataDxfId="2">
      <calculatedColumnFormula>((K57)*4.5)+((L57/$C$17)*60)+20</calculatedColumnFormula>
    </tableColumn>
    <tableColumn id="6" xr3:uid="{C643B631-1162-4FDB-87A9-6380BCEBFC3A}" name="total less than 43" dataDxfId="1">
      <calculatedColumnFormula>IF(N57&lt;=42.5,"Yes","No")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6DA-F577-4A95-ABAB-193161AB4D01}">
  <dimension ref="A1:U95"/>
  <sheetViews>
    <sheetView workbookViewId="0">
      <selection activeCell="B26" sqref="B26"/>
    </sheetView>
  </sheetViews>
  <sheetFormatPr defaultRowHeight="14.4" x14ac:dyDescent="0.3"/>
  <cols>
    <col min="2" max="2" width="22" customWidth="1"/>
    <col min="3" max="3" width="11.109375" bestFit="1" customWidth="1"/>
    <col min="4" max="4" width="14.88671875" bestFit="1" customWidth="1"/>
    <col min="5" max="5" width="19.88671875" customWidth="1"/>
    <col min="6" max="6" width="14.44140625" customWidth="1"/>
    <col min="7" max="7" width="13" customWidth="1"/>
    <col min="8" max="8" width="13.77734375" customWidth="1"/>
    <col min="9" max="9" width="10" bestFit="1" customWidth="1"/>
    <col min="10" max="10" width="8.88671875" style="4"/>
    <col min="11" max="11" width="16.77734375" style="4" customWidth="1"/>
    <col min="12" max="12" width="17.21875" customWidth="1"/>
    <col min="13" max="13" width="20.109375" customWidth="1"/>
    <col min="14" max="14" width="15.44140625" bestFit="1" customWidth="1"/>
    <col min="15" max="15" width="15.6640625" customWidth="1"/>
    <col min="16" max="16" width="17" customWidth="1"/>
    <col min="17" max="17" width="10" bestFit="1" customWidth="1"/>
    <col min="18" max="18" width="10.88671875" customWidth="1"/>
  </cols>
  <sheetData>
    <row r="1" spans="2:21" x14ac:dyDescent="0.3">
      <c r="B1" s="8" t="s">
        <v>31</v>
      </c>
      <c r="C1" s="8" t="s">
        <v>32</v>
      </c>
      <c r="D1" s="8" t="s">
        <v>33</v>
      </c>
      <c r="F1" t="s">
        <v>111</v>
      </c>
    </row>
    <row r="2" spans="2:21" x14ac:dyDescent="0.3">
      <c r="B2" s="5" t="s">
        <v>0</v>
      </c>
      <c r="C2" s="7">
        <v>0.7</v>
      </c>
      <c r="D2" s="5"/>
      <c r="E2" t="s">
        <v>110</v>
      </c>
      <c r="F2">
        <v>65</v>
      </c>
      <c r="G2" t="s">
        <v>25</v>
      </c>
      <c r="I2" s="5"/>
      <c r="J2" s="14"/>
      <c r="K2" s="14"/>
      <c r="L2" s="5"/>
      <c r="M2" s="5"/>
      <c r="N2" s="7">
        <v>0.24</v>
      </c>
      <c r="O2" s="9">
        <v>0.4</v>
      </c>
      <c r="P2" s="9">
        <v>0.35</v>
      </c>
      <c r="Q2" s="9">
        <v>0.2</v>
      </c>
      <c r="R2" s="9">
        <v>0.05</v>
      </c>
      <c r="S2" s="9">
        <v>0</v>
      </c>
      <c r="T2" s="9">
        <v>0</v>
      </c>
      <c r="U2" s="9">
        <v>0</v>
      </c>
    </row>
    <row r="3" spans="2:21" x14ac:dyDescent="0.3">
      <c r="B3" s="5" t="s">
        <v>1</v>
      </c>
      <c r="C3" s="6">
        <v>7000000</v>
      </c>
      <c r="D3" s="5" t="s">
        <v>2</v>
      </c>
      <c r="E3" t="s">
        <v>135</v>
      </c>
      <c r="F3">
        <v>70</v>
      </c>
      <c r="G3" t="s">
        <v>25</v>
      </c>
      <c r="I3" s="5" t="s">
        <v>4</v>
      </c>
      <c r="J3" s="14"/>
      <c r="K3" s="14"/>
      <c r="L3" s="5"/>
      <c r="M3" s="5" t="s">
        <v>3</v>
      </c>
      <c r="N3" s="5" t="s">
        <v>68</v>
      </c>
      <c r="O3" s="5" t="s">
        <v>50</v>
      </c>
      <c r="P3" s="5">
        <v>4</v>
      </c>
      <c r="Q3" s="5">
        <v>5</v>
      </c>
      <c r="R3" s="5">
        <v>6</v>
      </c>
      <c r="S3" s="5">
        <v>7</v>
      </c>
      <c r="T3" s="5">
        <v>8</v>
      </c>
      <c r="U3" s="5">
        <v>9</v>
      </c>
    </row>
    <row r="4" spans="2:21" x14ac:dyDescent="0.3">
      <c r="B4" s="5" t="s">
        <v>10</v>
      </c>
      <c r="C4" s="5">
        <v>20</v>
      </c>
      <c r="D4" s="5" t="s">
        <v>11</v>
      </c>
      <c r="E4" t="s">
        <v>136</v>
      </c>
      <c r="F4" s="3">
        <f>F3*F18</f>
        <v>55860000</v>
      </c>
      <c r="G4" s="39">
        <f>F4*0.2</f>
        <v>11172000</v>
      </c>
      <c r="I4" s="5" t="s">
        <v>5</v>
      </c>
      <c r="J4" s="14">
        <v>41974</v>
      </c>
      <c r="K4" s="13">
        <f>YEAR(J4)</f>
        <v>2014</v>
      </c>
      <c r="L4" s="6">
        <v>130000</v>
      </c>
      <c r="M4" s="9"/>
      <c r="N4" s="15">
        <f t="shared" ref="N4:N17" si="0">L4*$N$2</f>
        <v>31200</v>
      </c>
      <c r="O4" s="15">
        <f>$N4*O$2</f>
        <v>12480</v>
      </c>
      <c r="P4" s="15">
        <f>$N4*P$2</f>
        <v>10920</v>
      </c>
      <c r="Q4" s="15">
        <f>$N4*Q$2</f>
        <v>6240</v>
      </c>
      <c r="R4" s="15">
        <f t="shared" ref="R4:U17" si="1">$N4*R$2</f>
        <v>1560</v>
      </c>
      <c r="S4" s="15">
        <f t="shared" si="1"/>
        <v>0</v>
      </c>
      <c r="T4" s="15">
        <f t="shared" si="1"/>
        <v>0</v>
      </c>
      <c r="U4" s="15">
        <f t="shared" si="1"/>
        <v>0</v>
      </c>
    </row>
    <row r="5" spans="2:21" x14ac:dyDescent="0.3">
      <c r="B5" s="5" t="s">
        <v>12</v>
      </c>
      <c r="C5" s="5">
        <v>3</v>
      </c>
      <c r="D5" s="5" t="s">
        <v>13</v>
      </c>
      <c r="E5" t="s">
        <v>137</v>
      </c>
      <c r="F5" s="3">
        <f>F4*12</f>
        <v>670320000</v>
      </c>
      <c r="I5" s="5" t="s">
        <v>5</v>
      </c>
      <c r="J5" s="14">
        <v>42339</v>
      </c>
      <c r="K5" s="13">
        <f t="shared" ref="K5:K17" si="2">YEAR(J5)</f>
        <v>2015</v>
      </c>
      <c r="L5" s="6">
        <v>400000</v>
      </c>
      <c r="M5" s="9">
        <f>(L5-L4)/L5</f>
        <v>0.67500000000000004</v>
      </c>
      <c r="N5" s="15">
        <f t="shared" si="0"/>
        <v>96000</v>
      </c>
      <c r="O5" s="15">
        <f t="shared" ref="O5:Q17" si="3">$N5*O$2</f>
        <v>38400</v>
      </c>
      <c r="P5" s="15">
        <f t="shared" si="3"/>
        <v>33600</v>
      </c>
      <c r="Q5" s="15">
        <f t="shared" si="3"/>
        <v>19200</v>
      </c>
      <c r="R5" s="15">
        <f t="shared" si="1"/>
        <v>4800</v>
      </c>
      <c r="S5" s="15">
        <f t="shared" si="1"/>
        <v>0</v>
      </c>
      <c r="T5" s="15">
        <f t="shared" si="1"/>
        <v>0</v>
      </c>
      <c r="U5" s="15">
        <f t="shared" si="1"/>
        <v>0</v>
      </c>
    </row>
    <row r="6" spans="2:21" x14ac:dyDescent="0.3">
      <c r="B6" s="10" t="s">
        <v>77</v>
      </c>
      <c r="C6" s="5">
        <v>741</v>
      </c>
      <c r="D6" s="10" t="s">
        <v>76</v>
      </c>
      <c r="I6" s="5" t="s">
        <v>5</v>
      </c>
      <c r="J6" s="14">
        <v>42705</v>
      </c>
      <c r="K6" s="13">
        <f t="shared" si="2"/>
        <v>2016</v>
      </c>
      <c r="L6" s="6">
        <v>1000000</v>
      </c>
      <c r="M6" s="9">
        <f t="shared" ref="M6:M17" si="4">(L6-L5)/L6</f>
        <v>0.6</v>
      </c>
      <c r="N6" s="15">
        <f t="shared" si="0"/>
        <v>240000</v>
      </c>
      <c r="O6" s="15">
        <f t="shared" si="3"/>
        <v>96000</v>
      </c>
      <c r="P6" s="15">
        <f t="shared" si="3"/>
        <v>84000</v>
      </c>
      <c r="Q6" s="15">
        <f t="shared" si="3"/>
        <v>48000</v>
      </c>
      <c r="R6" s="15">
        <f t="shared" si="1"/>
        <v>12000</v>
      </c>
      <c r="S6" s="15">
        <f t="shared" si="1"/>
        <v>0</v>
      </c>
      <c r="T6" s="15">
        <f t="shared" si="1"/>
        <v>0</v>
      </c>
      <c r="U6" s="15">
        <f t="shared" si="1"/>
        <v>0</v>
      </c>
    </row>
    <row r="7" spans="2:21" x14ac:dyDescent="0.3">
      <c r="B7" s="10" t="s">
        <v>80</v>
      </c>
      <c r="C7" s="7">
        <v>0.22</v>
      </c>
      <c r="D7" s="5"/>
      <c r="I7" s="5" t="s">
        <v>5</v>
      </c>
      <c r="J7" s="14">
        <v>43070</v>
      </c>
      <c r="K7" s="13">
        <f t="shared" si="2"/>
        <v>2017</v>
      </c>
      <c r="L7" s="6">
        <v>1750000</v>
      </c>
      <c r="M7" s="9">
        <f t="shared" si="4"/>
        <v>0.42857142857142855</v>
      </c>
      <c r="N7" s="15">
        <f t="shared" si="0"/>
        <v>420000</v>
      </c>
      <c r="O7" s="15">
        <f t="shared" si="3"/>
        <v>168000</v>
      </c>
      <c r="P7" s="15">
        <f t="shared" si="3"/>
        <v>147000</v>
      </c>
      <c r="Q7" s="15">
        <f t="shared" si="3"/>
        <v>84000</v>
      </c>
      <c r="R7" s="15">
        <f t="shared" si="1"/>
        <v>21000</v>
      </c>
      <c r="S7" s="15">
        <f t="shared" si="1"/>
        <v>0</v>
      </c>
      <c r="T7" s="15">
        <f t="shared" si="1"/>
        <v>0</v>
      </c>
      <c r="U7" s="15">
        <f t="shared" si="1"/>
        <v>0</v>
      </c>
    </row>
    <row r="8" spans="2:21" x14ac:dyDescent="0.3">
      <c r="B8" s="10" t="s">
        <v>88</v>
      </c>
      <c r="C8" s="10">
        <v>400</v>
      </c>
      <c r="D8" s="10" t="s">
        <v>25</v>
      </c>
      <c r="F8" s="2">
        <f>F31*F10</f>
        <v>0</v>
      </c>
      <c r="I8" s="5" t="s">
        <v>5</v>
      </c>
      <c r="J8" s="14">
        <v>43435</v>
      </c>
      <c r="K8" s="13">
        <f t="shared" si="2"/>
        <v>2018</v>
      </c>
      <c r="L8" s="6">
        <v>2000000</v>
      </c>
      <c r="M8" s="9">
        <f t="shared" si="4"/>
        <v>0.125</v>
      </c>
      <c r="N8" s="15">
        <f t="shared" si="0"/>
        <v>480000</v>
      </c>
      <c r="O8" s="15">
        <f t="shared" si="3"/>
        <v>192000</v>
      </c>
      <c r="P8" s="15">
        <f t="shared" si="3"/>
        <v>168000</v>
      </c>
      <c r="Q8" s="15">
        <f t="shared" si="3"/>
        <v>96000</v>
      </c>
      <c r="R8" s="15">
        <f t="shared" si="1"/>
        <v>24000</v>
      </c>
      <c r="S8" s="15">
        <f t="shared" si="1"/>
        <v>0</v>
      </c>
      <c r="T8" s="15">
        <f t="shared" si="1"/>
        <v>0</v>
      </c>
      <c r="U8" s="15">
        <f t="shared" si="1"/>
        <v>0</v>
      </c>
    </row>
    <row r="9" spans="2:21" x14ac:dyDescent="0.3">
      <c r="I9" s="5" t="s">
        <v>5</v>
      </c>
      <c r="J9" s="14">
        <v>43800</v>
      </c>
      <c r="K9" s="13">
        <f t="shared" si="2"/>
        <v>2019</v>
      </c>
      <c r="L9" s="6">
        <v>2500000</v>
      </c>
      <c r="M9" s="9">
        <f t="shared" si="4"/>
        <v>0.2</v>
      </c>
      <c r="N9" s="15">
        <f t="shared" si="0"/>
        <v>600000</v>
      </c>
      <c r="O9" s="15">
        <f t="shared" si="3"/>
        <v>240000</v>
      </c>
      <c r="P9" s="15">
        <f t="shared" si="3"/>
        <v>210000</v>
      </c>
      <c r="Q9" s="15">
        <f t="shared" si="3"/>
        <v>120000</v>
      </c>
      <c r="R9" s="15">
        <f t="shared" si="1"/>
        <v>30000</v>
      </c>
      <c r="S9" s="15">
        <f t="shared" si="1"/>
        <v>0</v>
      </c>
      <c r="T9" s="15">
        <f t="shared" si="1"/>
        <v>0</v>
      </c>
      <c r="U9" s="15">
        <f t="shared" si="1"/>
        <v>0</v>
      </c>
    </row>
    <row r="10" spans="2:21" x14ac:dyDescent="0.3">
      <c r="B10" s="8" t="s">
        <v>14</v>
      </c>
      <c r="C10" s="8" t="s">
        <v>32</v>
      </c>
      <c r="D10" s="8" t="s">
        <v>33</v>
      </c>
      <c r="E10" t="s">
        <v>90</v>
      </c>
      <c r="F10" s="2">
        <f>C19+(C20/C18)</f>
        <v>10833.333333333332</v>
      </c>
      <c r="G10" t="s">
        <v>25</v>
      </c>
      <c r="I10" s="5" t="s">
        <v>5</v>
      </c>
      <c r="J10" s="14">
        <v>44166</v>
      </c>
      <c r="K10" s="13">
        <f t="shared" si="2"/>
        <v>2020</v>
      </c>
      <c r="L10" s="6">
        <v>4500000</v>
      </c>
      <c r="M10" s="9">
        <f t="shared" si="4"/>
        <v>0.44444444444444442</v>
      </c>
      <c r="N10" s="15">
        <f t="shared" si="0"/>
        <v>1080000</v>
      </c>
      <c r="O10" s="15">
        <f t="shared" si="3"/>
        <v>432000</v>
      </c>
      <c r="P10" s="15">
        <f t="shared" si="3"/>
        <v>378000</v>
      </c>
      <c r="Q10" s="15">
        <f t="shared" si="3"/>
        <v>216000</v>
      </c>
      <c r="R10" s="15">
        <f t="shared" si="1"/>
        <v>54000</v>
      </c>
      <c r="S10" s="15">
        <f t="shared" si="1"/>
        <v>0</v>
      </c>
      <c r="T10" s="15">
        <f t="shared" si="1"/>
        <v>0</v>
      </c>
      <c r="U10" s="15">
        <f t="shared" si="1"/>
        <v>0</v>
      </c>
    </row>
    <row r="11" spans="2:21" x14ac:dyDescent="0.3">
      <c r="B11" s="5" t="s">
        <v>15</v>
      </c>
      <c r="C11" s="5">
        <v>8</v>
      </c>
      <c r="D11" s="5" t="s">
        <v>13</v>
      </c>
      <c r="E11" t="s">
        <v>89</v>
      </c>
      <c r="I11" s="16" t="s">
        <v>6</v>
      </c>
      <c r="J11" s="14">
        <v>44531</v>
      </c>
      <c r="K11" s="13">
        <f t="shared" si="2"/>
        <v>2021</v>
      </c>
      <c r="L11" s="17">
        <v>6000000</v>
      </c>
      <c r="M11" s="18">
        <f t="shared" si="4"/>
        <v>0.25</v>
      </c>
      <c r="N11" s="15">
        <f t="shared" si="0"/>
        <v>1440000</v>
      </c>
      <c r="O11" s="15">
        <f t="shared" si="3"/>
        <v>576000</v>
      </c>
      <c r="P11" s="15">
        <f t="shared" si="3"/>
        <v>503999.99999999994</v>
      </c>
      <c r="Q11" s="15">
        <f t="shared" si="3"/>
        <v>288000</v>
      </c>
      <c r="R11" s="15">
        <f t="shared" si="1"/>
        <v>72000</v>
      </c>
      <c r="S11" s="15">
        <f t="shared" si="1"/>
        <v>0</v>
      </c>
      <c r="T11" s="15">
        <f t="shared" si="1"/>
        <v>0</v>
      </c>
      <c r="U11" s="15">
        <f t="shared" si="1"/>
        <v>0</v>
      </c>
    </row>
    <row r="12" spans="2:21" x14ac:dyDescent="0.3">
      <c r="B12" s="5" t="s">
        <v>16</v>
      </c>
      <c r="C12" s="5">
        <v>300</v>
      </c>
      <c r="D12" s="5" t="s">
        <v>17</v>
      </c>
      <c r="E12" t="s">
        <v>112</v>
      </c>
      <c r="F12">
        <v>24</v>
      </c>
      <c r="I12" s="5" t="s">
        <v>5</v>
      </c>
      <c r="J12" s="14">
        <v>44896</v>
      </c>
      <c r="K12" s="13">
        <f t="shared" si="2"/>
        <v>2022</v>
      </c>
      <c r="L12" s="6">
        <v>7000000</v>
      </c>
      <c r="M12" s="9">
        <f t="shared" si="4"/>
        <v>0.14285714285714285</v>
      </c>
      <c r="N12" s="15">
        <f t="shared" si="0"/>
        <v>1680000</v>
      </c>
      <c r="O12" s="15">
        <f t="shared" si="3"/>
        <v>672000</v>
      </c>
      <c r="P12" s="15">
        <f t="shared" si="3"/>
        <v>588000</v>
      </c>
      <c r="Q12" s="15">
        <f t="shared" si="3"/>
        <v>336000</v>
      </c>
      <c r="R12" s="15">
        <f t="shared" si="1"/>
        <v>84000</v>
      </c>
      <c r="S12" s="15">
        <f t="shared" si="1"/>
        <v>0</v>
      </c>
      <c r="T12" s="15">
        <f t="shared" si="1"/>
        <v>0</v>
      </c>
      <c r="U12" s="15">
        <f t="shared" si="1"/>
        <v>0</v>
      </c>
    </row>
    <row r="13" spans="2:21" x14ac:dyDescent="0.3">
      <c r="B13" s="5" t="s">
        <v>18</v>
      </c>
      <c r="C13" s="5">
        <v>30</v>
      </c>
      <c r="D13" s="5" t="s">
        <v>19</v>
      </c>
      <c r="E13" t="s">
        <v>115</v>
      </c>
      <c r="F13">
        <v>1000</v>
      </c>
      <c r="G13" t="s">
        <v>114</v>
      </c>
      <c r="I13" s="19" t="s">
        <v>7</v>
      </c>
      <c r="J13" s="14">
        <v>45261</v>
      </c>
      <c r="K13" s="13">
        <f t="shared" si="2"/>
        <v>2023</v>
      </c>
      <c r="L13" s="20">
        <v>8500000</v>
      </c>
      <c r="M13" s="21">
        <f t="shared" si="4"/>
        <v>0.17647058823529413</v>
      </c>
      <c r="N13" s="15">
        <f t="shared" si="0"/>
        <v>2040000</v>
      </c>
      <c r="O13" s="15">
        <f t="shared" si="3"/>
        <v>816000</v>
      </c>
      <c r="P13" s="15">
        <f t="shared" si="3"/>
        <v>714000</v>
      </c>
      <c r="Q13" s="15">
        <f t="shared" si="3"/>
        <v>408000</v>
      </c>
      <c r="R13" s="15">
        <f t="shared" si="1"/>
        <v>102000</v>
      </c>
      <c r="S13" s="15">
        <f t="shared" si="1"/>
        <v>0</v>
      </c>
      <c r="T13" s="15">
        <f t="shared" si="1"/>
        <v>0</v>
      </c>
      <c r="U13" s="15">
        <f t="shared" si="1"/>
        <v>0</v>
      </c>
    </row>
    <row r="14" spans="2:21" x14ac:dyDescent="0.3">
      <c r="B14" s="5" t="s">
        <v>20</v>
      </c>
      <c r="C14" s="5">
        <v>5</v>
      </c>
      <c r="D14" s="5" t="s">
        <v>21</v>
      </c>
      <c r="E14" t="s">
        <v>116</v>
      </c>
      <c r="F14" s="2">
        <f>F13*F2*F12</f>
        <v>1560000</v>
      </c>
      <c r="G14" t="s">
        <v>25</v>
      </c>
      <c r="I14" s="19" t="s">
        <v>7</v>
      </c>
      <c r="J14" s="14">
        <v>45627</v>
      </c>
      <c r="K14" s="13">
        <f t="shared" si="2"/>
        <v>2024</v>
      </c>
      <c r="L14" s="20">
        <v>11000000</v>
      </c>
      <c r="M14" s="21">
        <f t="shared" si="4"/>
        <v>0.22727272727272727</v>
      </c>
      <c r="N14" s="15">
        <f t="shared" si="0"/>
        <v>2640000</v>
      </c>
      <c r="O14" s="15">
        <f t="shared" si="3"/>
        <v>1056000</v>
      </c>
      <c r="P14" s="15">
        <f t="shared" si="3"/>
        <v>923999.99999999988</v>
      </c>
      <c r="Q14" s="15">
        <f t="shared" si="3"/>
        <v>528000</v>
      </c>
      <c r="R14" s="15">
        <f t="shared" si="1"/>
        <v>132000</v>
      </c>
      <c r="S14" s="15">
        <f t="shared" si="1"/>
        <v>0</v>
      </c>
      <c r="T14" s="15">
        <f t="shared" si="1"/>
        <v>0</v>
      </c>
      <c r="U14" s="15">
        <f t="shared" si="1"/>
        <v>0</v>
      </c>
    </row>
    <row r="15" spans="2:21" x14ac:dyDescent="0.3">
      <c r="B15" s="5" t="s">
        <v>22</v>
      </c>
      <c r="C15" s="5">
        <v>50</v>
      </c>
      <c r="D15" s="5" t="s">
        <v>23</v>
      </c>
      <c r="E15" t="s">
        <v>118</v>
      </c>
      <c r="F15">
        <v>5000</v>
      </c>
      <c r="G15" t="s">
        <v>114</v>
      </c>
      <c r="I15" s="19" t="s">
        <v>7</v>
      </c>
      <c r="J15" s="14">
        <v>45992</v>
      </c>
      <c r="K15" s="13">
        <f t="shared" si="2"/>
        <v>2025</v>
      </c>
      <c r="L15" s="20">
        <v>12500000</v>
      </c>
      <c r="M15" s="21">
        <f t="shared" si="4"/>
        <v>0.12</v>
      </c>
      <c r="N15" s="15">
        <f t="shared" si="0"/>
        <v>3000000</v>
      </c>
      <c r="O15" s="15">
        <f t="shared" si="3"/>
        <v>1200000</v>
      </c>
      <c r="P15" s="15">
        <f t="shared" si="3"/>
        <v>1050000</v>
      </c>
      <c r="Q15" s="15">
        <f t="shared" si="3"/>
        <v>600000</v>
      </c>
      <c r="R15" s="15">
        <f t="shared" si="1"/>
        <v>150000</v>
      </c>
      <c r="S15" s="15">
        <f t="shared" si="1"/>
        <v>0</v>
      </c>
      <c r="T15" s="15">
        <f t="shared" si="1"/>
        <v>0</v>
      </c>
      <c r="U15" s="15">
        <f t="shared" si="1"/>
        <v>0</v>
      </c>
    </row>
    <row r="16" spans="2:21" x14ac:dyDescent="0.3">
      <c r="B16" s="5" t="s">
        <v>24</v>
      </c>
      <c r="C16" s="6">
        <v>130000</v>
      </c>
      <c r="D16" s="5" t="s">
        <v>25</v>
      </c>
      <c r="E16" t="s">
        <v>117</v>
      </c>
      <c r="F16" s="2">
        <f>F15*F2</f>
        <v>325000</v>
      </c>
      <c r="G16" t="s">
        <v>25</v>
      </c>
      <c r="I16" s="19" t="s">
        <v>7</v>
      </c>
      <c r="J16" s="14">
        <v>46357</v>
      </c>
      <c r="K16" s="13">
        <f t="shared" si="2"/>
        <v>2026</v>
      </c>
      <c r="L16" s="20">
        <v>16000000</v>
      </c>
      <c r="M16" s="21">
        <f t="shared" si="4"/>
        <v>0.21875</v>
      </c>
      <c r="N16" s="15">
        <f t="shared" si="0"/>
        <v>3840000</v>
      </c>
      <c r="O16" s="15">
        <f t="shared" si="3"/>
        <v>1536000</v>
      </c>
      <c r="P16" s="15">
        <f t="shared" si="3"/>
        <v>1344000</v>
      </c>
      <c r="Q16" s="15">
        <f t="shared" si="3"/>
        <v>768000</v>
      </c>
      <c r="R16" s="15">
        <f t="shared" si="1"/>
        <v>192000</v>
      </c>
      <c r="S16" s="15">
        <f t="shared" si="1"/>
        <v>0</v>
      </c>
      <c r="T16" s="15">
        <f t="shared" si="1"/>
        <v>0</v>
      </c>
      <c r="U16" s="15">
        <f t="shared" si="1"/>
        <v>0</v>
      </c>
    </row>
    <row r="17" spans="2:21" x14ac:dyDescent="0.3">
      <c r="B17" s="5" t="s">
        <v>26</v>
      </c>
      <c r="C17" s="5">
        <v>40</v>
      </c>
      <c r="D17" s="5" t="s">
        <v>23</v>
      </c>
      <c r="E17" t="s">
        <v>113</v>
      </c>
      <c r="F17" s="3">
        <f>F14+F16</f>
        <v>1885000</v>
      </c>
      <c r="G17" t="s">
        <v>25</v>
      </c>
      <c r="I17" s="19" t="s">
        <v>7</v>
      </c>
      <c r="J17" s="14">
        <v>46722</v>
      </c>
      <c r="K17" s="13">
        <f t="shared" si="2"/>
        <v>2027</v>
      </c>
      <c r="L17" s="20">
        <v>18000000</v>
      </c>
      <c r="M17" s="21">
        <f t="shared" si="4"/>
        <v>0.1111111111111111</v>
      </c>
      <c r="N17" s="15">
        <f t="shared" si="0"/>
        <v>4320000</v>
      </c>
      <c r="O17" s="15">
        <f t="shared" si="3"/>
        <v>1728000</v>
      </c>
      <c r="P17" s="15">
        <f t="shared" si="3"/>
        <v>1512000</v>
      </c>
      <c r="Q17" s="15">
        <f t="shared" si="3"/>
        <v>864000</v>
      </c>
      <c r="R17" s="15">
        <f t="shared" si="1"/>
        <v>216000</v>
      </c>
      <c r="S17" s="15">
        <f t="shared" si="1"/>
        <v>0</v>
      </c>
      <c r="T17" s="15">
        <f t="shared" si="1"/>
        <v>0</v>
      </c>
      <c r="U17" s="15">
        <f t="shared" si="1"/>
        <v>0</v>
      </c>
    </row>
    <row r="18" spans="2:21" x14ac:dyDescent="0.3">
      <c r="B18" s="5" t="s">
        <v>27</v>
      </c>
      <c r="C18" s="5">
        <v>3</v>
      </c>
      <c r="D18" s="5" t="s">
        <v>28</v>
      </c>
      <c r="E18" t="s">
        <v>119</v>
      </c>
      <c r="F18" s="3">
        <f>Q69*50%</f>
        <v>798000</v>
      </c>
      <c r="H18" s="3"/>
    </row>
    <row r="19" spans="2:21" x14ac:dyDescent="0.3">
      <c r="B19" s="5" t="s">
        <v>29</v>
      </c>
      <c r="C19" s="6">
        <v>6500</v>
      </c>
      <c r="D19" s="5" t="s">
        <v>25</v>
      </c>
      <c r="E19" t="s">
        <v>120</v>
      </c>
      <c r="F19" s="3">
        <f>F18/(F12+1)</f>
        <v>31920</v>
      </c>
      <c r="H19" s="39"/>
    </row>
    <row r="20" spans="2:21" x14ac:dyDescent="0.3">
      <c r="B20" s="5" t="s">
        <v>30</v>
      </c>
      <c r="C20" s="6">
        <v>13000</v>
      </c>
      <c r="D20" s="5" t="s">
        <v>25</v>
      </c>
      <c r="E20" t="s">
        <v>121</v>
      </c>
      <c r="F20" s="3">
        <f>F19*70%</f>
        <v>22344</v>
      </c>
      <c r="H20" s="39"/>
      <c r="O20" s="41"/>
    </row>
    <row r="21" spans="2:21" x14ac:dyDescent="0.3">
      <c r="E21" t="s">
        <v>122</v>
      </c>
      <c r="F21">
        <v>4</v>
      </c>
      <c r="H21" s="40"/>
      <c r="I21" s="5" t="s">
        <v>4</v>
      </c>
      <c r="J21" s="5" t="s">
        <v>8</v>
      </c>
      <c r="K21" s="14"/>
      <c r="L21" s="5" t="s">
        <v>9</v>
      </c>
      <c r="M21" s="5" t="s">
        <v>3</v>
      </c>
    </row>
    <row r="22" spans="2:21" x14ac:dyDescent="0.3">
      <c r="E22" t="s">
        <v>124</v>
      </c>
      <c r="F22" s="3">
        <f>F20/F21</f>
        <v>5586</v>
      </c>
      <c r="G22" s="40"/>
      <c r="H22" s="40"/>
      <c r="I22" s="5" t="s">
        <v>5</v>
      </c>
      <c r="J22" s="14">
        <v>41609</v>
      </c>
      <c r="K22" s="13">
        <f>YEAR(J22)</f>
        <v>2013</v>
      </c>
      <c r="L22" s="5">
        <v>45</v>
      </c>
      <c r="M22" s="5"/>
    </row>
    <row r="23" spans="2:21" x14ac:dyDescent="0.3">
      <c r="B23" s="8" t="s">
        <v>34</v>
      </c>
      <c r="C23" s="5"/>
      <c r="D23" s="5"/>
      <c r="E23" t="s">
        <v>123</v>
      </c>
      <c r="F23">
        <f>(C11/C17)*60</f>
        <v>12</v>
      </c>
      <c r="G23" t="s">
        <v>19</v>
      </c>
      <c r="I23" s="5" t="s">
        <v>5</v>
      </c>
      <c r="J23" s="14">
        <v>41974</v>
      </c>
      <c r="K23" s="13">
        <f t="shared" ref="K23:K36" si="5">YEAR(J23)</f>
        <v>2014</v>
      </c>
      <c r="L23" s="5">
        <v>52</v>
      </c>
      <c r="M23" s="9">
        <f>(L23-L22)/L23</f>
        <v>0.13461538461538461</v>
      </c>
    </row>
    <row r="24" spans="2:21" x14ac:dyDescent="0.3">
      <c r="B24" s="5" t="s">
        <v>35</v>
      </c>
      <c r="C24" s="5">
        <v>4000</v>
      </c>
      <c r="D24" s="5" t="s">
        <v>25</v>
      </c>
      <c r="E24" t="s">
        <v>127</v>
      </c>
      <c r="F24">
        <v>3</v>
      </c>
      <c r="G24" t="s">
        <v>19</v>
      </c>
      <c r="I24" s="5" t="s">
        <v>5</v>
      </c>
      <c r="J24" s="14">
        <v>42339</v>
      </c>
      <c r="K24" s="13">
        <f t="shared" si="5"/>
        <v>2015</v>
      </c>
      <c r="L24" s="5">
        <v>55</v>
      </c>
      <c r="M24" s="9">
        <f t="shared" ref="M24:M36" si="6">(L24-L23)/L24</f>
        <v>5.4545454545454543E-2</v>
      </c>
    </row>
    <row r="25" spans="2:21" x14ac:dyDescent="0.3">
      <c r="B25" s="5" t="s">
        <v>36</v>
      </c>
      <c r="C25" s="5">
        <v>55</v>
      </c>
      <c r="D25" s="5" t="s">
        <v>25</v>
      </c>
      <c r="E25" t="s">
        <v>100</v>
      </c>
      <c r="F25">
        <f>F23+F24</f>
        <v>15</v>
      </c>
      <c r="I25" s="5" t="s">
        <v>5</v>
      </c>
      <c r="J25" s="14">
        <v>42705</v>
      </c>
      <c r="K25" s="13">
        <f t="shared" si="5"/>
        <v>2016</v>
      </c>
      <c r="L25" s="5">
        <v>59</v>
      </c>
      <c r="M25" s="9">
        <f t="shared" si="6"/>
        <v>6.7796610169491525E-2</v>
      </c>
    </row>
    <row r="26" spans="2:21" x14ac:dyDescent="0.3">
      <c r="B26" s="5" t="s">
        <v>37</v>
      </c>
      <c r="C26" s="5">
        <v>425</v>
      </c>
      <c r="D26" s="5" t="s">
        <v>38</v>
      </c>
      <c r="E26" t="s">
        <v>128</v>
      </c>
      <c r="F26">
        <f>C13/F25</f>
        <v>2</v>
      </c>
      <c r="I26" s="5" t="s">
        <v>5</v>
      </c>
      <c r="J26" s="14">
        <v>43070</v>
      </c>
      <c r="K26" s="13">
        <f t="shared" si="5"/>
        <v>2017</v>
      </c>
      <c r="L26" s="5">
        <v>57</v>
      </c>
      <c r="M26" s="9">
        <f t="shared" si="6"/>
        <v>-3.5087719298245612E-2</v>
      </c>
    </row>
    <row r="27" spans="2:21" x14ac:dyDescent="0.3">
      <c r="B27" s="10" t="s">
        <v>49</v>
      </c>
      <c r="C27" s="7">
        <v>0.1</v>
      </c>
      <c r="D27" s="5"/>
      <c r="E27" t="s">
        <v>129</v>
      </c>
      <c r="F27">
        <v>60</v>
      </c>
      <c r="G27" t="s">
        <v>19</v>
      </c>
      <c r="I27" s="5" t="s">
        <v>5</v>
      </c>
      <c r="J27" s="14">
        <v>43435</v>
      </c>
      <c r="K27" s="13">
        <f t="shared" si="5"/>
        <v>2018</v>
      </c>
      <c r="L27" s="5">
        <v>62</v>
      </c>
      <c r="M27" s="9">
        <f t="shared" si="6"/>
        <v>8.0645161290322578E-2</v>
      </c>
    </row>
    <row r="28" spans="2:21" x14ac:dyDescent="0.3">
      <c r="B28" s="10" t="s">
        <v>69</v>
      </c>
      <c r="C28" s="13">
        <f>C25+(C24/C26)</f>
        <v>64.411764705882348</v>
      </c>
      <c r="D28" s="5"/>
      <c r="E28" t="s">
        <v>130</v>
      </c>
      <c r="F28">
        <f>C13+F27</f>
        <v>90</v>
      </c>
      <c r="G28" t="s">
        <v>19</v>
      </c>
      <c r="I28" s="5" t="s">
        <v>5</v>
      </c>
      <c r="J28" s="14">
        <v>43800</v>
      </c>
      <c r="K28" s="13">
        <f t="shared" si="5"/>
        <v>2019</v>
      </c>
      <c r="L28" s="5">
        <v>63</v>
      </c>
      <c r="M28" s="9">
        <f t="shared" si="6"/>
        <v>1.5873015873015872E-2</v>
      </c>
    </row>
    <row r="29" spans="2:21" x14ac:dyDescent="0.3">
      <c r="E29" t="s">
        <v>131</v>
      </c>
      <c r="F29">
        <f>(60*F26)/F28</f>
        <v>1.3333333333333333</v>
      </c>
      <c r="I29" s="5" t="s">
        <v>5</v>
      </c>
      <c r="J29" s="14">
        <v>44166</v>
      </c>
      <c r="K29" s="13">
        <f t="shared" si="5"/>
        <v>2020</v>
      </c>
      <c r="L29" s="5">
        <v>64</v>
      </c>
      <c r="M29" s="9">
        <f t="shared" si="6"/>
        <v>1.5625E-2</v>
      </c>
    </row>
    <row r="30" spans="2:21" x14ac:dyDescent="0.3">
      <c r="E30" t="s">
        <v>132</v>
      </c>
      <c r="F30" s="3">
        <f>G22/F29</f>
        <v>0</v>
      </c>
      <c r="G30" s="40"/>
      <c r="H30" s="40">
        <f>F30/3</f>
        <v>0</v>
      </c>
      <c r="I30" s="16" t="s">
        <v>6</v>
      </c>
      <c r="J30" s="14">
        <v>44531</v>
      </c>
      <c r="K30" s="13">
        <f t="shared" si="5"/>
        <v>2021</v>
      </c>
      <c r="L30" s="16">
        <v>66</v>
      </c>
      <c r="M30" s="18">
        <f t="shared" si="6"/>
        <v>3.0303030303030304E-2</v>
      </c>
    </row>
    <row r="31" spans="2:21" x14ac:dyDescent="0.3">
      <c r="B31" s="8" t="s">
        <v>39</v>
      </c>
      <c r="C31" s="5" t="s">
        <v>67</v>
      </c>
      <c r="E31" t="s">
        <v>133</v>
      </c>
      <c r="F31" s="3">
        <f>F30*(F12+1)</f>
        <v>0</v>
      </c>
      <c r="G31" s="40"/>
      <c r="H31" s="40">
        <f>H30*25</f>
        <v>0</v>
      </c>
      <c r="I31" s="5" t="s">
        <v>5</v>
      </c>
      <c r="J31" s="14">
        <v>44896</v>
      </c>
      <c r="K31" s="13">
        <f t="shared" si="5"/>
        <v>2022</v>
      </c>
      <c r="L31" s="5">
        <v>69</v>
      </c>
      <c r="M31" s="9">
        <f t="shared" si="6"/>
        <v>4.3478260869565216E-2</v>
      </c>
    </row>
    <row r="32" spans="2:21" x14ac:dyDescent="0.3">
      <c r="B32" s="5" t="s">
        <v>40</v>
      </c>
      <c r="C32" s="9">
        <v>0.24</v>
      </c>
      <c r="E32" t="s">
        <v>134</v>
      </c>
      <c r="F32" s="2">
        <f>C16*F31</f>
        <v>0</v>
      </c>
      <c r="H32">
        <f>C16*H31</f>
        <v>0</v>
      </c>
      <c r="I32" s="19" t="s">
        <v>7</v>
      </c>
      <c r="J32" s="14">
        <v>45261</v>
      </c>
      <c r="K32" s="13">
        <f t="shared" si="5"/>
        <v>2023</v>
      </c>
      <c r="L32" s="19">
        <v>72</v>
      </c>
      <c r="M32" s="21">
        <f t="shared" si="6"/>
        <v>4.1666666666666664E-2</v>
      </c>
    </row>
    <row r="33" spans="2:13" x14ac:dyDescent="0.3">
      <c r="B33" s="5" t="s">
        <v>41</v>
      </c>
      <c r="C33" s="9">
        <v>0.16</v>
      </c>
      <c r="I33" s="19" t="s">
        <v>7</v>
      </c>
      <c r="J33" s="14">
        <v>45627</v>
      </c>
      <c r="K33" s="13">
        <f t="shared" si="5"/>
        <v>2024</v>
      </c>
      <c r="L33" s="19">
        <v>74</v>
      </c>
      <c r="M33" s="21">
        <f t="shared" si="6"/>
        <v>2.7027027027027029E-2</v>
      </c>
    </row>
    <row r="34" spans="2:13" x14ac:dyDescent="0.3">
      <c r="B34" s="5" t="s">
        <v>42</v>
      </c>
      <c r="C34" s="9">
        <v>0.12</v>
      </c>
      <c r="I34" s="19" t="s">
        <v>7</v>
      </c>
      <c r="J34" s="14">
        <v>45992</v>
      </c>
      <c r="K34" s="13">
        <f t="shared" si="5"/>
        <v>2025</v>
      </c>
      <c r="L34" s="19">
        <v>76</v>
      </c>
      <c r="M34" s="21">
        <f t="shared" si="6"/>
        <v>2.6315789473684209E-2</v>
      </c>
    </row>
    <row r="35" spans="2:13" x14ac:dyDescent="0.3">
      <c r="B35" s="5" t="s">
        <v>43</v>
      </c>
      <c r="C35" s="9">
        <v>0.11</v>
      </c>
      <c r="I35" s="19" t="s">
        <v>7</v>
      </c>
      <c r="J35" s="14">
        <v>46357</v>
      </c>
      <c r="K35" s="13">
        <f t="shared" si="5"/>
        <v>2026</v>
      </c>
      <c r="L35" s="19">
        <v>79</v>
      </c>
      <c r="M35" s="21">
        <f t="shared" si="6"/>
        <v>3.7974683544303799E-2</v>
      </c>
    </row>
    <row r="36" spans="2:13" x14ac:dyDescent="0.3">
      <c r="B36" s="5" t="s">
        <v>44</v>
      </c>
      <c r="C36" s="9">
        <v>0.09</v>
      </c>
      <c r="I36" s="19" t="s">
        <v>7</v>
      </c>
      <c r="J36" s="14">
        <v>46722</v>
      </c>
      <c r="K36" s="13">
        <f t="shared" si="5"/>
        <v>2027</v>
      </c>
      <c r="L36" s="19">
        <v>81</v>
      </c>
      <c r="M36" s="21">
        <f t="shared" si="6"/>
        <v>2.4691358024691357E-2</v>
      </c>
    </row>
    <row r="37" spans="2:13" x14ac:dyDescent="0.3">
      <c r="B37" s="5" t="s">
        <v>45</v>
      </c>
      <c r="C37" s="9">
        <v>0.08</v>
      </c>
    </row>
    <row r="38" spans="2:13" x14ac:dyDescent="0.3">
      <c r="B38" s="5" t="s">
        <v>46</v>
      </c>
      <c r="C38" s="9">
        <v>0.08</v>
      </c>
    </row>
    <row r="39" spans="2:13" x14ac:dyDescent="0.3">
      <c r="B39" s="5" t="s">
        <v>47</v>
      </c>
      <c r="C39" s="9">
        <v>0.12</v>
      </c>
      <c r="K39" s="1"/>
    </row>
    <row r="40" spans="2:13" x14ac:dyDescent="0.3">
      <c r="B40" s="10" t="s">
        <v>48</v>
      </c>
      <c r="C40" s="12">
        <f>SUM(C32:C39)</f>
        <v>0.99999999999999989</v>
      </c>
    </row>
    <row r="41" spans="2:13" x14ac:dyDescent="0.3">
      <c r="E41" t="s">
        <v>102</v>
      </c>
      <c r="F41">
        <f>(D44*C44)+(D45*C45)+(D46*C46)</f>
        <v>35.200000000000003</v>
      </c>
    </row>
    <row r="42" spans="2:13" x14ac:dyDescent="0.3">
      <c r="H42" s="22"/>
    </row>
    <row r="43" spans="2:13" x14ac:dyDescent="0.3">
      <c r="B43" s="8" t="s">
        <v>51</v>
      </c>
      <c r="C43" s="5"/>
      <c r="D43" s="5" t="s">
        <v>82</v>
      </c>
      <c r="E43" s="5" t="s">
        <v>147</v>
      </c>
      <c r="F43" s="5" t="s">
        <v>78</v>
      </c>
      <c r="G43" s="10" t="s">
        <v>81</v>
      </c>
      <c r="H43" s="5" t="s">
        <v>91</v>
      </c>
      <c r="J43" s="22"/>
    </row>
    <row r="44" spans="2:13" x14ac:dyDescent="0.3">
      <c r="B44" s="23">
        <v>3</v>
      </c>
      <c r="C44" s="9">
        <v>0.4</v>
      </c>
      <c r="D44" s="5">
        <f>$C$4+E44</f>
        <v>33.5</v>
      </c>
      <c r="E44" s="5">
        <f>B44*4.5</f>
        <v>13.5</v>
      </c>
      <c r="F44" s="19">
        <f>$C$75+$C$76+$C$77</f>
        <v>45</v>
      </c>
      <c r="G44" s="5">
        <f>B44*12</f>
        <v>36</v>
      </c>
      <c r="H44" s="5">
        <f t="shared" ref="H44:H51" si="7">(B44/$C$17)*60</f>
        <v>4.5</v>
      </c>
      <c r="J44"/>
    </row>
    <row r="45" spans="2:13" x14ac:dyDescent="0.3">
      <c r="B45" s="11">
        <v>4</v>
      </c>
      <c r="C45" s="9">
        <v>0.35</v>
      </c>
      <c r="D45" s="5">
        <f t="shared" ref="D45:D51" si="8">$C$4+E45</f>
        <v>38</v>
      </c>
      <c r="E45" s="5">
        <f t="shared" ref="E45:E51" si="9">B45*4.5</f>
        <v>18</v>
      </c>
      <c r="F45" s="5">
        <f t="shared" ref="F45:F51" si="10">$C$75+$C$76+$C$77+($C$78*($B45-3))</f>
        <v>55</v>
      </c>
      <c r="G45" s="5">
        <f t="shared" ref="G45:G51" si="11">B45*12</f>
        <v>48</v>
      </c>
      <c r="H45" s="5">
        <f t="shared" si="7"/>
        <v>6</v>
      </c>
      <c r="J45"/>
    </row>
    <row r="46" spans="2:13" x14ac:dyDescent="0.3">
      <c r="B46" s="11">
        <v>5</v>
      </c>
      <c r="C46" s="9">
        <v>0.2</v>
      </c>
      <c r="D46" s="5">
        <f t="shared" si="8"/>
        <v>42.5</v>
      </c>
      <c r="E46" s="5">
        <f t="shared" si="9"/>
        <v>22.5</v>
      </c>
      <c r="F46" s="5">
        <f t="shared" si="10"/>
        <v>65</v>
      </c>
      <c r="G46" s="5">
        <f t="shared" si="11"/>
        <v>60</v>
      </c>
      <c r="H46" s="5">
        <f t="shared" si="7"/>
        <v>7.5</v>
      </c>
      <c r="J46"/>
    </row>
    <row r="47" spans="2:13" x14ac:dyDescent="0.3">
      <c r="B47" s="11">
        <v>6</v>
      </c>
      <c r="C47" s="9">
        <v>0.05</v>
      </c>
      <c r="D47" s="5">
        <f t="shared" si="8"/>
        <v>47</v>
      </c>
      <c r="E47" s="5">
        <f t="shared" si="9"/>
        <v>27</v>
      </c>
      <c r="F47" s="5">
        <f t="shared" si="10"/>
        <v>75</v>
      </c>
      <c r="G47" s="5">
        <f t="shared" si="11"/>
        <v>72</v>
      </c>
      <c r="H47" s="5">
        <f t="shared" si="7"/>
        <v>9</v>
      </c>
      <c r="J47"/>
    </row>
    <row r="48" spans="2:13" x14ac:dyDescent="0.3">
      <c r="B48" s="11">
        <v>7</v>
      </c>
      <c r="C48" s="9">
        <v>0</v>
      </c>
      <c r="D48" s="5">
        <f t="shared" si="8"/>
        <v>51.5</v>
      </c>
      <c r="E48" s="5">
        <f t="shared" si="9"/>
        <v>31.5</v>
      </c>
      <c r="F48" s="5">
        <f t="shared" si="10"/>
        <v>85</v>
      </c>
      <c r="G48" s="5">
        <f t="shared" si="11"/>
        <v>84</v>
      </c>
      <c r="H48" s="5">
        <f t="shared" si="7"/>
        <v>10.5</v>
      </c>
      <c r="J48"/>
    </row>
    <row r="49" spans="2:18" x14ac:dyDescent="0.3">
      <c r="B49" s="11">
        <v>8</v>
      </c>
      <c r="C49" s="9">
        <v>0</v>
      </c>
      <c r="D49" s="5">
        <f t="shared" si="8"/>
        <v>56</v>
      </c>
      <c r="E49" s="5">
        <f t="shared" si="9"/>
        <v>36</v>
      </c>
      <c r="F49" s="5">
        <f t="shared" si="10"/>
        <v>95</v>
      </c>
      <c r="G49" s="5">
        <f t="shared" si="11"/>
        <v>96</v>
      </c>
      <c r="H49" s="5">
        <f t="shared" si="7"/>
        <v>12</v>
      </c>
      <c r="J49"/>
    </row>
    <row r="50" spans="2:18" x14ac:dyDescent="0.3">
      <c r="B50" s="11">
        <v>9</v>
      </c>
      <c r="C50" s="9">
        <v>0</v>
      </c>
      <c r="D50" s="5">
        <f t="shared" si="8"/>
        <v>60.5</v>
      </c>
      <c r="E50" s="5">
        <f t="shared" si="9"/>
        <v>40.5</v>
      </c>
      <c r="F50" s="5">
        <f t="shared" si="10"/>
        <v>105</v>
      </c>
      <c r="G50" s="5">
        <f t="shared" si="11"/>
        <v>108</v>
      </c>
      <c r="H50" s="5">
        <f t="shared" si="7"/>
        <v>13.5</v>
      </c>
      <c r="J50"/>
    </row>
    <row r="51" spans="2:18" x14ac:dyDescent="0.3">
      <c r="B51" s="11">
        <v>10</v>
      </c>
      <c r="C51" s="9">
        <v>0</v>
      </c>
      <c r="D51" s="5">
        <f t="shared" si="8"/>
        <v>65</v>
      </c>
      <c r="E51" s="5">
        <f t="shared" si="9"/>
        <v>45</v>
      </c>
      <c r="F51" s="5">
        <f t="shared" si="10"/>
        <v>115</v>
      </c>
      <c r="G51" s="5">
        <f t="shared" si="11"/>
        <v>120</v>
      </c>
      <c r="H51" s="5">
        <f t="shared" si="7"/>
        <v>15</v>
      </c>
      <c r="J51"/>
    </row>
    <row r="52" spans="2:18" x14ac:dyDescent="0.3">
      <c r="B52" s="5" t="s">
        <v>48</v>
      </c>
      <c r="C52" s="7">
        <f>SUM(C44:C51)</f>
        <v>1</v>
      </c>
      <c r="D52" s="5"/>
      <c r="E52" s="5"/>
      <c r="F52" s="5">
        <f>(F44*C44)+(F45*C45)+(F46*C46)+(F47*C47)</f>
        <v>54</v>
      </c>
      <c r="G52" s="5">
        <f>(C44*G44)+(C45*G45)+(C46*G46)+(C47*G47)</f>
        <v>46.8</v>
      </c>
      <c r="H52" s="5"/>
    </row>
    <row r="53" spans="2:18" x14ac:dyDescent="0.3">
      <c r="F53" s="24" t="s">
        <v>79</v>
      </c>
      <c r="G53" s="24" t="s">
        <v>79</v>
      </c>
      <c r="H53" s="22"/>
    </row>
    <row r="54" spans="2:18" x14ac:dyDescent="0.3">
      <c r="B54" s="8" t="s">
        <v>52</v>
      </c>
      <c r="C54" s="5"/>
      <c r="H54" s="22"/>
    </row>
    <row r="55" spans="2:18" x14ac:dyDescent="0.3">
      <c r="B55" s="5" t="s">
        <v>53</v>
      </c>
      <c r="C55" s="9">
        <v>0.12</v>
      </c>
    </row>
    <row r="56" spans="2:18" x14ac:dyDescent="0.3">
      <c r="B56" s="5" t="s">
        <v>54</v>
      </c>
      <c r="C56" s="9">
        <v>0.12</v>
      </c>
      <c r="E56" s="4"/>
      <c r="F56" s="4" t="s">
        <v>99</v>
      </c>
      <c r="H56" t="s">
        <v>98</v>
      </c>
      <c r="K56" s="28" t="s">
        <v>105</v>
      </c>
      <c r="L56" s="29" t="s">
        <v>94</v>
      </c>
      <c r="M56" s="29" t="s">
        <v>95</v>
      </c>
      <c r="N56" s="29" t="s">
        <v>101</v>
      </c>
      <c r="O56" s="30" t="s">
        <v>106</v>
      </c>
      <c r="P56" t="s">
        <v>103</v>
      </c>
      <c r="Q56" t="s">
        <v>104</v>
      </c>
    </row>
    <row r="57" spans="2:18" x14ac:dyDescent="0.3">
      <c r="B57" s="5" t="s">
        <v>55</v>
      </c>
      <c r="C57" s="9">
        <v>0.13</v>
      </c>
      <c r="E57" s="4" t="s">
        <v>93</v>
      </c>
      <c r="F57">
        <v>2</v>
      </c>
      <c r="G57" t="s">
        <v>96</v>
      </c>
      <c r="H57">
        <f>F57*4.5</f>
        <v>9</v>
      </c>
      <c r="K57" s="27">
        <v>1</v>
      </c>
      <c r="L57" s="25">
        <v>4</v>
      </c>
      <c r="M57" s="26">
        <f>Table1[[#This Row],[1st + last mile distance]]+Table1[[#This Row],[drone flight distance]]</f>
        <v>5</v>
      </c>
      <c r="N57" s="26">
        <f t="shared" ref="N57:N76" si="12">((K57)*4.5)+((L57/$C$17)*60)+20</f>
        <v>30.5</v>
      </c>
      <c r="O57" s="34" t="str">
        <f t="shared" ref="O57:O69" si="13">IF(N57&lt;=42.5,"Yes","No")</f>
        <v>Yes</v>
      </c>
      <c r="P57" s="33"/>
      <c r="Q57" s="2">
        <v>1680000</v>
      </c>
      <c r="R57" s="3">
        <f>Q57*0.25</f>
        <v>420000</v>
      </c>
    </row>
    <row r="58" spans="2:18" x14ac:dyDescent="0.3">
      <c r="B58" s="5" t="s">
        <v>56</v>
      </c>
      <c r="C58" s="9">
        <v>0.13</v>
      </c>
      <c r="E58" s="4" t="s">
        <v>92</v>
      </c>
      <c r="F58">
        <v>2</v>
      </c>
      <c r="G58" t="s">
        <v>97</v>
      </c>
      <c r="H58">
        <f>F58*4.5</f>
        <v>9</v>
      </c>
      <c r="K58" s="27">
        <v>1</v>
      </c>
      <c r="L58" s="25">
        <v>5</v>
      </c>
      <c r="M58" s="26">
        <f>Table1[[#This Row],[1st + last mile distance]]+Table1[[#This Row],[drone flight distance]]</f>
        <v>6</v>
      </c>
      <c r="N58" s="26">
        <f t="shared" si="12"/>
        <v>32</v>
      </c>
      <c r="O58" s="34" t="str">
        <f t="shared" si="13"/>
        <v>Yes</v>
      </c>
    </row>
    <row r="59" spans="2:18" x14ac:dyDescent="0.3">
      <c r="B59" s="5" t="s">
        <v>57</v>
      </c>
      <c r="C59" s="9">
        <v>0.14000000000000001</v>
      </c>
      <c r="E59" s="4" t="s">
        <v>94</v>
      </c>
      <c r="F59">
        <v>4</v>
      </c>
      <c r="G59" t="s">
        <v>18</v>
      </c>
      <c r="H59">
        <f>(F59/$C$17)*60</f>
        <v>6</v>
      </c>
      <c r="K59" s="27">
        <v>1</v>
      </c>
      <c r="L59" s="25">
        <v>6</v>
      </c>
      <c r="M59" s="26">
        <f>Table1[[#This Row],[1st + last mile distance]]+Table1[[#This Row],[drone flight distance]]</f>
        <v>7</v>
      </c>
      <c r="N59" s="26">
        <f t="shared" si="12"/>
        <v>33.5</v>
      </c>
      <c r="O59" s="34" t="str">
        <f t="shared" si="13"/>
        <v>Yes</v>
      </c>
      <c r="P59">
        <f>$Q$57*40%</f>
        <v>672000</v>
      </c>
    </row>
    <row r="60" spans="2:18" x14ac:dyDescent="0.3">
      <c r="B60" s="5" t="s">
        <v>58</v>
      </c>
      <c r="C60" s="9">
        <v>0.17</v>
      </c>
      <c r="E60" s="4" t="s">
        <v>95</v>
      </c>
      <c r="F60">
        <f>SUM(F57:F59)</f>
        <v>8</v>
      </c>
      <c r="G60" t="s">
        <v>100</v>
      </c>
      <c r="H60">
        <f>SUM(H57:H59)</f>
        <v>24</v>
      </c>
      <c r="K60" s="27">
        <v>2</v>
      </c>
      <c r="L60" s="25">
        <v>4</v>
      </c>
      <c r="M60" s="26">
        <f>Table1[[#This Row],[1st + last mile distance]]+Table1[[#This Row],[drone flight distance]]</f>
        <v>6</v>
      </c>
      <c r="N60" s="26">
        <f t="shared" si="12"/>
        <v>35</v>
      </c>
      <c r="O60" s="37" t="str">
        <f t="shared" si="13"/>
        <v>Yes</v>
      </c>
    </row>
    <row r="61" spans="2:18" x14ac:dyDescent="0.3">
      <c r="B61" s="5" t="s">
        <v>59</v>
      </c>
      <c r="C61" s="9">
        <v>0.19</v>
      </c>
      <c r="G61" s="5" t="s">
        <v>82</v>
      </c>
      <c r="H61">
        <f>H60+$C$4</f>
        <v>44</v>
      </c>
      <c r="K61" s="27">
        <v>1</v>
      </c>
      <c r="L61" s="25">
        <v>7</v>
      </c>
      <c r="M61" s="26">
        <f>Table1[[#This Row],[1st + last mile distance]]+Table1[[#This Row],[drone flight distance]]</f>
        <v>8</v>
      </c>
      <c r="N61" s="26">
        <f t="shared" si="12"/>
        <v>35</v>
      </c>
      <c r="O61" s="37" t="str">
        <f t="shared" si="13"/>
        <v>Yes</v>
      </c>
      <c r="Q61" s="2"/>
    </row>
    <row r="62" spans="2:18" x14ac:dyDescent="0.3">
      <c r="K62" s="27">
        <v>2</v>
      </c>
      <c r="L62" s="25">
        <v>5</v>
      </c>
      <c r="M62" s="26">
        <f>Table1[[#This Row],[1st + last mile distance]]+Table1[[#This Row],[drone flight distance]]</f>
        <v>7</v>
      </c>
      <c r="N62" s="26">
        <f t="shared" si="12"/>
        <v>36.5</v>
      </c>
      <c r="O62" s="37" t="str">
        <f t="shared" si="13"/>
        <v>Yes</v>
      </c>
    </row>
    <row r="63" spans="2:18" x14ac:dyDescent="0.3">
      <c r="K63" s="27">
        <v>1</v>
      </c>
      <c r="L63" s="25">
        <v>8</v>
      </c>
      <c r="M63" s="26">
        <f>Table1[[#This Row],[1st + last mile distance]]+Table1[[#This Row],[drone flight distance]]</f>
        <v>9</v>
      </c>
      <c r="N63" s="26">
        <f t="shared" si="12"/>
        <v>36.5</v>
      </c>
      <c r="O63" s="37" t="str">
        <f t="shared" si="13"/>
        <v>Yes</v>
      </c>
    </row>
    <row r="64" spans="2:18" x14ac:dyDescent="0.3">
      <c r="B64" s="8" t="s">
        <v>60</v>
      </c>
      <c r="C64" s="5"/>
      <c r="E64" t="s">
        <v>185</v>
      </c>
      <c r="F64" t="s">
        <v>187</v>
      </c>
      <c r="G64" t="s">
        <v>186</v>
      </c>
      <c r="K64" s="27">
        <v>2</v>
      </c>
      <c r="L64" s="25">
        <v>6</v>
      </c>
      <c r="M64" s="26">
        <f>Table1[[#This Row],[1st + last mile distance]]+Table1[[#This Row],[drone flight distance]]</f>
        <v>8</v>
      </c>
      <c r="N64" s="26">
        <f t="shared" si="12"/>
        <v>38</v>
      </c>
      <c r="O64" s="37" t="str">
        <f t="shared" si="13"/>
        <v>Yes</v>
      </c>
      <c r="P64" s="3">
        <f>Q57*35%</f>
        <v>588000</v>
      </c>
      <c r="Q64" s="3"/>
    </row>
    <row r="65" spans="2:18" x14ac:dyDescent="0.3">
      <c r="B65" s="5" t="s">
        <v>61</v>
      </c>
      <c r="C65" s="9">
        <v>0.15</v>
      </c>
      <c r="E65">
        <v>9</v>
      </c>
      <c r="F65">
        <f>E65/$E$68</f>
        <v>0.36</v>
      </c>
      <c r="G65">
        <v>8</v>
      </c>
      <c r="K65" s="27">
        <v>3</v>
      </c>
      <c r="L65" s="25">
        <v>4</v>
      </c>
      <c r="M65" s="26">
        <f>Table1[[#This Row],[1st + last mile distance]]+Table1[[#This Row],[drone flight distance]]</f>
        <v>7</v>
      </c>
      <c r="N65" s="26">
        <f t="shared" si="12"/>
        <v>39.5</v>
      </c>
      <c r="O65" s="35" t="str">
        <f t="shared" si="13"/>
        <v>Yes</v>
      </c>
    </row>
    <row r="66" spans="2:18" x14ac:dyDescent="0.3">
      <c r="B66" s="5" t="s">
        <v>62</v>
      </c>
      <c r="C66" s="9">
        <v>0.18</v>
      </c>
      <c r="E66">
        <v>4</v>
      </c>
      <c r="F66">
        <f t="shared" ref="F66:F67" si="14">E66/$E$68</f>
        <v>0.16</v>
      </c>
      <c r="G66">
        <v>3</v>
      </c>
      <c r="K66" s="27">
        <v>2</v>
      </c>
      <c r="L66" s="25">
        <v>7</v>
      </c>
      <c r="M66" s="26">
        <f>Table1[[#This Row],[1st + last mile distance]]+Table1[[#This Row],[drone flight distance]]</f>
        <v>9</v>
      </c>
      <c r="N66" s="26">
        <f t="shared" si="12"/>
        <v>39.5</v>
      </c>
      <c r="O66" s="35" t="str">
        <f t="shared" si="13"/>
        <v>Yes</v>
      </c>
    </row>
    <row r="67" spans="2:18" x14ac:dyDescent="0.3">
      <c r="B67" s="5" t="s">
        <v>63</v>
      </c>
      <c r="C67" s="9">
        <v>0.1</v>
      </c>
      <c r="E67">
        <v>12</v>
      </c>
      <c r="F67">
        <f t="shared" si="14"/>
        <v>0.48</v>
      </c>
      <c r="G67">
        <v>5</v>
      </c>
      <c r="K67" s="27">
        <v>3</v>
      </c>
      <c r="L67" s="25">
        <v>5</v>
      </c>
      <c r="M67" s="26">
        <f>Table1[[#This Row],[1st + last mile distance]]+Table1[[#This Row],[drone flight distance]]</f>
        <v>8</v>
      </c>
      <c r="N67" s="26">
        <f t="shared" si="12"/>
        <v>41</v>
      </c>
      <c r="O67" s="35" t="str">
        <f t="shared" si="13"/>
        <v>Yes</v>
      </c>
    </row>
    <row r="68" spans="2:18" x14ac:dyDescent="0.3">
      <c r="B68" s="5" t="s">
        <v>64</v>
      </c>
      <c r="C68" s="9">
        <v>0.13</v>
      </c>
      <c r="E68">
        <f>SUM(E65:E67)</f>
        <v>25</v>
      </c>
      <c r="F68" t="s">
        <v>188</v>
      </c>
      <c r="G68">
        <f>(G65*F65)+(G66*F66)+(G67*F67)</f>
        <v>5.76</v>
      </c>
      <c r="K68" s="27">
        <v>2</v>
      </c>
      <c r="L68" s="25">
        <v>8</v>
      </c>
      <c r="M68" s="26">
        <f>Table1[[#This Row],[1st + last mile distance]]+Table1[[#This Row],[drone flight distance]]</f>
        <v>10</v>
      </c>
      <c r="N68" s="26">
        <f t="shared" si="12"/>
        <v>41</v>
      </c>
      <c r="O68" s="35" t="str">
        <f t="shared" si="13"/>
        <v>Yes</v>
      </c>
    </row>
    <row r="69" spans="2:18" x14ac:dyDescent="0.3">
      <c r="B69" s="5" t="s">
        <v>65</v>
      </c>
      <c r="C69" s="9">
        <v>0.19</v>
      </c>
      <c r="K69" s="27">
        <v>3</v>
      </c>
      <c r="L69" s="25">
        <v>6</v>
      </c>
      <c r="M69" s="26">
        <f>Table1[[#This Row],[1st + last mile distance]]+Table1[[#This Row],[drone flight distance]]</f>
        <v>9</v>
      </c>
      <c r="N69" s="26">
        <f t="shared" si="12"/>
        <v>42.5</v>
      </c>
      <c r="O69" s="35" t="str">
        <f t="shared" si="13"/>
        <v>Yes</v>
      </c>
      <c r="P69" s="3">
        <f>Q57*20%</f>
        <v>336000</v>
      </c>
      <c r="Q69" s="3">
        <f>P59+P64+P69</f>
        <v>1596000</v>
      </c>
      <c r="R69" s="39">
        <f>Q69*0.5</f>
        <v>798000</v>
      </c>
    </row>
    <row r="70" spans="2:18" x14ac:dyDescent="0.3">
      <c r="B70" s="5" t="s">
        <v>66</v>
      </c>
      <c r="C70" s="9">
        <v>0.25</v>
      </c>
      <c r="E70" t="s">
        <v>201</v>
      </c>
      <c r="F70" t="s">
        <v>202</v>
      </c>
      <c r="G70" t="s">
        <v>67</v>
      </c>
      <c r="K70" s="27">
        <v>4</v>
      </c>
      <c r="L70" s="25">
        <v>4</v>
      </c>
      <c r="M70" s="26">
        <f>Table1[[#This Row],[1st + last mile distance]]+Table1[[#This Row],[drone flight distance]]</f>
        <v>8</v>
      </c>
      <c r="N70" s="26">
        <f t="shared" si="12"/>
        <v>44</v>
      </c>
      <c r="O70" s="36" t="s">
        <v>107</v>
      </c>
      <c r="R70" s="3">
        <f>Q57+R69</f>
        <v>2478000</v>
      </c>
    </row>
    <row r="71" spans="2:18" x14ac:dyDescent="0.3">
      <c r="B71" s="5" t="s">
        <v>48</v>
      </c>
      <c r="C71" s="7">
        <f>SUM(C65:C70)</f>
        <v>1</v>
      </c>
      <c r="E71">
        <v>5</v>
      </c>
      <c r="F71">
        <v>40</v>
      </c>
      <c r="G71">
        <f>F71/$F$73</f>
        <v>0.55555555555555558</v>
      </c>
      <c r="K71" s="27">
        <v>3</v>
      </c>
      <c r="L71" s="25">
        <v>7</v>
      </c>
      <c r="M71" s="26">
        <f>Table1[[#This Row],[1st + last mile distance]]+Table1[[#This Row],[drone flight distance]]</f>
        <v>10</v>
      </c>
      <c r="N71" s="26">
        <f t="shared" si="12"/>
        <v>44</v>
      </c>
      <c r="O71" s="36" t="s">
        <v>107</v>
      </c>
    </row>
    <row r="72" spans="2:18" x14ac:dyDescent="0.3">
      <c r="E72">
        <v>7</v>
      </c>
      <c r="F72">
        <v>32</v>
      </c>
      <c r="G72">
        <f t="shared" ref="G72" si="15">F72/$F$73</f>
        <v>0.44444444444444442</v>
      </c>
      <c r="K72" s="27">
        <v>4</v>
      </c>
      <c r="L72" s="25">
        <v>5</v>
      </c>
      <c r="M72" s="26">
        <f>Table1[[#This Row],[1st + last mile distance]]+Table1[[#This Row],[drone flight distance]]</f>
        <v>9</v>
      </c>
      <c r="N72" s="26">
        <f t="shared" si="12"/>
        <v>45.5</v>
      </c>
      <c r="O72" s="36" t="s">
        <v>107</v>
      </c>
    </row>
    <row r="73" spans="2:18" x14ac:dyDescent="0.3">
      <c r="E73" t="s">
        <v>48</v>
      </c>
      <c r="F73">
        <f>F71+F72</f>
        <v>72</v>
      </c>
      <c r="K73" s="27">
        <v>3</v>
      </c>
      <c r="L73" s="25">
        <v>8</v>
      </c>
      <c r="M73" s="26">
        <f>Table1[[#This Row],[1st + last mile distance]]+Table1[[#This Row],[drone flight distance]]</f>
        <v>11</v>
      </c>
      <c r="N73" s="26">
        <f t="shared" si="12"/>
        <v>45.5</v>
      </c>
      <c r="O73" s="36" t="s">
        <v>107</v>
      </c>
    </row>
    <row r="74" spans="2:18" x14ac:dyDescent="0.3">
      <c r="B74" s="8" t="s">
        <v>70</v>
      </c>
      <c r="C74" s="5"/>
      <c r="E74" t="s">
        <v>203</v>
      </c>
      <c r="F74" s="60">
        <f>(E71*G71)+(E72*G72)</f>
        <v>5.8888888888888884</v>
      </c>
      <c r="K74" s="27">
        <v>4</v>
      </c>
      <c r="L74" s="25">
        <v>6</v>
      </c>
      <c r="M74" s="26">
        <f>Table1[[#This Row],[1st + last mile distance]]+Table1[[#This Row],[drone flight distance]]</f>
        <v>10</v>
      </c>
      <c r="N74" s="26">
        <f t="shared" si="12"/>
        <v>47</v>
      </c>
      <c r="O74" s="36" t="s">
        <v>107</v>
      </c>
      <c r="P74" s="3">
        <f>Q57*5%</f>
        <v>84000</v>
      </c>
      <c r="Q74" s="3">
        <f>P59+P64+P69+P74</f>
        <v>1680000</v>
      </c>
      <c r="R74" s="39">
        <f>Q74*0.5</f>
        <v>840000</v>
      </c>
    </row>
    <row r="75" spans="2:18" x14ac:dyDescent="0.3">
      <c r="B75" s="5" t="s">
        <v>71</v>
      </c>
      <c r="C75" s="5">
        <v>15</v>
      </c>
      <c r="K75" s="27">
        <v>4</v>
      </c>
      <c r="L75" s="25">
        <v>7</v>
      </c>
      <c r="M75" s="26">
        <f>Table1[[#This Row],[1st + last mile distance]]+Table1[[#This Row],[drone flight distance]]</f>
        <v>11</v>
      </c>
      <c r="N75" s="26">
        <f t="shared" si="12"/>
        <v>48.5</v>
      </c>
      <c r="O75" s="38" t="str">
        <f>IF(N75&lt;=42.5,"Yes","No")</f>
        <v>No</v>
      </c>
    </row>
    <row r="76" spans="2:18" x14ac:dyDescent="0.3">
      <c r="B76" s="5" t="s">
        <v>72</v>
      </c>
      <c r="C76" s="5">
        <v>15</v>
      </c>
      <c r="K76" s="31">
        <v>4</v>
      </c>
      <c r="L76" s="32">
        <v>8</v>
      </c>
      <c r="M76" s="26">
        <f>Table1[[#This Row],[1st + last mile distance]]+Table1[[#This Row],[drone flight distance]]</f>
        <v>12</v>
      </c>
      <c r="N76" s="26">
        <f t="shared" si="12"/>
        <v>50</v>
      </c>
      <c r="O76" s="38" t="str">
        <f>IF(N76&lt;=42.5,"Yes","No")</f>
        <v>No</v>
      </c>
    </row>
    <row r="77" spans="2:18" x14ac:dyDescent="0.3">
      <c r="B77" s="5" t="s">
        <v>73</v>
      </c>
      <c r="C77" s="5">
        <v>15</v>
      </c>
    </row>
    <row r="78" spans="2:18" x14ac:dyDescent="0.3">
      <c r="B78" s="5" t="s">
        <v>74</v>
      </c>
      <c r="C78" s="5">
        <v>10</v>
      </c>
    </row>
    <row r="79" spans="2:18" x14ac:dyDescent="0.3">
      <c r="B79" s="5" t="s">
        <v>75</v>
      </c>
      <c r="C79" s="5">
        <f>SUM(C75:C78)</f>
        <v>55</v>
      </c>
    </row>
    <row r="83" spans="1:3" x14ac:dyDescent="0.3">
      <c r="A83" s="66" t="s">
        <v>154</v>
      </c>
      <c r="B83" s="66"/>
      <c r="C83" s="66"/>
    </row>
    <row r="84" spans="1:3" ht="27" x14ac:dyDescent="0.3">
      <c r="A84" s="55" t="s">
        <v>138</v>
      </c>
      <c r="B84" s="55" t="s">
        <v>155</v>
      </c>
      <c r="C84" s="55" t="s">
        <v>156</v>
      </c>
    </row>
    <row r="85" spans="1:3" x14ac:dyDescent="0.3">
      <c r="A85" s="56">
        <v>2021</v>
      </c>
      <c r="B85" s="57">
        <v>5.1299999999999998E-2</v>
      </c>
      <c r="C85" s="57">
        <v>-1.49E-2</v>
      </c>
    </row>
    <row r="86" spans="1:3" x14ac:dyDescent="0.3">
      <c r="A86" s="58">
        <v>2020</v>
      </c>
      <c r="B86" s="59">
        <v>6.6199999999999995E-2</v>
      </c>
      <c r="C86" s="59">
        <v>2.8899999999999999E-2</v>
      </c>
    </row>
    <row r="87" spans="1:3" x14ac:dyDescent="0.3">
      <c r="A87" s="56">
        <v>2019</v>
      </c>
      <c r="B87" s="57">
        <v>3.73E-2</v>
      </c>
      <c r="C87" s="57">
        <v>-2.0999999999999999E-3</v>
      </c>
    </row>
    <row r="88" spans="1:3" x14ac:dyDescent="0.3">
      <c r="A88" s="58">
        <v>2018</v>
      </c>
      <c r="B88" s="59">
        <v>3.9399999999999998E-2</v>
      </c>
      <c r="C88" s="59">
        <v>6.1000000000000004E-3</v>
      </c>
    </row>
    <row r="89" spans="1:3" x14ac:dyDescent="0.3">
      <c r="A89" s="56">
        <v>2017</v>
      </c>
      <c r="B89" s="57">
        <v>3.3300000000000003E-2</v>
      </c>
      <c r="C89" s="57">
        <v>-1.6199999999999999E-2</v>
      </c>
    </row>
    <row r="90" spans="1:3" x14ac:dyDescent="0.3">
      <c r="A90" s="58">
        <v>2016</v>
      </c>
      <c r="B90" s="59">
        <v>4.9500000000000002E-2</v>
      </c>
      <c r="C90" s="59">
        <v>4.0000000000000002E-4</v>
      </c>
    </row>
    <row r="91" spans="1:3" x14ac:dyDescent="0.3">
      <c r="A91" s="56">
        <v>2015</v>
      </c>
      <c r="B91" s="57">
        <v>4.9099999999999998E-2</v>
      </c>
      <c r="C91" s="57">
        <v>-1.7600000000000001E-2</v>
      </c>
    </row>
    <row r="92" spans="1:3" x14ac:dyDescent="0.3">
      <c r="A92" s="58">
        <v>2014</v>
      </c>
      <c r="B92" s="59">
        <v>6.6699999999999995E-2</v>
      </c>
      <c r="C92" s="59">
        <v>-3.3500000000000002E-2</v>
      </c>
    </row>
    <row r="93" spans="1:3" x14ac:dyDescent="0.3">
      <c r="A93" s="56">
        <v>2013</v>
      </c>
      <c r="B93" s="57">
        <v>0.1002</v>
      </c>
      <c r="C93" s="57">
        <v>5.4000000000000003E-3</v>
      </c>
    </row>
    <row r="94" spans="1:3" x14ac:dyDescent="0.3">
      <c r="A94" s="58">
        <v>2012</v>
      </c>
      <c r="B94" s="59">
        <v>9.4799999999999995E-2</v>
      </c>
      <c r="C94" s="59">
        <v>5.7000000000000002E-3</v>
      </c>
    </row>
    <row r="95" spans="1:3" x14ac:dyDescent="0.3">
      <c r="A95" s="56">
        <v>2011</v>
      </c>
      <c r="B95" s="57">
        <v>8.9099999999999999E-2</v>
      </c>
      <c r="C95" s="57">
        <v>-3.0800000000000001E-2</v>
      </c>
    </row>
  </sheetData>
  <mergeCells count="1">
    <mergeCell ref="A83:C83"/>
  </mergeCells>
  <phoneticPr fontId="2" type="noConversion"/>
  <dataValidations disablePrompts="1" count="1">
    <dataValidation type="whole" allowBlank="1" showInputMessage="1" showErrorMessage="1" sqref="F57:F59" xr:uid="{2359FEE0-F304-482C-8594-03D47943BA0E}">
      <formula1>1</formula1>
      <formula2>10</formula2>
    </dataValidation>
  </dataValidations>
  <pageMargins left="0.7" right="0.7" top="0.75" bottom="0.75" header="0.3" footer="0.3"/>
  <ignoredErrors>
    <ignoredError sqref="O70:O7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90E6-9EEF-43DB-A950-2390E54F77E6}">
  <dimension ref="A1:R79"/>
  <sheetViews>
    <sheetView tabSelected="1" workbookViewId="0">
      <selection activeCell="D38" sqref="D38"/>
    </sheetView>
  </sheetViews>
  <sheetFormatPr defaultRowHeight="14.4" x14ac:dyDescent="0.3"/>
  <cols>
    <col min="1" max="1" width="15.33203125" customWidth="1"/>
    <col min="2" max="2" width="8.33203125" bestFit="1" customWidth="1"/>
    <col min="3" max="3" width="15" customWidth="1"/>
    <col min="4" max="4" width="13.6640625" bestFit="1" customWidth="1"/>
    <col min="5" max="5" width="12.77734375" customWidth="1"/>
    <col min="6" max="6" width="15.88671875" bestFit="1" customWidth="1"/>
    <col min="7" max="7" width="13.6640625" customWidth="1"/>
    <col min="8" max="8" width="12.6640625" customWidth="1"/>
    <col min="9" max="9" width="12.109375" bestFit="1" customWidth="1"/>
    <col min="10" max="10" width="14" customWidth="1"/>
    <col min="11" max="11" width="15.44140625" customWidth="1"/>
    <col min="12" max="12" width="15.109375" customWidth="1"/>
    <col min="13" max="14" width="13.5546875" customWidth="1"/>
    <col min="15" max="15" width="14.109375" customWidth="1"/>
    <col min="16" max="16" width="12" bestFit="1" customWidth="1"/>
    <col min="17" max="17" width="11.21875" bestFit="1" customWidth="1"/>
  </cols>
  <sheetData>
    <row r="1" spans="1:18" ht="57" customHeight="1" x14ac:dyDescent="0.3">
      <c r="A1" s="44" t="s">
        <v>4</v>
      </c>
      <c r="B1" s="45"/>
      <c r="C1" s="45" t="s">
        <v>138</v>
      </c>
      <c r="D1" s="46" t="s">
        <v>139</v>
      </c>
      <c r="E1" s="44" t="s">
        <v>3</v>
      </c>
      <c r="F1" s="46" t="s">
        <v>140</v>
      </c>
      <c r="G1" s="46" t="s">
        <v>141</v>
      </c>
      <c r="H1" s="46" t="s">
        <v>153</v>
      </c>
      <c r="I1" s="46" t="s">
        <v>168</v>
      </c>
      <c r="J1" s="46" t="s">
        <v>169</v>
      </c>
      <c r="K1" s="46" t="s">
        <v>170</v>
      </c>
      <c r="L1" s="46" t="s">
        <v>171</v>
      </c>
      <c r="M1" s="46" t="s">
        <v>172</v>
      </c>
      <c r="N1" s="46" t="s">
        <v>238</v>
      </c>
      <c r="O1" s="46" t="s">
        <v>242</v>
      </c>
      <c r="P1" s="46" t="s">
        <v>239</v>
      </c>
      <c r="Q1" s="46" t="s">
        <v>240</v>
      </c>
      <c r="R1" s="46" t="s">
        <v>241</v>
      </c>
    </row>
    <row r="2" spans="1:18" x14ac:dyDescent="0.3">
      <c r="A2" s="5" t="s">
        <v>5</v>
      </c>
      <c r="B2" s="14">
        <v>41974</v>
      </c>
      <c r="C2" s="13">
        <f>YEAR(B2)</f>
        <v>2014</v>
      </c>
      <c r="D2" s="6">
        <v>130000</v>
      </c>
      <c r="E2" s="9"/>
      <c r="F2" s="15">
        <f t="shared" ref="F2:F15" si="0">D2*$D$24</f>
        <v>31200</v>
      </c>
      <c r="G2" s="11" t="s">
        <v>152</v>
      </c>
      <c r="H2" s="11" t="s">
        <v>152</v>
      </c>
      <c r="I2" s="11" t="s">
        <v>152</v>
      </c>
      <c r="J2" s="11" t="s">
        <v>152</v>
      </c>
      <c r="K2" s="11" t="s">
        <v>152</v>
      </c>
      <c r="L2" s="11" t="s">
        <v>152</v>
      </c>
      <c r="M2" s="11" t="s">
        <v>152</v>
      </c>
      <c r="N2" s="5"/>
      <c r="O2" s="5"/>
      <c r="P2" s="5"/>
      <c r="Q2" s="5"/>
      <c r="R2" s="5"/>
    </row>
    <row r="3" spans="1:18" x14ac:dyDescent="0.3">
      <c r="A3" s="5" t="s">
        <v>5</v>
      </c>
      <c r="B3" s="14">
        <v>42339</v>
      </c>
      <c r="C3" s="13">
        <f t="shared" ref="C3:C15" si="1">YEAR(B3)</f>
        <v>2015</v>
      </c>
      <c r="D3" s="6">
        <v>400000</v>
      </c>
      <c r="E3" s="9">
        <f>(D3-D2)/D2</f>
        <v>2.0769230769230771</v>
      </c>
      <c r="F3" s="15">
        <f t="shared" si="0"/>
        <v>96000</v>
      </c>
      <c r="G3" s="11" t="s">
        <v>152</v>
      </c>
      <c r="H3" s="11" t="s">
        <v>152</v>
      </c>
      <c r="I3" s="11" t="s">
        <v>152</v>
      </c>
      <c r="J3" s="11" t="s">
        <v>152</v>
      </c>
      <c r="K3" s="11" t="s">
        <v>152</v>
      </c>
      <c r="L3" s="11" t="s">
        <v>152</v>
      </c>
      <c r="M3" s="11" t="s">
        <v>152</v>
      </c>
      <c r="N3" s="5"/>
      <c r="O3" s="5"/>
      <c r="P3" s="5"/>
      <c r="Q3" s="5"/>
      <c r="R3" s="5"/>
    </row>
    <row r="4" spans="1:18" x14ac:dyDescent="0.3">
      <c r="A4" s="5" t="s">
        <v>5</v>
      </c>
      <c r="B4" s="14">
        <v>42705</v>
      </c>
      <c r="C4" s="13">
        <f t="shared" si="1"/>
        <v>2016</v>
      </c>
      <c r="D4" s="6">
        <v>1000000</v>
      </c>
      <c r="E4" s="9">
        <f t="shared" ref="E4:E15" si="2">(D4-D3)/D3</f>
        <v>1.5</v>
      </c>
      <c r="F4" s="15">
        <f t="shared" si="0"/>
        <v>240000</v>
      </c>
      <c r="G4" s="11" t="s">
        <v>152</v>
      </c>
      <c r="H4" s="11" t="s">
        <v>152</v>
      </c>
      <c r="I4" s="11" t="s">
        <v>152</v>
      </c>
      <c r="J4" s="11" t="s">
        <v>152</v>
      </c>
      <c r="K4" s="11" t="s">
        <v>152</v>
      </c>
      <c r="L4" s="11" t="s">
        <v>152</v>
      </c>
      <c r="M4" s="11" t="s">
        <v>152</v>
      </c>
      <c r="N4" s="5"/>
      <c r="O4" s="5"/>
      <c r="P4" s="5"/>
      <c r="Q4" s="5"/>
      <c r="R4" s="5"/>
    </row>
    <row r="5" spans="1:18" x14ac:dyDescent="0.3">
      <c r="A5" s="5" t="s">
        <v>5</v>
      </c>
      <c r="B5" s="14">
        <v>43070</v>
      </c>
      <c r="C5" s="13">
        <f t="shared" si="1"/>
        <v>2017</v>
      </c>
      <c r="D5" s="6">
        <v>1750000</v>
      </c>
      <c r="E5" s="9">
        <f t="shared" si="2"/>
        <v>0.75</v>
      </c>
      <c r="F5" s="15">
        <f t="shared" si="0"/>
        <v>420000</v>
      </c>
      <c r="G5" s="11" t="s">
        <v>152</v>
      </c>
      <c r="H5" s="11" t="s">
        <v>152</v>
      </c>
      <c r="I5" s="11" t="s">
        <v>152</v>
      </c>
      <c r="J5" s="11" t="s">
        <v>152</v>
      </c>
      <c r="K5" s="11" t="s">
        <v>152</v>
      </c>
      <c r="L5" s="11" t="s">
        <v>152</v>
      </c>
      <c r="M5" s="11" t="s">
        <v>152</v>
      </c>
      <c r="N5" s="5"/>
      <c r="O5" s="5"/>
      <c r="P5" s="5"/>
      <c r="Q5" s="5"/>
      <c r="R5" s="5"/>
    </row>
    <row r="6" spans="1:18" x14ac:dyDescent="0.3">
      <c r="A6" s="5" t="s">
        <v>5</v>
      </c>
      <c r="B6" s="14">
        <v>43435</v>
      </c>
      <c r="C6" s="13">
        <f t="shared" si="1"/>
        <v>2018</v>
      </c>
      <c r="D6" s="6">
        <v>2000000</v>
      </c>
      <c r="E6" s="9">
        <f t="shared" si="2"/>
        <v>0.14285714285714285</v>
      </c>
      <c r="F6" s="15">
        <f t="shared" si="0"/>
        <v>480000</v>
      </c>
      <c r="G6" s="11" t="s">
        <v>152</v>
      </c>
      <c r="H6" s="11" t="s">
        <v>152</v>
      </c>
      <c r="I6" s="11" t="s">
        <v>152</v>
      </c>
      <c r="J6" s="11" t="s">
        <v>152</v>
      </c>
      <c r="K6" s="11" t="s">
        <v>152</v>
      </c>
      <c r="L6" s="11" t="s">
        <v>152</v>
      </c>
      <c r="M6" s="11" t="s">
        <v>152</v>
      </c>
      <c r="N6" s="5"/>
      <c r="O6" s="5"/>
      <c r="P6" s="5"/>
      <c r="Q6" s="5"/>
      <c r="R6" s="5"/>
    </row>
    <row r="7" spans="1:18" x14ac:dyDescent="0.3">
      <c r="A7" s="5" t="s">
        <v>5</v>
      </c>
      <c r="B7" s="14">
        <v>43800</v>
      </c>
      <c r="C7" s="13">
        <f t="shared" si="1"/>
        <v>2019</v>
      </c>
      <c r="D7" s="6">
        <v>2500000</v>
      </c>
      <c r="E7" s="9">
        <f t="shared" si="2"/>
        <v>0.25</v>
      </c>
      <c r="F7" s="15">
        <f t="shared" si="0"/>
        <v>600000</v>
      </c>
      <c r="G7" s="11" t="s">
        <v>152</v>
      </c>
      <c r="H7" s="11" t="s">
        <v>152</v>
      </c>
      <c r="I7" s="11" t="s">
        <v>152</v>
      </c>
      <c r="J7" s="11" t="s">
        <v>152</v>
      </c>
      <c r="K7" s="11" t="s">
        <v>152</v>
      </c>
      <c r="L7" s="11" t="s">
        <v>152</v>
      </c>
      <c r="M7" s="11" t="s">
        <v>152</v>
      </c>
      <c r="N7" s="5"/>
      <c r="O7" s="5"/>
      <c r="P7" s="5"/>
      <c r="Q7" s="5"/>
      <c r="R7" s="5"/>
    </row>
    <row r="8" spans="1:18" x14ac:dyDescent="0.3">
      <c r="A8" s="5" t="s">
        <v>5</v>
      </c>
      <c r="B8" s="14">
        <v>44166</v>
      </c>
      <c r="C8" s="13">
        <f t="shared" si="1"/>
        <v>2020</v>
      </c>
      <c r="D8" s="6">
        <v>4500000</v>
      </c>
      <c r="E8" s="9">
        <f t="shared" si="2"/>
        <v>0.8</v>
      </c>
      <c r="F8" s="15">
        <f t="shared" si="0"/>
        <v>1080000</v>
      </c>
      <c r="G8" s="11" t="s">
        <v>152</v>
      </c>
      <c r="H8" s="11" t="s">
        <v>152</v>
      </c>
      <c r="I8" s="11" t="s">
        <v>152</v>
      </c>
      <c r="J8" s="11" t="s">
        <v>152</v>
      </c>
      <c r="K8" s="11" t="s">
        <v>152</v>
      </c>
      <c r="L8" s="11" t="s">
        <v>152</v>
      </c>
      <c r="M8" s="11" t="s">
        <v>152</v>
      </c>
      <c r="N8" s="5"/>
      <c r="O8" s="5"/>
      <c r="P8" s="5"/>
      <c r="Q8" s="5"/>
      <c r="R8" s="5"/>
    </row>
    <row r="9" spans="1:18" x14ac:dyDescent="0.3">
      <c r="A9" s="16" t="s">
        <v>6</v>
      </c>
      <c r="B9" s="14">
        <v>44531</v>
      </c>
      <c r="C9" s="13">
        <f t="shared" si="1"/>
        <v>2021</v>
      </c>
      <c r="D9" s="17">
        <v>6000000</v>
      </c>
      <c r="E9" s="9">
        <f t="shared" si="2"/>
        <v>0.33333333333333331</v>
      </c>
      <c r="F9" s="15">
        <f t="shared" si="0"/>
        <v>1440000</v>
      </c>
      <c r="G9" s="11" t="s">
        <v>152</v>
      </c>
      <c r="H9" s="11" t="s">
        <v>152</v>
      </c>
      <c r="I9" s="11" t="s">
        <v>152</v>
      </c>
      <c r="J9" s="11" t="s">
        <v>152</v>
      </c>
      <c r="K9" s="11" t="s">
        <v>152</v>
      </c>
      <c r="L9" s="11" t="s">
        <v>152</v>
      </c>
      <c r="M9" s="11" t="s">
        <v>152</v>
      </c>
      <c r="N9" s="5"/>
      <c r="O9" s="5"/>
      <c r="P9" s="5"/>
      <c r="Q9" s="5"/>
      <c r="R9" s="5"/>
    </row>
    <row r="10" spans="1:18" x14ac:dyDescent="0.3">
      <c r="A10" s="5" t="s">
        <v>5</v>
      </c>
      <c r="B10" s="14">
        <v>44896</v>
      </c>
      <c r="C10" s="13">
        <f t="shared" si="1"/>
        <v>2022</v>
      </c>
      <c r="D10" s="6">
        <v>7000000</v>
      </c>
      <c r="E10" s="9">
        <f t="shared" si="2"/>
        <v>0.16666666666666666</v>
      </c>
      <c r="F10" s="15">
        <f t="shared" si="0"/>
        <v>1680000</v>
      </c>
      <c r="G10" s="15">
        <f>F10*M28*D23</f>
        <v>840000</v>
      </c>
      <c r="H10" s="5">
        <f>Dashboard!B3</f>
        <v>400</v>
      </c>
      <c r="I10" s="13">
        <f t="shared" ref="I10:I15" si="3">H10*$D$26</f>
        <v>88</v>
      </c>
      <c r="J10" s="13">
        <f>D28</f>
        <v>46.8</v>
      </c>
      <c r="K10" s="13">
        <f>I10+J10</f>
        <v>134.80000000000001</v>
      </c>
      <c r="L10" s="15">
        <f>G10*K10</f>
        <v>113232000.00000001</v>
      </c>
      <c r="M10" s="15">
        <f>L10*12</f>
        <v>1358784000.0000002</v>
      </c>
      <c r="N10" s="15">
        <f>D79</f>
        <v>79255833.333333328</v>
      </c>
      <c r="O10" s="6">
        <f>$D$41/5</f>
        <v>65000000</v>
      </c>
      <c r="P10" s="15">
        <f>N10+O10</f>
        <v>144255833.33333331</v>
      </c>
      <c r="Q10" s="13">
        <f>L10-P10</f>
        <v>-31023833.333333299</v>
      </c>
      <c r="R10" s="9">
        <f>(L10-P10)/L10</f>
        <v>-0.27398468042014001</v>
      </c>
    </row>
    <row r="11" spans="1:18" x14ac:dyDescent="0.3">
      <c r="A11" s="19" t="s">
        <v>7</v>
      </c>
      <c r="B11" s="14">
        <v>45261</v>
      </c>
      <c r="C11" s="13">
        <f t="shared" si="1"/>
        <v>2023</v>
      </c>
      <c r="D11" s="20">
        <v>8500000</v>
      </c>
      <c r="E11" s="9">
        <f t="shared" si="2"/>
        <v>0.21428571428571427</v>
      </c>
      <c r="F11" s="15">
        <f t="shared" si="0"/>
        <v>2040000</v>
      </c>
      <c r="G11" s="15">
        <f>G10+(G10*E11)</f>
        <v>1020000</v>
      </c>
      <c r="H11" s="13">
        <f>H10+(H10*$D$25)</f>
        <v>424</v>
      </c>
      <c r="I11" s="13">
        <f t="shared" si="3"/>
        <v>93.28</v>
      </c>
      <c r="J11" s="13">
        <f>J10+(J10*$D$25)</f>
        <v>49.607999999999997</v>
      </c>
      <c r="K11" s="13">
        <f t="shared" ref="K11:K15" si="4">I11+J11</f>
        <v>142.88800000000001</v>
      </c>
      <c r="L11" s="15">
        <f t="shared" ref="L11:L15" si="5">G11*K11</f>
        <v>145745760</v>
      </c>
      <c r="M11" s="15">
        <f t="shared" ref="M11:M15" si="6">L11*12</f>
        <v>1748949120</v>
      </c>
      <c r="N11" s="15">
        <f>N10+(N10*$D$25)</f>
        <v>84011183.333333328</v>
      </c>
      <c r="O11" s="6">
        <f>O10+(O10*$D$25)</f>
        <v>68900000</v>
      </c>
      <c r="P11" s="15">
        <f t="shared" ref="P11:P15" si="7">N11+O11</f>
        <v>152911183.33333331</v>
      </c>
      <c r="Q11" s="13">
        <f t="shared" ref="Q11:Q15" si="8">L11-P11</f>
        <v>-7165423.3333333135</v>
      </c>
      <c r="R11" s="9">
        <f t="shared" ref="R11:R15" si="9">(L11-P11)/L11</f>
        <v>-4.9163854463644865E-2</v>
      </c>
    </row>
    <row r="12" spans="1:18" x14ac:dyDescent="0.3">
      <c r="A12" s="19" t="s">
        <v>7</v>
      </c>
      <c r="B12" s="14">
        <v>45627</v>
      </c>
      <c r="C12" s="13">
        <f t="shared" si="1"/>
        <v>2024</v>
      </c>
      <c r="D12" s="20">
        <v>11000000</v>
      </c>
      <c r="E12" s="9">
        <f t="shared" si="2"/>
        <v>0.29411764705882354</v>
      </c>
      <c r="F12" s="15">
        <f t="shared" si="0"/>
        <v>2640000</v>
      </c>
      <c r="G12" s="15">
        <f t="shared" ref="G12:G15" si="10">G11+(G11*E12)</f>
        <v>1320000</v>
      </c>
      <c r="H12" s="13">
        <f>H11+(H11*$D$25)</f>
        <v>449.44</v>
      </c>
      <c r="I12" s="13">
        <f t="shared" si="3"/>
        <v>98.876800000000003</v>
      </c>
      <c r="J12" s="13">
        <f>J11+(J11*$D$25)</f>
        <v>52.584479999999999</v>
      </c>
      <c r="K12" s="13">
        <f t="shared" si="4"/>
        <v>151.46127999999999</v>
      </c>
      <c r="L12" s="15">
        <f t="shared" si="5"/>
        <v>199928889.59999999</v>
      </c>
      <c r="M12" s="15">
        <f t="shared" si="6"/>
        <v>2399146675.1999998</v>
      </c>
      <c r="N12" s="15">
        <f t="shared" ref="N12:N15" si="11">N11+(N11*$D$25)</f>
        <v>89051854.333333328</v>
      </c>
      <c r="O12" s="6">
        <f t="shared" ref="O12:O14" si="12">O11+(O11*$D$25)</f>
        <v>73034000</v>
      </c>
      <c r="P12" s="15">
        <f t="shared" si="7"/>
        <v>162085854.33333331</v>
      </c>
      <c r="Q12" s="13">
        <f t="shared" si="8"/>
        <v>37843035.266666681</v>
      </c>
      <c r="R12" s="9">
        <f t="shared" si="9"/>
        <v>0.18928247609627438</v>
      </c>
    </row>
    <row r="13" spans="1:18" x14ac:dyDescent="0.3">
      <c r="A13" s="19" t="s">
        <v>7</v>
      </c>
      <c r="B13" s="14">
        <v>45992</v>
      </c>
      <c r="C13" s="13">
        <f t="shared" si="1"/>
        <v>2025</v>
      </c>
      <c r="D13" s="20">
        <v>12500000</v>
      </c>
      <c r="E13" s="9">
        <f t="shared" si="2"/>
        <v>0.13636363636363635</v>
      </c>
      <c r="F13" s="15">
        <f t="shared" si="0"/>
        <v>3000000</v>
      </c>
      <c r="G13" s="15">
        <f t="shared" si="10"/>
        <v>1500000</v>
      </c>
      <c r="H13" s="13">
        <f>H12+(H12*$D$25)</f>
        <v>476.40640000000002</v>
      </c>
      <c r="I13" s="13">
        <f t="shared" si="3"/>
        <v>104.809408</v>
      </c>
      <c r="J13" s="13">
        <f>J12+(J12*$D$25)</f>
        <v>55.739548800000001</v>
      </c>
      <c r="K13" s="13">
        <f t="shared" si="4"/>
        <v>160.54895680000001</v>
      </c>
      <c r="L13" s="15">
        <f t="shared" si="5"/>
        <v>240823435.20000002</v>
      </c>
      <c r="M13" s="15">
        <f t="shared" si="6"/>
        <v>2889881222.4000001</v>
      </c>
      <c r="N13" s="15">
        <f t="shared" si="11"/>
        <v>94394965.593333334</v>
      </c>
      <c r="O13" s="6">
        <f t="shared" si="12"/>
        <v>77416040</v>
      </c>
      <c r="P13" s="15">
        <f t="shared" si="7"/>
        <v>171811005.59333333</v>
      </c>
      <c r="Q13" s="13">
        <f t="shared" si="8"/>
        <v>69012429.606666684</v>
      </c>
      <c r="R13" s="9">
        <f t="shared" si="9"/>
        <v>0.28656857896472143</v>
      </c>
    </row>
    <row r="14" spans="1:18" x14ac:dyDescent="0.3">
      <c r="A14" s="19" t="s">
        <v>7</v>
      </c>
      <c r="B14" s="14">
        <v>46357</v>
      </c>
      <c r="C14" s="13">
        <f t="shared" si="1"/>
        <v>2026</v>
      </c>
      <c r="D14" s="20">
        <v>16000000</v>
      </c>
      <c r="E14" s="9">
        <f t="shared" si="2"/>
        <v>0.28000000000000003</v>
      </c>
      <c r="F14" s="15">
        <f t="shared" si="0"/>
        <v>3840000</v>
      </c>
      <c r="G14" s="15">
        <f t="shared" si="10"/>
        <v>1920000</v>
      </c>
      <c r="H14" s="13">
        <f>H13+(H13*$D$25)</f>
        <v>504.99078400000002</v>
      </c>
      <c r="I14" s="13">
        <f t="shared" si="3"/>
        <v>111.09797248000001</v>
      </c>
      <c r="J14" s="13">
        <f>J13+(J13*$D$25)</f>
        <v>59.083921728</v>
      </c>
      <c r="K14" s="13">
        <f t="shared" si="4"/>
        <v>170.18189420800002</v>
      </c>
      <c r="L14" s="15">
        <f t="shared" si="5"/>
        <v>326749236.87936002</v>
      </c>
      <c r="M14" s="15">
        <f t="shared" si="6"/>
        <v>3920990842.5523205</v>
      </c>
      <c r="N14" s="15">
        <f t="shared" si="11"/>
        <v>100058663.52893333</v>
      </c>
      <c r="O14" s="6">
        <f t="shared" si="12"/>
        <v>82061002.400000006</v>
      </c>
      <c r="P14" s="15">
        <f t="shared" si="7"/>
        <v>182119665.92893332</v>
      </c>
      <c r="Q14" s="13">
        <f t="shared" si="8"/>
        <v>144629570.9504267</v>
      </c>
      <c r="R14" s="9">
        <f t="shared" si="9"/>
        <v>0.44263170231618865</v>
      </c>
    </row>
    <row r="15" spans="1:18" x14ac:dyDescent="0.3">
      <c r="A15" s="19" t="s">
        <v>7</v>
      </c>
      <c r="B15" s="14">
        <v>46722</v>
      </c>
      <c r="C15" s="13">
        <f t="shared" si="1"/>
        <v>2027</v>
      </c>
      <c r="D15" s="20">
        <v>18000000</v>
      </c>
      <c r="E15" s="9">
        <f t="shared" si="2"/>
        <v>0.125</v>
      </c>
      <c r="F15" s="15">
        <f t="shared" si="0"/>
        <v>4320000</v>
      </c>
      <c r="G15" s="15">
        <f t="shared" si="10"/>
        <v>2160000</v>
      </c>
      <c r="H15" s="13">
        <f>H14+(H14*$D$25)</f>
        <v>535.29023103999998</v>
      </c>
      <c r="I15" s="13">
        <f t="shared" si="3"/>
        <v>117.7638508288</v>
      </c>
      <c r="J15" s="13">
        <f>J14+(J14*$D$25)</f>
        <v>62.628957031680002</v>
      </c>
      <c r="K15" s="13">
        <f t="shared" si="4"/>
        <v>180.39280786047999</v>
      </c>
      <c r="L15" s="15">
        <f t="shared" si="5"/>
        <v>389648464.9786368</v>
      </c>
      <c r="M15" s="15">
        <f t="shared" si="6"/>
        <v>4675781579.7436419</v>
      </c>
      <c r="N15" s="15">
        <f t="shared" si="11"/>
        <v>106062183.34066933</v>
      </c>
      <c r="O15" s="6">
        <v>0</v>
      </c>
      <c r="P15" s="15">
        <f t="shared" si="7"/>
        <v>106062183.34066933</v>
      </c>
      <c r="Q15" s="13">
        <f t="shared" si="8"/>
        <v>283586281.63796747</v>
      </c>
      <c r="R15" s="9">
        <f t="shared" si="9"/>
        <v>0.72780033062241267</v>
      </c>
    </row>
    <row r="18" spans="2:17" x14ac:dyDescent="0.3">
      <c r="B18" s="44"/>
    </row>
    <row r="19" spans="2:17" ht="28.8" x14ac:dyDescent="0.3">
      <c r="B19" s="63"/>
      <c r="C19" s="44" t="s">
        <v>31</v>
      </c>
      <c r="D19" s="44" t="s">
        <v>32</v>
      </c>
      <c r="E19" s="44" t="s">
        <v>33</v>
      </c>
      <c r="G19" s="46" t="s">
        <v>105</v>
      </c>
      <c r="H19" s="46" t="s">
        <v>94</v>
      </c>
      <c r="I19" s="46" t="s">
        <v>95</v>
      </c>
      <c r="J19" s="46" t="s">
        <v>182</v>
      </c>
      <c r="K19" s="46" t="s">
        <v>183</v>
      </c>
      <c r="L19" s="46" t="s">
        <v>142</v>
      </c>
      <c r="M19" s="46" t="s">
        <v>150</v>
      </c>
      <c r="O19" s="46" t="s">
        <v>148</v>
      </c>
      <c r="P19" s="44" t="s">
        <v>67</v>
      </c>
      <c r="Q19" s="46" t="s">
        <v>149</v>
      </c>
    </row>
    <row r="20" spans="2:17" x14ac:dyDescent="0.3">
      <c r="B20" s="63"/>
      <c r="C20" s="10" t="s">
        <v>143</v>
      </c>
      <c r="D20" s="5">
        <v>20</v>
      </c>
      <c r="E20" s="5" t="s">
        <v>19</v>
      </c>
      <c r="G20" s="5">
        <v>1</v>
      </c>
      <c r="H20" s="5">
        <v>5</v>
      </c>
      <c r="I20" s="5">
        <f t="shared" ref="I20:I27" si="13">G20+H20</f>
        <v>6</v>
      </c>
      <c r="J20" s="10">
        <f t="shared" ref="J20:J27" si="14">(G20*$D$22)+((H20/$D$21)*60)+$D$20</f>
        <v>32</v>
      </c>
      <c r="K20" s="5">
        <v>2</v>
      </c>
      <c r="L20" s="49">
        <f>J20+K20</f>
        <v>34</v>
      </c>
      <c r="M20" s="67">
        <v>0.4</v>
      </c>
      <c r="O20" s="47">
        <v>3</v>
      </c>
      <c r="P20" s="48">
        <v>0.4</v>
      </c>
      <c r="Q20" s="49">
        <f t="shared" ref="Q20:Q27" si="15">(O20*$D$22)+$D$20</f>
        <v>33.5</v>
      </c>
    </row>
    <row r="21" spans="2:17" x14ac:dyDescent="0.3">
      <c r="B21" s="63"/>
      <c r="C21" s="10" t="s">
        <v>144</v>
      </c>
      <c r="D21" s="5">
        <v>40</v>
      </c>
      <c r="E21" s="5" t="s">
        <v>23</v>
      </c>
      <c r="G21" s="5">
        <v>1</v>
      </c>
      <c r="H21" s="5">
        <v>7</v>
      </c>
      <c r="I21" s="5">
        <f t="shared" si="13"/>
        <v>8</v>
      </c>
      <c r="J21" s="10">
        <f t="shared" si="14"/>
        <v>35</v>
      </c>
      <c r="K21" s="5">
        <v>2</v>
      </c>
      <c r="L21" s="50">
        <f t="shared" ref="L21:L27" si="16">J21+K21</f>
        <v>37</v>
      </c>
      <c r="M21" s="67">
        <v>0.35</v>
      </c>
      <c r="O21" s="47">
        <v>4</v>
      </c>
      <c r="P21" s="48">
        <v>0.35</v>
      </c>
      <c r="Q21" s="50">
        <f t="shared" si="15"/>
        <v>38</v>
      </c>
    </row>
    <row r="22" spans="2:17" x14ac:dyDescent="0.3">
      <c r="B22" s="63"/>
      <c r="C22" s="10" t="s">
        <v>145</v>
      </c>
      <c r="D22" s="5">
        <v>4.5</v>
      </c>
      <c r="E22" s="5" t="s">
        <v>146</v>
      </c>
      <c r="G22" s="5">
        <v>2</v>
      </c>
      <c r="H22" s="5">
        <v>5</v>
      </c>
      <c r="I22" s="5">
        <f t="shared" si="13"/>
        <v>7</v>
      </c>
      <c r="J22" s="10">
        <f t="shared" si="14"/>
        <v>36.5</v>
      </c>
      <c r="K22" s="5">
        <v>2</v>
      </c>
      <c r="L22" s="50">
        <f t="shared" si="16"/>
        <v>38.5</v>
      </c>
      <c r="M22" s="67"/>
      <c r="O22" s="47">
        <v>5</v>
      </c>
      <c r="P22" s="48">
        <v>0.2</v>
      </c>
      <c r="Q22" s="51">
        <f t="shared" si="15"/>
        <v>42.5</v>
      </c>
    </row>
    <row r="23" spans="2:17" x14ac:dyDescent="0.3">
      <c r="B23" s="63"/>
      <c r="C23" s="10" t="s">
        <v>151</v>
      </c>
      <c r="D23" s="7">
        <f>Dashboard!B8</f>
        <v>0.5</v>
      </c>
      <c r="E23" s="5"/>
      <c r="G23" s="5">
        <v>2</v>
      </c>
      <c r="H23" s="5">
        <v>7</v>
      </c>
      <c r="I23" s="5">
        <f t="shared" si="13"/>
        <v>9</v>
      </c>
      <c r="J23" s="10">
        <f t="shared" si="14"/>
        <v>39.5</v>
      </c>
      <c r="K23" s="5">
        <v>2</v>
      </c>
      <c r="L23" s="51">
        <f t="shared" si="16"/>
        <v>41.5</v>
      </c>
      <c r="M23" s="67">
        <v>0.2</v>
      </c>
      <c r="O23" s="47">
        <v>6</v>
      </c>
      <c r="P23" s="48">
        <v>0.05</v>
      </c>
      <c r="Q23" s="52">
        <f t="shared" si="15"/>
        <v>47</v>
      </c>
    </row>
    <row r="24" spans="2:17" x14ac:dyDescent="0.3">
      <c r="B24" s="63"/>
      <c r="C24" s="10" t="s">
        <v>162</v>
      </c>
      <c r="D24" s="7">
        <v>0.24</v>
      </c>
      <c r="E24" s="5"/>
      <c r="G24" s="5">
        <v>3</v>
      </c>
      <c r="H24" s="5">
        <v>5</v>
      </c>
      <c r="I24" s="5">
        <f t="shared" si="13"/>
        <v>8</v>
      </c>
      <c r="J24" s="10">
        <f t="shared" si="14"/>
        <v>41</v>
      </c>
      <c r="K24" s="5">
        <v>2</v>
      </c>
      <c r="L24" s="51">
        <f t="shared" si="16"/>
        <v>43</v>
      </c>
      <c r="M24" s="67"/>
      <c r="O24" s="47">
        <v>7</v>
      </c>
      <c r="P24" s="48">
        <v>0</v>
      </c>
      <c r="Q24" s="53">
        <f t="shared" si="15"/>
        <v>51.5</v>
      </c>
    </row>
    <row r="25" spans="2:17" x14ac:dyDescent="0.3">
      <c r="B25" s="63"/>
      <c r="C25" s="10" t="s">
        <v>163</v>
      </c>
      <c r="D25" s="7">
        <f>Dashboard!B7</f>
        <v>0.06</v>
      </c>
      <c r="E25" s="5"/>
      <c r="G25" s="5">
        <v>3</v>
      </c>
      <c r="H25" s="5">
        <v>7</v>
      </c>
      <c r="I25" s="5">
        <f t="shared" si="13"/>
        <v>10</v>
      </c>
      <c r="J25" s="10">
        <f t="shared" si="14"/>
        <v>44</v>
      </c>
      <c r="K25" s="5">
        <v>2</v>
      </c>
      <c r="L25" s="52">
        <f t="shared" si="16"/>
        <v>46</v>
      </c>
      <c r="M25" s="67">
        <v>0.05</v>
      </c>
      <c r="O25" s="47">
        <v>8</v>
      </c>
      <c r="P25" s="48">
        <v>0</v>
      </c>
      <c r="Q25" s="53">
        <f t="shared" si="15"/>
        <v>56</v>
      </c>
    </row>
    <row r="26" spans="2:17" x14ac:dyDescent="0.3">
      <c r="B26" s="63"/>
      <c r="C26" s="10" t="s">
        <v>164</v>
      </c>
      <c r="D26" s="7">
        <f>Dashboard!B4</f>
        <v>0.22</v>
      </c>
      <c r="E26" s="5" t="s">
        <v>165</v>
      </c>
      <c r="G26" s="5">
        <v>4</v>
      </c>
      <c r="H26" s="5">
        <v>5</v>
      </c>
      <c r="I26" s="5">
        <f t="shared" si="13"/>
        <v>9</v>
      </c>
      <c r="J26" s="10">
        <f t="shared" si="14"/>
        <v>45.5</v>
      </c>
      <c r="K26" s="5">
        <v>2</v>
      </c>
      <c r="L26" s="52">
        <f t="shared" si="16"/>
        <v>47.5</v>
      </c>
      <c r="M26" s="67"/>
      <c r="O26" s="47">
        <v>9</v>
      </c>
      <c r="P26" s="48">
        <v>0</v>
      </c>
      <c r="Q26" s="53">
        <f t="shared" si="15"/>
        <v>60.5</v>
      </c>
    </row>
    <row r="27" spans="2:17" x14ac:dyDescent="0.3">
      <c r="B27" s="63"/>
      <c r="C27" s="10" t="s">
        <v>166</v>
      </c>
      <c r="D27" s="13">
        <f>Dashboard!B5</f>
        <v>12</v>
      </c>
      <c r="E27" s="5" t="s">
        <v>167</v>
      </c>
      <c r="G27" s="5">
        <v>4</v>
      </c>
      <c r="H27" s="5">
        <v>7</v>
      </c>
      <c r="I27" s="5">
        <f t="shared" si="13"/>
        <v>11</v>
      </c>
      <c r="J27" s="10">
        <f t="shared" si="14"/>
        <v>48.5</v>
      </c>
      <c r="K27" s="5">
        <v>2</v>
      </c>
      <c r="L27" s="53">
        <f t="shared" si="16"/>
        <v>50.5</v>
      </c>
      <c r="M27" s="54">
        <v>0</v>
      </c>
      <c r="O27" s="47">
        <v>10</v>
      </c>
      <c r="P27" s="48">
        <v>0</v>
      </c>
      <c r="Q27" s="53">
        <f t="shared" si="15"/>
        <v>65</v>
      </c>
    </row>
    <row r="28" spans="2:17" x14ac:dyDescent="0.3">
      <c r="C28" s="10" t="s">
        <v>173</v>
      </c>
      <c r="D28" s="5">
        <f>(D27*O20*P20)+(D27*O21*P21)+(D27*O22*P22)+(D27*O23*P23)</f>
        <v>46.8</v>
      </c>
      <c r="E28" s="5" t="s">
        <v>25</v>
      </c>
      <c r="G28" s="5"/>
      <c r="H28" s="5"/>
      <c r="I28" s="5"/>
      <c r="J28" s="5"/>
      <c r="K28" s="5"/>
      <c r="L28" s="5" t="s">
        <v>48</v>
      </c>
      <c r="M28" s="54">
        <f>SUM(M20:M27)</f>
        <v>1</v>
      </c>
    </row>
    <row r="29" spans="2:17" ht="30" customHeight="1" x14ac:dyDescent="0.3">
      <c r="C29" s="10" t="s">
        <v>175</v>
      </c>
      <c r="D29" s="7">
        <v>0.7</v>
      </c>
      <c r="E29" s="5"/>
    </row>
    <row r="30" spans="2:17" ht="28.8" x14ac:dyDescent="0.3">
      <c r="C30" s="10" t="s">
        <v>176</v>
      </c>
      <c r="D30" s="25">
        <v>4</v>
      </c>
      <c r="E30" s="61" t="s">
        <v>177</v>
      </c>
    </row>
    <row r="31" spans="2:17" x14ac:dyDescent="0.3">
      <c r="C31" s="10" t="s">
        <v>178</v>
      </c>
      <c r="D31" s="5">
        <v>25</v>
      </c>
      <c r="E31" s="5"/>
    </row>
    <row r="32" spans="2:17" ht="28.8" x14ac:dyDescent="0.3">
      <c r="C32" s="10" t="s">
        <v>184</v>
      </c>
      <c r="D32" s="10">
        <v>5</v>
      </c>
      <c r="E32" s="42" t="s">
        <v>189</v>
      </c>
      <c r="O32" s="43"/>
    </row>
    <row r="33" spans="3:16" ht="90" customHeight="1" x14ac:dyDescent="0.3">
      <c r="C33" s="61" t="s">
        <v>192</v>
      </c>
      <c r="D33" s="10">
        <f>Dashboard!B6</f>
        <v>0.9</v>
      </c>
      <c r="E33" s="5" t="s">
        <v>194</v>
      </c>
      <c r="G33" s="46" t="s">
        <v>138</v>
      </c>
      <c r="H33" s="46" t="s">
        <v>141</v>
      </c>
      <c r="I33" s="46" t="s">
        <v>174</v>
      </c>
      <c r="J33" s="46" t="s">
        <v>179</v>
      </c>
      <c r="K33" s="46" t="s">
        <v>180</v>
      </c>
      <c r="L33" s="46" t="s">
        <v>181</v>
      </c>
      <c r="M33" s="46" t="s">
        <v>190</v>
      </c>
      <c r="N33" s="46" t="s">
        <v>210</v>
      </c>
      <c r="O33" s="46" t="s">
        <v>211</v>
      </c>
      <c r="P33" s="46" t="s">
        <v>191</v>
      </c>
    </row>
    <row r="34" spans="3:16" x14ac:dyDescent="0.3">
      <c r="C34" s="10" t="s">
        <v>193</v>
      </c>
      <c r="D34" s="10">
        <v>5</v>
      </c>
      <c r="E34" s="5" t="s">
        <v>21</v>
      </c>
      <c r="G34" s="5">
        <v>2022</v>
      </c>
      <c r="H34" s="15">
        <v>840000</v>
      </c>
      <c r="I34" s="15">
        <f>H34/30</f>
        <v>28000</v>
      </c>
      <c r="J34" s="15">
        <f t="shared" ref="J34:J39" si="17">(I34*$D$29)/$D$30</f>
        <v>4900</v>
      </c>
      <c r="K34" s="15">
        <f t="shared" ref="K34:K39" si="18">J34/$D$31</f>
        <v>196</v>
      </c>
      <c r="L34" s="62">
        <f>(K34/60)*2</f>
        <v>6.5333333333333332</v>
      </c>
      <c r="M34" s="62">
        <f t="shared" ref="M34:M39" si="19">L34/$D$32</f>
        <v>1.3066666666666666</v>
      </c>
      <c r="N34" s="62">
        <f>M34*$D$45</f>
        <v>3.92</v>
      </c>
      <c r="O34" s="64">
        <f>(N34*60)/90</f>
        <v>2.6133333333333333</v>
      </c>
      <c r="P34" s="5">
        <f>K34/O34</f>
        <v>75</v>
      </c>
    </row>
    <row r="35" spans="3:16" x14ac:dyDescent="0.3">
      <c r="C35" s="10" t="s">
        <v>195</v>
      </c>
      <c r="D35" s="10">
        <v>5</v>
      </c>
      <c r="E35" s="5">
        <f>D34/D33</f>
        <v>5.5555555555555554</v>
      </c>
      <c r="G35" s="5">
        <v>2023</v>
      </c>
      <c r="H35" s="15">
        <v>1020000</v>
      </c>
      <c r="I35" s="15">
        <f t="shared" ref="I35:I39" si="20">H35/30</f>
        <v>34000</v>
      </c>
      <c r="J35" s="15">
        <f t="shared" si="17"/>
        <v>5950</v>
      </c>
      <c r="K35" s="15">
        <f t="shared" si="18"/>
        <v>238</v>
      </c>
      <c r="L35" s="62">
        <f t="shared" ref="L35:L39" si="21">(K35/60)*2</f>
        <v>7.9333333333333336</v>
      </c>
      <c r="M35" s="62">
        <f t="shared" si="19"/>
        <v>1.5866666666666667</v>
      </c>
      <c r="N35" s="62">
        <f t="shared" ref="N35:N39" si="22">M35*$D$45</f>
        <v>4.76</v>
      </c>
      <c r="O35" s="64">
        <f t="shared" ref="O35:O39" si="23">(N35*60)/90</f>
        <v>3.1733333333333329</v>
      </c>
      <c r="P35" s="5">
        <f t="shared" ref="P35:P39" si="24">K35/O35</f>
        <v>75.000000000000014</v>
      </c>
    </row>
    <row r="36" spans="3:16" x14ac:dyDescent="0.3">
      <c r="C36" s="10" t="s">
        <v>197</v>
      </c>
      <c r="D36" s="5">
        <f>P40*D31</f>
        <v>1875</v>
      </c>
      <c r="E36" s="5"/>
      <c r="G36" s="5">
        <v>2024</v>
      </c>
      <c r="H36" s="15">
        <v>1320000</v>
      </c>
      <c r="I36" s="15">
        <f t="shared" si="20"/>
        <v>44000</v>
      </c>
      <c r="J36" s="15">
        <f t="shared" si="17"/>
        <v>7699.9999999999991</v>
      </c>
      <c r="K36" s="15">
        <f t="shared" si="18"/>
        <v>307.99999999999994</v>
      </c>
      <c r="L36" s="62">
        <f t="shared" si="21"/>
        <v>10.266666666666664</v>
      </c>
      <c r="M36" s="62">
        <f t="shared" si="19"/>
        <v>2.0533333333333328</v>
      </c>
      <c r="N36" s="62">
        <f t="shared" si="22"/>
        <v>6.1599999999999984</v>
      </c>
      <c r="O36" s="64">
        <f t="shared" si="23"/>
        <v>4.1066666666666656</v>
      </c>
      <c r="P36" s="5">
        <f t="shared" si="24"/>
        <v>75</v>
      </c>
    </row>
    <row r="37" spans="3:16" x14ac:dyDescent="0.3">
      <c r="C37" s="10" t="s">
        <v>198</v>
      </c>
      <c r="D37" s="5">
        <f>D31*25</f>
        <v>625</v>
      </c>
      <c r="E37" s="5"/>
      <c r="G37" s="5">
        <v>2025</v>
      </c>
      <c r="H37" s="15">
        <v>1500000</v>
      </c>
      <c r="I37" s="15">
        <f t="shared" si="20"/>
        <v>50000</v>
      </c>
      <c r="J37" s="15">
        <f t="shared" si="17"/>
        <v>8750</v>
      </c>
      <c r="K37" s="15">
        <f t="shared" si="18"/>
        <v>350</v>
      </c>
      <c r="L37" s="62">
        <f t="shared" si="21"/>
        <v>11.666666666666666</v>
      </c>
      <c r="M37" s="62">
        <f t="shared" si="19"/>
        <v>2.333333333333333</v>
      </c>
      <c r="N37" s="62">
        <f t="shared" si="22"/>
        <v>6.9999999999999991</v>
      </c>
      <c r="O37" s="64">
        <f t="shared" si="23"/>
        <v>4.6666666666666661</v>
      </c>
      <c r="P37" s="5">
        <f t="shared" si="24"/>
        <v>75.000000000000014</v>
      </c>
    </row>
    <row r="38" spans="3:16" x14ac:dyDescent="0.3">
      <c r="C38" s="10" t="s">
        <v>133</v>
      </c>
      <c r="D38" s="5">
        <f>D36+D37</f>
        <v>2500</v>
      </c>
      <c r="E38" s="5"/>
      <c r="G38" s="5">
        <v>2026</v>
      </c>
      <c r="H38" s="15">
        <v>1920000</v>
      </c>
      <c r="I38" s="15">
        <f t="shared" si="20"/>
        <v>64000</v>
      </c>
      <c r="J38" s="15">
        <f t="shared" si="17"/>
        <v>11200</v>
      </c>
      <c r="K38" s="15">
        <f t="shared" si="18"/>
        <v>448</v>
      </c>
      <c r="L38" s="62">
        <f t="shared" si="21"/>
        <v>14.933333333333334</v>
      </c>
      <c r="M38" s="62">
        <f t="shared" si="19"/>
        <v>2.9866666666666668</v>
      </c>
      <c r="N38" s="62">
        <f t="shared" si="22"/>
        <v>8.9600000000000009</v>
      </c>
      <c r="O38" s="64">
        <f t="shared" si="23"/>
        <v>5.9733333333333336</v>
      </c>
      <c r="P38" s="5">
        <f t="shared" si="24"/>
        <v>75</v>
      </c>
    </row>
    <row r="39" spans="3:16" x14ac:dyDescent="0.3">
      <c r="C39" s="10" t="s">
        <v>24</v>
      </c>
      <c r="D39" s="6">
        <v>130000</v>
      </c>
      <c r="E39" s="5" t="s">
        <v>25</v>
      </c>
      <c r="G39" s="5">
        <v>2027</v>
      </c>
      <c r="H39" s="15">
        <v>2160000</v>
      </c>
      <c r="I39" s="15">
        <f t="shared" si="20"/>
        <v>72000</v>
      </c>
      <c r="J39" s="15">
        <f t="shared" si="17"/>
        <v>12600</v>
      </c>
      <c r="K39" s="15">
        <f t="shared" si="18"/>
        <v>504</v>
      </c>
      <c r="L39" s="62">
        <f t="shared" si="21"/>
        <v>16.8</v>
      </c>
      <c r="M39" s="62">
        <f t="shared" si="19"/>
        <v>3.3600000000000003</v>
      </c>
      <c r="N39" s="62">
        <f t="shared" si="22"/>
        <v>10.080000000000002</v>
      </c>
      <c r="O39" s="64">
        <f t="shared" si="23"/>
        <v>6.7200000000000006</v>
      </c>
      <c r="P39" s="5">
        <f t="shared" si="24"/>
        <v>74.999999999999986</v>
      </c>
    </row>
    <row r="40" spans="3:16" x14ac:dyDescent="0.3">
      <c r="C40" s="10" t="s">
        <v>199</v>
      </c>
      <c r="D40" s="15">
        <f>D39*D36</f>
        <v>243750000</v>
      </c>
      <c r="E40" s="5" t="s">
        <v>25</v>
      </c>
      <c r="G40" s="5"/>
      <c r="H40" s="5"/>
      <c r="I40" s="5"/>
      <c r="J40" s="5"/>
      <c r="K40" s="5"/>
      <c r="L40" s="5"/>
      <c r="M40" s="5"/>
      <c r="N40" s="5"/>
      <c r="O40" s="10" t="s">
        <v>196</v>
      </c>
      <c r="P40" s="5">
        <f>AVERAGE(P34:P39)</f>
        <v>75</v>
      </c>
    </row>
    <row r="41" spans="3:16" x14ac:dyDescent="0.3">
      <c r="C41" s="10" t="s">
        <v>200</v>
      </c>
      <c r="D41" s="15">
        <f>D39*D38</f>
        <v>325000000</v>
      </c>
      <c r="E41" s="5" t="s">
        <v>25</v>
      </c>
      <c r="O41" s="43"/>
    </row>
    <row r="42" spans="3:16" x14ac:dyDescent="0.3">
      <c r="C42" s="5" t="s">
        <v>205</v>
      </c>
      <c r="D42" s="5">
        <v>6</v>
      </c>
      <c r="E42" s="10" t="s">
        <v>204</v>
      </c>
      <c r="O42" s="43"/>
    </row>
    <row r="43" spans="3:16" x14ac:dyDescent="0.3">
      <c r="C43" s="5" t="s">
        <v>206</v>
      </c>
      <c r="D43" s="5">
        <f>(D42/D21)*60</f>
        <v>9</v>
      </c>
      <c r="E43" s="10" t="s">
        <v>19</v>
      </c>
      <c r="G43" s="8" t="s">
        <v>14</v>
      </c>
      <c r="H43" s="8" t="s">
        <v>32</v>
      </c>
      <c r="I43" s="8" t="s">
        <v>33</v>
      </c>
      <c r="O43" s="43"/>
    </row>
    <row r="44" spans="3:16" x14ac:dyDescent="0.3">
      <c r="C44" s="5" t="s">
        <v>18</v>
      </c>
      <c r="D44" s="5">
        <v>30</v>
      </c>
      <c r="E44" s="5" t="s">
        <v>19</v>
      </c>
      <c r="G44" s="5" t="s">
        <v>15</v>
      </c>
      <c r="H44" s="5">
        <v>8</v>
      </c>
      <c r="I44" s="5" t="s">
        <v>13</v>
      </c>
      <c r="O44" s="33"/>
    </row>
    <row r="45" spans="3:16" x14ac:dyDescent="0.3">
      <c r="C45" s="10" t="s">
        <v>207</v>
      </c>
      <c r="D45" s="5">
        <v>3</v>
      </c>
      <c r="E45" s="5">
        <f>D44/D43</f>
        <v>3.3333333333333335</v>
      </c>
      <c r="G45" s="5" t="s">
        <v>16</v>
      </c>
      <c r="H45" s="5">
        <v>300</v>
      </c>
      <c r="I45" s="5" t="s">
        <v>17</v>
      </c>
    </row>
    <row r="46" spans="3:16" x14ac:dyDescent="0.3">
      <c r="C46" s="5" t="s">
        <v>129</v>
      </c>
      <c r="D46" s="5">
        <v>60</v>
      </c>
      <c r="E46" s="5" t="s">
        <v>19</v>
      </c>
      <c r="G46" s="5" t="s">
        <v>18</v>
      </c>
      <c r="H46" s="5">
        <v>30</v>
      </c>
      <c r="I46" s="5" t="s">
        <v>19</v>
      </c>
    </row>
    <row r="47" spans="3:16" x14ac:dyDescent="0.3">
      <c r="C47" s="5" t="s">
        <v>130</v>
      </c>
      <c r="D47" s="5">
        <f>D44+D46</f>
        <v>90</v>
      </c>
      <c r="E47" s="5" t="s">
        <v>19</v>
      </c>
      <c r="G47" s="5" t="s">
        <v>20</v>
      </c>
      <c r="H47" s="5">
        <v>5</v>
      </c>
      <c r="I47" s="5" t="s">
        <v>21</v>
      </c>
    </row>
    <row r="48" spans="3:16" x14ac:dyDescent="0.3">
      <c r="C48" s="5" t="s">
        <v>208</v>
      </c>
      <c r="D48" s="62">
        <f>D45*M34</f>
        <v>3.92</v>
      </c>
      <c r="E48" s="5"/>
      <c r="G48" s="5" t="s">
        <v>22</v>
      </c>
      <c r="H48" s="5">
        <v>50</v>
      </c>
      <c r="I48" s="5" t="s">
        <v>23</v>
      </c>
    </row>
    <row r="49" spans="3:9" x14ac:dyDescent="0.3">
      <c r="C49" s="5" t="s">
        <v>209</v>
      </c>
      <c r="D49" s="62">
        <f>(D48*60)/90</f>
        <v>2.6133333333333333</v>
      </c>
      <c r="E49" s="5"/>
      <c r="G49" s="5" t="s">
        <v>24</v>
      </c>
      <c r="H49" s="6">
        <v>130000</v>
      </c>
      <c r="I49" s="5" t="s">
        <v>25</v>
      </c>
    </row>
    <row r="50" spans="3:9" x14ac:dyDescent="0.3">
      <c r="C50" s="5" t="s">
        <v>90</v>
      </c>
      <c r="D50" s="6">
        <f>H52+(H53/H51)</f>
        <v>10833.333333333332</v>
      </c>
      <c r="E50" s="5" t="s">
        <v>25</v>
      </c>
      <c r="G50" s="5" t="s">
        <v>26</v>
      </c>
      <c r="H50" s="5">
        <v>40</v>
      </c>
      <c r="I50" s="5" t="s">
        <v>23</v>
      </c>
    </row>
    <row r="51" spans="3:9" x14ac:dyDescent="0.3">
      <c r="C51" s="5" t="s">
        <v>212</v>
      </c>
      <c r="D51" s="15">
        <f>D50*D38</f>
        <v>27083333.333333332</v>
      </c>
      <c r="E51" s="5" t="s">
        <v>25</v>
      </c>
      <c r="G51" s="5" t="s">
        <v>27</v>
      </c>
      <c r="H51" s="5">
        <v>3</v>
      </c>
      <c r="I51" s="5" t="s">
        <v>28</v>
      </c>
    </row>
    <row r="52" spans="3:9" x14ac:dyDescent="0.3">
      <c r="C52" s="5" t="s">
        <v>115</v>
      </c>
      <c r="D52" s="5">
        <v>1000</v>
      </c>
      <c r="E52" s="5" t="s">
        <v>114</v>
      </c>
      <c r="G52" s="5" t="s">
        <v>29</v>
      </c>
      <c r="H52" s="6">
        <v>6500</v>
      </c>
      <c r="I52" s="5" t="s">
        <v>25</v>
      </c>
    </row>
    <row r="53" spans="3:9" x14ac:dyDescent="0.3">
      <c r="C53" s="5" t="s">
        <v>110</v>
      </c>
      <c r="D53" s="5">
        <f>Dashboard!B2</f>
        <v>65</v>
      </c>
      <c r="E53" s="5" t="s">
        <v>25</v>
      </c>
      <c r="G53" s="5" t="s">
        <v>30</v>
      </c>
      <c r="H53" s="6">
        <v>13000</v>
      </c>
      <c r="I53" s="5" t="s">
        <v>25</v>
      </c>
    </row>
    <row r="54" spans="3:9" x14ac:dyDescent="0.3">
      <c r="C54" s="5" t="s">
        <v>116</v>
      </c>
      <c r="D54" s="6">
        <f>D52*D31*D53</f>
        <v>1625000</v>
      </c>
      <c r="E54" s="5" t="s">
        <v>25</v>
      </c>
    </row>
    <row r="55" spans="3:9" x14ac:dyDescent="0.3">
      <c r="C55" s="5" t="s">
        <v>219</v>
      </c>
      <c r="D55" s="6">
        <v>4000</v>
      </c>
      <c r="E55" s="5" t="s">
        <v>114</v>
      </c>
    </row>
    <row r="56" spans="3:9" x14ac:dyDescent="0.3">
      <c r="C56" s="5" t="s">
        <v>220</v>
      </c>
      <c r="D56" s="6">
        <f>D55*D53</f>
        <v>260000</v>
      </c>
      <c r="E56" s="5"/>
    </row>
    <row r="57" spans="3:9" x14ac:dyDescent="0.3">
      <c r="C57" s="5" t="s">
        <v>213</v>
      </c>
      <c r="D57" s="5">
        <v>2</v>
      </c>
      <c r="E57" s="5"/>
    </row>
    <row r="58" spans="3:9" x14ac:dyDescent="0.3">
      <c r="C58" s="5" t="s">
        <v>214</v>
      </c>
      <c r="D58" s="6">
        <f>Dashboard!B9</f>
        <v>30000</v>
      </c>
      <c r="E58" s="5" t="s">
        <v>25</v>
      </c>
    </row>
    <row r="59" spans="3:9" x14ac:dyDescent="0.3">
      <c r="C59" s="5" t="s">
        <v>215</v>
      </c>
      <c r="D59" s="15">
        <f>D31*D57*D58</f>
        <v>1500000</v>
      </c>
      <c r="E59" s="5"/>
    </row>
    <row r="60" spans="3:9" x14ac:dyDescent="0.3">
      <c r="C60" s="5" t="s">
        <v>216</v>
      </c>
      <c r="D60" s="15">
        <v>10</v>
      </c>
      <c r="E60" s="5"/>
    </row>
    <row r="61" spans="3:9" x14ac:dyDescent="0.3">
      <c r="C61" s="5" t="s">
        <v>217</v>
      </c>
      <c r="D61" s="15">
        <f>Dashboard!B10</f>
        <v>75000</v>
      </c>
      <c r="E61" s="5"/>
    </row>
    <row r="62" spans="3:9" x14ac:dyDescent="0.3">
      <c r="C62" s="5" t="s">
        <v>218</v>
      </c>
      <c r="D62" s="6">
        <f>D60*D61</f>
        <v>750000</v>
      </c>
      <c r="E62" s="5"/>
    </row>
    <row r="63" spans="3:9" x14ac:dyDescent="0.3">
      <c r="C63" s="5" t="s">
        <v>221</v>
      </c>
      <c r="D63" s="5">
        <v>425</v>
      </c>
      <c r="E63" s="5"/>
    </row>
    <row r="64" spans="3:9" x14ac:dyDescent="0.3">
      <c r="C64" s="5" t="s">
        <v>222</v>
      </c>
      <c r="D64" s="15">
        <v>4000</v>
      </c>
      <c r="E64" s="5" t="s">
        <v>25</v>
      </c>
    </row>
    <row r="65" spans="3:5" x14ac:dyDescent="0.3">
      <c r="C65" s="5" t="s">
        <v>223</v>
      </c>
      <c r="D65" s="15">
        <v>55</v>
      </c>
      <c r="E65" s="5" t="s">
        <v>25</v>
      </c>
    </row>
    <row r="66" spans="3:5" x14ac:dyDescent="0.3">
      <c r="C66" s="5" t="s">
        <v>224</v>
      </c>
      <c r="D66" s="5">
        <f>(O20*P20)+(O21*P21)+(O22*P22)+(O23*P23)</f>
        <v>3.9000000000000004</v>
      </c>
      <c r="E66" s="5" t="s">
        <v>13</v>
      </c>
    </row>
    <row r="67" spans="3:5" x14ac:dyDescent="0.3">
      <c r="C67" s="5" t="s">
        <v>225</v>
      </c>
      <c r="D67" s="62">
        <f>D65/D66</f>
        <v>14.1025641025641</v>
      </c>
      <c r="E67" s="5" t="s">
        <v>25</v>
      </c>
    </row>
    <row r="68" spans="3:5" x14ac:dyDescent="0.3">
      <c r="C68" s="5" t="s">
        <v>226</v>
      </c>
      <c r="D68" s="5">
        <f>(G20*M20)+(((AVEDEV(G21,G22))*M21)+(((AVERAGE(G23,G24))*M23)+(((AVERAGE(G25,G26))*M25))))</f>
        <v>1.25</v>
      </c>
      <c r="E68" s="5" t="s">
        <v>13</v>
      </c>
    </row>
    <row r="69" spans="3:5" x14ac:dyDescent="0.3">
      <c r="C69" s="5" t="s">
        <v>227</v>
      </c>
      <c r="D69" s="62">
        <f>D67*D68</f>
        <v>17.628205128205124</v>
      </c>
      <c r="E69" s="5" t="s">
        <v>25</v>
      </c>
    </row>
    <row r="70" spans="3:5" x14ac:dyDescent="0.3">
      <c r="C70" s="5" t="s">
        <v>229</v>
      </c>
      <c r="D70" s="5">
        <f>Dashboard!B11</f>
        <v>55</v>
      </c>
      <c r="E70" s="5" t="s">
        <v>25</v>
      </c>
    </row>
    <row r="71" spans="3:5" x14ac:dyDescent="0.3">
      <c r="C71" s="5" t="s">
        <v>228</v>
      </c>
      <c r="D71" s="5">
        <v>2</v>
      </c>
      <c r="E71" s="5"/>
    </row>
    <row r="72" spans="3:5" x14ac:dyDescent="0.3">
      <c r="C72" s="5" t="s">
        <v>230</v>
      </c>
      <c r="D72" s="5">
        <f>D68/2</f>
        <v>0.625</v>
      </c>
      <c r="E72" s="5" t="s">
        <v>13</v>
      </c>
    </row>
    <row r="73" spans="3:5" x14ac:dyDescent="0.3">
      <c r="C73" s="5" t="s">
        <v>231</v>
      </c>
      <c r="D73" s="5">
        <f>$D$22*$D$72</f>
        <v>2.8125</v>
      </c>
      <c r="E73" s="5" t="s">
        <v>19</v>
      </c>
    </row>
    <row r="74" spans="3:5" x14ac:dyDescent="0.3">
      <c r="C74" s="5" t="s">
        <v>232</v>
      </c>
      <c r="D74" s="13">
        <f>60/(D73*2)</f>
        <v>10.666666666666666</v>
      </c>
      <c r="E74" s="5"/>
    </row>
    <row r="75" spans="3:5" x14ac:dyDescent="0.3">
      <c r="C75" s="5" t="s">
        <v>233</v>
      </c>
      <c r="D75" s="13">
        <f>K34/D74</f>
        <v>18.375</v>
      </c>
      <c r="E75" s="5"/>
    </row>
    <row r="76" spans="3:5" x14ac:dyDescent="0.3">
      <c r="C76" s="5" t="s">
        <v>234</v>
      </c>
      <c r="D76" s="13">
        <f>D31*D75</f>
        <v>459.375</v>
      </c>
      <c r="E76" s="5"/>
    </row>
    <row r="77" spans="3:5" x14ac:dyDescent="0.3">
      <c r="C77" s="5" t="s">
        <v>235</v>
      </c>
      <c r="D77" s="15">
        <f>D64*D76</f>
        <v>1837500</v>
      </c>
      <c r="E77" s="5"/>
    </row>
    <row r="78" spans="3:5" x14ac:dyDescent="0.3">
      <c r="C78" s="5" t="s">
        <v>236</v>
      </c>
      <c r="D78" s="15">
        <f>D70*H34</f>
        <v>46200000</v>
      </c>
      <c r="E78" s="5"/>
    </row>
    <row r="79" spans="3:5" x14ac:dyDescent="0.3">
      <c r="C79" s="5" t="s">
        <v>237</v>
      </c>
      <c r="D79" s="15">
        <f>D51+D54+D56+D59+D62+D77+D78</f>
        <v>79255833.333333328</v>
      </c>
      <c r="E79" s="5"/>
    </row>
  </sheetData>
  <autoFilter ref="G19:K28" xr:uid="{F46890E6-9EEF-43DB-A950-2390E54F77E6}"/>
  <mergeCells count="4">
    <mergeCell ref="M20"/>
    <mergeCell ref="M21:M22"/>
    <mergeCell ref="M23:M24"/>
    <mergeCell ref="M25:M26"/>
  </mergeCells>
  <conditionalFormatting sqref="M34:M39">
    <cfRule type="cellIs" dxfId="0" priority="1" operator="lessThan">
      <formula>5.5</formula>
    </cfRule>
  </conditionalFormatting>
  <pageMargins left="0.7" right="0.7" top="0.75" bottom="0.75" header="0.3" footer="0.3"/>
  <ignoredErrors>
    <ignoredError sqref="I11:I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EA87-C526-4CF1-B40F-422BC88B59B3}">
  <dimension ref="A1:C11"/>
  <sheetViews>
    <sheetView workbookViewId="0">
      <selection activeCell="C15" sqref="C15"/>
    </sheetView>
  </sheetViews>
  <sheetFormatPr defaultRowHeight="14.4" x14ac:dyDescent="0.3"/>
  <cols>
    <col min="1" max="1" width="41.88671875" bestFit="1" customWidth="1"/>
    <col min="2" max="2" width="10.109375" bestFit="1" customWidth="1"/>
  </cols>
  <sheetData>
    <row r="1" spans="1:3" x14ac:dyDescent="0.3">
      <c r="A1" s="5" t="s">
        <v>31</v>
      </c>
      <c r="B1" s="5" t="s">
        <v>32</v>
      </c>
      <c r="C1" s="5" t="s">
        <v>33</v>
      </c>
    </row>
    <row r="2" spans="1:3" x14ac:dyDescent="0.3">
      <c r="A2" s="5" t="s">
        <v>243</v>
      </c>
      <c r="B2" s="5">
        <v>65</v>
      </c>
      <c r="C2" s="5" t="s">
        <v>25</v>
      </c>
    </row>
    <row r="3" spans="1:3" x14ac:dyDescent="0.3">
      <c r="A3" s="5" t="s">
        <v>245</v>
      </c>
      <c r="B3" s="5">
        <v>400</v>
      </c>
      <c r="C3" s="5" t="s">
        <v>25</v>
      </c>
    </row>
    <row r="4" spans="1:3" x14ac:dyDescent="0.3">
      <c r="A4" s="10" t="s">
        <v>164</v>
      </c>
      <c r="B4" s="7">
        <v>0.22</v>
      </c>
      <c r="C4" s="5"/>
    </row>
    <row r="5" spans="1:3" x14ac:dyDescent="0.3">
      <c r="A5" s="10" t="s">
        <v>166</v>
      </c>
      <c r="B5" s="5">
        <v>12</v>
      </c>
      <c r="C5" s="5" t="s">
        <v>167</v>
      </c>
    </row>
    <row r="6" spans="1:3" x14ac:dyDescent="0.3">
      <c r="A6" s="61" t="s">
        <v>244</v>
      </c>
      <c r="B6" s="5">
        <v>0.9</v>
      </c>
      <c r="C6" s="5" t="s">
        <v>21</v>
      </c>
    </row>
    <row r="7" spans="1:3" x14ac:dyDescent="0.3">
      <c r="A7" s="10" t="s">
        <v>157</v>
      </c>
      <c r="B7" s="7">
        <v>0.06</v>
      </c>
      <c r="C7" s="5"/>
    </row>
    <row r="8" spans="1:3" x14ac:dyDescent="0.3">
      <c r="A8" s="10" t="s">
        <v>246</v>
      </c>
      <c r="B8" s="7">
        <v>0.5</v>
      </c>
      <c r="C8" s="5"/>
    </row>
    <row r="9" spans="1:3" x14ac:dyDescent="0.3">
      <c r="A9" s="10" t="s">
        <v>247</v>
      </c>
      <c r="B9" s="65">
        <v>30000</v>
      </c>
      <c r="C9" s="5" t="s">
        <v>25</v>
      </c>
    </row>
    <row r="10" spans="1:3" x14ac:dyDescent="0.3">
      <c r="A10" s="10" t="s">
        <v>248</v>
      </c>
      <c r="B10" s="6">
        <v>75000</v>
      </c>
      <c r="C10" s="5" t="s">
        <v>25</v>
      </c>
    </row>
    <row r="11" spans="1:3" x14ac:dyDescent="0.3">
      <c r="A11" s="10" t="s">
        <v>249</v>
      </c>
      <c r="B11" s="5">
        <v>55</v>
      </c>
      <c r="C11" s="5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3279-AC82-4A63-913B-0E1BFA7EAD70}">
  <dimension ref="A1"/>
  <sheetViews>
    <sheetView topLeftCell="D1" workbookViewId="0">
      <selection activeCell="Q19" sqref="Q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B2C2-D674-4844-AAAA-7D28F968B180}">
  <dimension ref="A1:B7"/>
  <sheetViews>
    <sheetView workbookViewId="0">
      <selection activeCell="B15" sqref="B15"/>
    </sheetView>
  </sheetViews>
  <sheetFormatPr defaultRowHeight="14.4" x14ac:dyDescent="0.3"/>
  <cols>
    <col min="1" max="1" width="26.6640625" bestFit="1" customWidth="1"/>
  </cols>
  <sheetData>
    <row r="1" spans="1:2" x14ac:dyDescent="0.3">
      <c r="A1" t="s">
        <v>85</v>
      </c>
      <c r="B1" t="s">
        <v>86</v>
      </c>
    </row>
    <row r="2" spans="1:2" x14ac:dyDescent="0.3">
      <c r="A2" t="s">
        <v>83</v>
      </c>
      <c r="B2" t="s">
        <v>84</v>
      </c>
    </row>
    <row r="3" spans="1:2" x14ac:dyDescent="0.3">
      <c r="A3" t="s">
        <v>88</v>
      </c>
      <c r="B3" t="s">
        <v>87</v>
      </c>
    </row>
    <row r="4" spans="1:2" x14ac:dyDescent="0.3">
      <c r="A4" t="s">
        <v>109</v>
      </c>
      <c r="B4" t="s">
        <v>108</v>
      </c>
    </row>
    <row r="5" spans="1:2" x14ac:dyDescent="0.3">
      <c r="A5" t="s">
        <v>125</v>
      </c>
      <c r="B5" t="s">
        <v>126</v>
      </c>
    </row>
    <row r="6" spans="1:2" x14ac:dyDescent="0.3">
      <c r="A6" t="s">
        <v>158</v>
      </c>
      <c r="B6" t="s">
        <v>159</v>
      </c>
    </row>
    <row r="7" spans="1:2" x14ac:dyDescent="0.3">
      <c r="A7" t="s">
        <v>160</v>
      </c>
      <c r="B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final calculations</vt:lpstr>
      <vt:lpstr>Dashboard</vt:lpstr>
      <vt:lpstr>graphs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PaperTrue Operations</dc:creator>
  <cp:lastModifiedBy>Asus</cp:lastModifiedBy>
  <dcterms:created xsi:type="dcterms:W3CDTF">2022-11-09T09:15:22Z</dcterms:created>
  <dcterms:modified xsi:type="dcterms:W3CDTF">2022-11-23T19:18:01Z</dcterms:modified>
</cp:coreProperties>
</file>