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\Downloads\"/>
    </mc:Choice>
  </mc:AlternateContent>
  <xr:revisionPtr revIDLastSave="0" documentId="13_ncr:1_{ED3D4ECA-E3F6-4019-8401-08DC5D53B9DC}" xr6:coauthVersionLast="47" xr6:coauthVersionMax="47" xr10:uidLastSave="{00000000-0000-0000-0000-000000000000}"/>
  <bookViews>
    <workbookView xWindow="-108" yWindow="-108" windowWidth="23256" windowHeight="12456" firstSheet="18" activeTab="23" xr2:uid="{DDA09A60-1CC0-4126-988B-0786BE389113}"/>
  </bookViews>
  <sheets>
    <sheet name="Financials&gt;" sheetId="3" r:id="rId1"/>
    <sheet name="HistoricalFS" sheetId="4" r:id="rId2"/>
    <sheet name="Ratio Analysis" sheetId="6" r:id="rId3"/>
    <sheet name="Forecasting" sheetId="24" r:id="rId4"/>
    <sheet name="Common Size Statement" sheetId="17" r:id="rId5"/>
    <sheet name="DCF&gt;" sheetId="7" r:id="rId6"/>
    <sheet name="WAAC" sheetId="8" r:id="rId7"/>
    <sheet name="Data&gt;" sheetId="20" r:id="rId8"/>
    <sheet name="Cipla Beta Regression" sheetId="10" r:id="rId9"/>
    <sheet name="Rm" sheetId="16" r:id="rId10"/>
    <sheet name="Instrisic Growth" sheetId="19" r:id="rId11"/>
    <sheet name="DCF" sheetId="21" r:id="rId12"/>
    <sheet name="Relative Valuation" sheetId="22" r:id="rId13"/>
    <sheet name="Comps Beta&gt;" sheetId="25" r:id="rId14"/>
    <sheet name="Sun Pharma Beta Regression " sheetId="11" r:id="rId15"/>
    <sheet name="Dr. Reddy Labs Beta Regression " sheetId="13" r:id="rId16"/>
    <sheet name="Divi's Lab Beta Regression " sheetId="12" r:id="rId17"/>
    <sheet name="Torrent Pharma Beta Regression " sheetId="14" r:id="rId18"/>
    <sheet name=" Data Room&gt;" sheetId="1" r:id="rId19"/>
    <sheet name="Data Sheet" sheetId="2" r:id="rId20"/>
    <sheet name="Beta - Comps" sheetId="9" r:id="rId21"/>
    <sheet name="RV Data" sheetId="23" r:id="rId22"/>
    <sheet name="Raw FS" sheetId="18" r:id="rId23"/>
    <sheet name="Raw CF Data" sheetId="5" r:id="rId24"/>
  </sheets>
  <definedNames>
    <definedName name="_xlnm._FilterDatabase" localSheetId="8" hidden="1">'Cipla Beta Regression'!$B$7:$D$114</definedName>
    <definedName name="_xlnm._FilterDatabase" localSheetId="16" hidden="1">'Divi''s Lab Beta Regression '!$B$7:$D$114</definedName>
    <definedName name="_xlnm._FilterDatabase" localSheetId="15" hidden="1">'Dr. Reddy Labs Beta Regression '!$B$7:$D$114</definedName>
    <definedName name="_xlnm._FilterDatabase" localSheetId="14" hidden="1">'Sun Pharma Beta Regression '!$B$7:$D$114</definedName>
    <definedName name="_xlnm._FilterDatabase" localSheetId="17" hidden="1">'Torrent Pharma Beta Regression '!$B$7:$D$114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" i="4" l="1"/>
  <c r="J33" i="4"/>
  <c r="K33" i="4"/>
  <c r="I33" i="19"/>
  <c r="J33" i="19"/>
  <c r="K33" i="8"/>
  <c r="J6" i="17"/>
  <c r="J6" i="24"/>
  <c r="J6" i="4"/>
  <c r="C39" i="6"/>
  <c r="D108" i="4"/>
  <c r="E108" i="4"/>
  <c r="F108" i="4"/>
  <c r="G108" i="4"/>
  <c r="H108" i="4"/>
  <c r="I108" i="4"/>
  <c r="K108" i="4"/>
  <c r="L108" i="4"/>
  <c r="M108" i="4"/>
  <c r="C108" i="4"/>
  <c r="C103" i="4"/>
  <c r="D103" i="4"/>
  <c r="E103" i="4"/>
  <c r="F103" i="4"/>
  <c r="G103" i="4"/>
  <c r="H103" i="4"/>
  <c r="I103" i="4"/>
  <c r="J103" i="4"/>
  <c r="K103" i="4"/>
  <c r="L103" i="4"/>
  <c r="M103" i="4"/>
  <c r="C104" i="4"/>
  <c r="D104" i="4"/>
  <c r="E104" i="4"/>
  <c r="F104" i="4"/>
  <c r="G104" i="4"/>
  <c r="H104" i="4"/>
  <c r="I104" i="4"/>
  <c r="J104" i="4"/>
  <c r="K104" i="4"/>
  <c r="L104" i="4"/>
  <c r="M104" i="4"/>
  <c r="C105" i="4"/>
  <c r="D105" i="4"/>
  <c r="E105" i="4"/>
  <c r="F105" i="4"/>
  <c r="G105" i="4"/>
  <c r="H105" i="4"/>
  <c r="I105" i="4"/>
  <c r="J105" i="4"/>
  <c r="K105" i="4"/>
  <c r="L105" i="4"/>
  <c r="M105" i="4"/>
  <c r="D98" i="4"/>
  <c r="E98" i="4"/>
  <c r="F98" i="4"/>
  <c r="G98" i="4"/>
  <c r="H98" i="4"/>
  <c r="I98" i="4"/>
  <c r="J98" i="4"/>
  <c r="K98" i="4"/>
  <c r="L98" i="4"/>
  <c r="M98" i="4"/>
  <c r="D99" i="4"/>
  <c r="E99" i="4"/>
  <c r="F99" i="4"/>
  <c r="G99" i="4"/>
  <c r="H99" i="4"/>
  <c r="I99" i="4"/>
  <c r="J99" i="4"/>
  <c r="K99" i="4"/>
  <c r="L99" i="4"/>
  <c r="M99" i="4"/>
  <c r="D100" i="4"/>
  <c r="E100" i="4"/>
  <c r="F100" i="4"/>
  <c r="G100" i="4"/>
  <c r="H100" i="4"/>
  <c r="I100" i="4"/>
  <c r="J100" i="4"/>
  <c r="K100" i="4"/>
  <c r="L100" i="4"/>
  <c r="M100" i="4"/>
  <c r="D101" i="4"/>
  <c r="E101" i="4"/>
  <c r="F101" i="4"/>
  <c r="G101" i="4"/>
  <c r="H101" i="4"/>
  <c r="I101" i="4"/>
  <c r="J101" i="4"/>
  <c r="K101" i="4"/>
  <c r="L101" i="4"/>
  <c r="M101" i="4"/>
  <c r="D102" i="4"/>
  <c r="E102" i="4"/>
  <c r="F102" i="4"/>
  <c r="G102" i="4"/>
  <c r="H102" i="4"/>
  <c r="I102" i="4"/>
  <c r="J102" i="4"/>
  <c r="K102" i="4"/>
  <c r="L102" i="4"/>
  <c r="M102" i="4"/>
  <c r="C99" i="4"/>
  <c r="C100" i="4"/>
  <c r="C101" i="4"/>
  <c r="C102" i="4"/>
  <c r="C98" i="4"/>
  <c r="D83" i="4"/>
  <c r="E83" i="4"/>
  <c r="F83" i="4"/>
  <c r="G83" i="4"/>
  <c r="H83" i="4"/>
  <c r="I83" i="4"/>
  <c r="I95" i="4" s="1"/>
  <c r="J83" i="4"/>
  <c r="K83" i="4"/>
  <c r="L83" i="4"/>
  <c r="M83" i="4"/>
  <c r="D84" i="4"/>
  <c r="E84" i="4"/>
  <c r="F84" i="4"/>
  <c r="G84" i="4"/>
  <c r="H84" i="4"/>
  <c r="I84" i="4"/>
  <c r="J84" i="4"/>
  <c r="K84" i="4"/>
  <c r="L84" i="4"/>
  <c r="M84" i="4"/>
  <c r="D85" i="4"/>
  <c r="E85" i="4"/>
  <c r="F85" i="4"/>
  <c r="G85" i="4"/>
  <c r="H85" i="4"/>
  <c r="I85" i="4"/>
  <c r="J85" i="4"/>
  <c r="K85" i="4"/>
  <c r="L85" i="4"/>
  <c r="M85" i="4"/>
  <c r="D86" i="4"/>
  <c r="E86" i="4"/>
  <c r="F86" i="4"/>
  <c r="G86" i="4"/>
  <c r="H86" i="4"/>
  <c r="I86" i="4"/>
  <c r="J86" i="4"/>
  <c r="K86" i="4"/>
  <c r="L86" i="4"/>
  <c r="M86" i="4"/>
  <c r="D87" i="4"/>
  <c r="E87" i="4"/>
  <c r="F87" i="4"/>
  <c r="G87" i="4"/>
  <c r="H87" i="4"/>
  <c r="I87" i="4"/>
  <c r="J87" i="4"/>
  <c r="K87" i="4"/>
  <c r="L87" i="4"/>
  <c r="M87" i="4"/>
  <c r="D88" i="4"/>
  <c r="E88" i="4"/>
  <c r="F88" i="4"/>
  <c r="G88" i="4"/>
  <c r="H88" i="4"/>
  <c r="I88" i="4"/>
  <c r="J88" i="4"/>
  <c r="K88" i="4"/>
  <c r="L88" i="4"/>
  <c r="M88" i="4"/>
  <c r="D89" i="4"/>
  <c r="E89" i="4"/>
  <c r="F89" i="4"/>
  <c r="G89" i="4"/>
  <c r="H89" i="4"/>
  <c r="I89" i="4"/>
  <c r="J89" i="4"/>
  <c r="K89" i="4"/>
  <c r="L89" i="4"/>
  <c r="M89" i="4"/>
  <c r="D90" i="4"/>
  <c r="E90" i="4"/>
  <c r="F90" i="4"/>
  <c r="G90" i="4"/>
  <c r="H90" i="4"/>
  <c r="I90" i="4"/>
  <c r="J90" i="4"/>
  <c r="K90" i="4"/>
  <c r="L90" i="4"/>
  <c r="M90" i="4"/>
  <c r="D91" i="4"/>
  <c r="E91" i="4"/>
  <c r="F91" i="4"/>
  <c r="G91" i="4"/>
  <c r="H91" i="4"/>
  <c r="I91" i="4"/>
  <c r="J91" i="4"/>
  <c r="K91" i="4"/>
  <c r="L91" i="4"/>
  <c r="M91" i="4"/>
  <c r="D92" i="4"/>
  <c r="E92" i="4"/>
  <c r="F92" i="4"/>
  <c r="G92" i="4"/>
  <c r="H92" i="4"/>
  <c r="I92" i="4"/>
  <c r="J92" i="4"/>
  <c r="K92" i="4"/>
  <c r="L92" i="4"/>
  <c r="M92" i="4"/>
  <c r="D93" i="4"/>
  <c r="E93" i="4"/>
  <c r="F93" i="4"/>
  <c r="G93" i="4"/>
  <c r="H93" i="4"/>
  <c r="I93" i="4"/>
  <c r="J93" i="4"/>
  <c r="K93" i="4"/>
  <c r="L93" i="4"/>
  <c r="M93" i="4"/>
  <c r="D94" i="4"/>
  <c r="E94" i="4"/>
  <c r="F94" i="4"/>
  <c r="G94" i="4"/>
  <c r="H94" i="4"/>
  <c r="I94" i="4"/>
  <c r="J94" i="4"/>
  <c r="K94" i="4"/>
  <c r="L94" i="4"/>
  <c r="M94" i="4"/>
  <c r="C84" i="4"/>
  <c r="C85" i="4"/>
  <c r="C86" i="4"/>
  <c r="C87" i="4"/>
  <c r="C88" i="4"/>
  <c r="C89" i="4"/>
  <c r="C90" i="4"/>
  <c r="C91" i="4"/>
  <c r="C92" i="4"/>
  <c r="C93" i="4"/>
  <c r="C94" i="4"/>
  <c r="C83" i="4"/>
  <c r="D74" i="4"/>
  <c r="E74" i="4"/>
  <c r="F74" i="4"/>
  <c r="G74" i="4"/>
  <c r="H74" i="4"/>
  <c r="I74" i="4"/>
  <c r="J74" i="4"/>
  <c r="K74" i="4"/>
  <c r="L74" i="4"/>
  <c r="M74" i="4"/>
  <c r="D75" i="4"/>
  <c r="E75" i="4"/>
  <c r="F75" i="4"/>
  <c r="G75" i="4"/>
  <c r="H75" i="4"/>
  <c r="I75" i="4"/>
  <c r="J75" i="4"/>
  <c r="K75" i="4"/>
  <c r="L75" i="4"/>
  <c r="M75" i="4"/>
  <c r="D76" i="4"/>
  <c r="E76" i="4"/>
  <c r="F76" i="4"/>
  <c r="G76" i="4"/>
  <c r="H76" i="4"/>
  <c r="I76" i="4"/>
  <c r="J76" i="4"/>
  <c r="K76" i="4"/>
  <c r="L76" i="4"/>
  <c r="M76" i="4"/>
  <c r="D77" i="4"/>
  <c r="E77" i="4"/>
  <c r="F77" i="4"/>
  <c r="G77" i="4"/>
  <c r="H77" i="4"/>
  <c r="I77" i="4"/>
  <c r="J77" i="4"/>
  <c r="K77" i="4"/>
  <c r="L77" i="4"/>
  <c r="M77" i="4"/>
  <c r="D78" i="4"/>
  <c r="E78" i="4"/>
  <c r="F78" i="4"/>
  <c r="G78" i="4"/>
  <c r="H78" i="4"/>
  <c r="I78" i="4"/>
  <c r="J78" i="4"/>
  <c r="K78" i="4"/>
  <c r="L78" i="4"/>
  <c r="M78" i="4"/>
  <c r="D79" i="4"/>
  <c r="E79" i="4"/>
  <c r="F79" i="4"/>
  <c r="G79" i="4"/>
  <c r="H79" i="4"/>
  <c r="I79" i="4"/>
  <c r="J79" i="4"/>
  <c r="K79" i="4"/>
  <c r="L79" i="4"/>
  <c r="M79" i="4"/>
  <c r="C75" i="4"/>
  <c r="C76" i="4"/>
  <c r="C77" i="4"/>
  <c r="C78" i="4"/>
  <c r="C79" i="4"/>
  <c r="C74" i="4"/>
  <c r="B103" i="4"/>
  <c r="B104" i="4"/>
  <c r="B105" i="4"/>
  <c r="B99" i="4"/>
  <c r="B100" i="4"/>
  <c r="B101" i="4"/>
  <c r="B102" i="4"/>
  <c r="B98" i="4"/>
  <c r="B91" i="4"/>
  <c r="B92" i="4"/>
  <c r="B93" i="4"/>
  <c r="B94" i="4"/>
  <c r="B84" i="4"/>
  <c r="B85" i="4"/>
  <c r="B86" i="4"/>
  <c r="B87" i="4"/>
  <c r="B88" i="4"/>
  <c r="B89" i="4"/>
  <c r="B90" i="4"/>
  <c r="B83" i="4"/>
  <c r="B75" i="4"/>
  <c r="B76" i="4"/>
  <c r="B77" i="4"/>
  <c r="B78" i="4"/>
  <c r="B79" i="4"/>
  <c r="B74" i="4"/>
  <c r="I16" i="24"/>
  <c r="I17" i="24"/>
  <c r="J17" i="24" s="1"/>
  <c r="I18" i="24"/>
  <c r="J18" i="24" s="1"/>
  <c r="I19" i="24"/>
  <c r="J19" i="24" s="1"/>
  <c r="I15" i="24"/>
  <c r="I5" i="24" a="1"/>
  <c r="I14" i="24" s="1"/>
  <c r="L3" i="24"/>
  <c r="G3" i="24"/>
  <c r="M5" i="24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H5" i="24"/>
  <c r="H6" i="24" s="1"/>
  <c r="H7" i="24" s="1"/>
  <c r="H8" i="24" s="1"/>
  <c r="H9" i="24" s="1"/>
  <c r="H10" i="24" s="1"/>
  <c r="H11" i="24" s="1"/>
  <c r="H12" i="24" s="1"/>
  <c r="H13" i="24" s="1"/>
  <c r="H14" i="24" s="1"/>
  <c r="H15" i="24" s="1"/>
  <c r="H16" i="24" s="1"/>
  <c r="H17" i="24" s="1"/>
  <c r="H18" i="24" s="1"/>
  <c r="H19" i="24" s="1"/>
  <c r="C5" i="24"/>
  <c r="C6" i="24" s="1"/>
  <c r="C7" i="24" s="1"/>
  <c r="C8" i="24" s="1"/>
  <c r="C9" i="24" s="1"/>
  <c r="C10" i="24" s="1"/>
  <c r="C11" i="24" s="1"/>
  <c r="C12" i="24" s="1"/>
  <c r="C13" i="24" s="1"/>
  <c r="C14" i="24" s="1"/>
  <c r="C15" i="24" s="1"/>
  <c r="C16" i="24" s="1"/>
  <c r="C17" i="24" s="1"/>
  <c r="C18" i="24" s="1"/>
  <c r="C19" i="24" s="1"/>
  <c r="D16" i="24"/>
  <c r="D17" i="24"/>
  <c r="E17" i="24" s="1"/>
  <c r="D18" i="24"/>
  <c r="D19" i="24"/>
  <c r="D15" i="24"/>
  <c r="D5" i="24" a="1"/>
  <c r="D12" i="24" s="1"/>
  <c r="B3" i="24"/>
  <c r="G95" i="4" l="1"/>
  <c r="H95" i="4"/>
  <c r="F95" i="4"/>
  <c r="M95" i="4"/>
  <c r="E95" i="4"/>
  <c r="L95" i="4"/>
  <c r="D95" i="4"/>
  <c r="J95" i="4"/>
  <c r="K95" i="4"/>
  <c r="J16" i="24"/>
  <c r="I11" i="24"/>
  <c r="I10" i="24"/>
  <c r="I9" i="24"/>
  <c r="J10" i="24" s="1"/>
  <c r="I6" i="24"/>
  <c r="I13" i="24"/>
  <c r="I5" i="24"/>
  <c r="I12" i="24"/>
  <c r="I8" i="24"/>
  <c r="I7" i="24"/>
  <c r="J15" i="24"/>
  <c r="J8" i="24"/>
  <c r="J9" i="24"/>
  <c r="J11" i="24"/>
  <c r="J13" i="24"/>
  <c r="E16" i="24"/>
  <c r="E18" i="24"/>
  <c r="D11" i="24"/>
  <c r="E11" i="24" s="1"/>
  <c r="D10" i="24"/>
  <c r="E10" i="24" s="1"/>
  <c r="D9" i="24"/>
  <c r="D8" i="24"/>
  <c r="D7" i="24"/>
  <c r="E7" i="24" s="1"/>
  <c r="D14" i="24"/>
  <c r="E14" i="24" s="1"/>
  <c r="D6" i="24"/>
  <c r="D13" i="24"/>
  <c r="E13" i="24" s="1"/>
  <c r="D5" i="24"/>
  <c r="E6" i="24" s="1"/>
  <c r="E9" i="24"/>
  <c r="E15" i="24"/>
  <c r="J12" i="24" l="1"/>
  <c r="J14" i="24"/>
  <c r="J7" i="24"/>
  <c r="E19" i="24"/>
  <c r="E12" i="24"/>
  <c r="E8" i="24"/>
  <c r="B9" i="22" l="1"/>
  <c r="J10" i="22"/>
  <c r="K10" i="22"/>
  <c r="L10" i="22"/>
  <c r="J11" i="22"/>
  <c r="K11" i="22"/>
  <c r="L11" i="22"/>
  <c r="J12" i="22"/>
  <c r="K12" i="22"/>
  <c r="L12" i="22"/>
  <c r="J13" i="22"/>
  <c r="K13" i="22"/>
  <c r="L13" i="22"/>
  <c r="J14" i="22"/>
  <c r="K14" i="22"/>
  <c r="L14" i="22"/>
  <c r="J15" i="22"/>
  <c r="K15" i="22"/>
  <c r="L15" i="22"/>
  <c r="J16" i="22"/>
  <c r="K16" i="22"/>
  <c r="L16" i="22"/>
  <c r="J17" i="22"/>
  <c r="K17" i="22"/>
  <c r="L17" i="22"/>
  <c r="J18" i="22"/>
  <c r="K18" i="22"/>
  <c r="L18" i="22"/>
  <c r="K9" i="22"/>
  <c r="L9" i="22"/>
  <c r="J9" i="22"/>
  <c r="G10" i="22"/>
  <c r="G11" i="22"/>
  <c r="G12" i="22"/>
  <c r="G13" i="22"/>
  <c r="G14" i="22"/>
  <c r="G15" i="22"/>
  <c r="G16" i="22"/>
  <c r="G17" i="22"/>
  <c r="G18" i="22"/>
  <c r="G9" i="22"/>
  <c r="P31" i="22" s="1"/>
  <c r="E10" i="22"/>
  <c r="E11" i="22"/>
  <c r="E12" i="22"/>
  <c r="E13" i="22"/>
  <c r="E14" i="22"/>
  <c r="E15" i="22"/>
  <c r="E16" i="22"/>
  <c r="E17" i="22"/>
  <c r="E18" i="22"/>
  <c r="E9" i="22"/>
  <c r="O33" i="22" s="1"/>
  <c r="D10" i="22"/>
  <c r="D11" i="22"/>
  <c r="D12" i="22"/>
  <c r="D13" i="22"/>
  <c r="D14" i="22"/>
  <c r="D15" i="22"/>
  <c r="D16" i="22"/>
  <c r="D17" i="22"/>
  <c r="D18" i="22"/>
  <c r="D9" i="22"/>
  <c r="B10" i="22"/>
  <c r="B11" i="22"/>
  <c r="B12" i="22"/>
  <c r="B13" i="22"/>
  <c r="B14" i="22"/>
  <c r="B15" i="22"/>
  <c r="B16" i="22"/>
  <c r="B17" i="22"/>
  <c r="B18" i="22"/>
  <c r="F5" i="23"/>
  <c r="I5" i="23" s="1"/>
  <c r="F6" i="23"/>
  <c r="I6" i="23" s="1"/>
  <c r="F3" i="23"/>
  <c r="I3" i="23" s="1"/>
  <c r="F7" i="23"/>
  <c r="I7" i="23" s="1"/>
  <c r="F8" i="23"/>
  <c r="I8" i="23" s="1"/>
  <c r="F9" i="23"/>
  <c r="I9" i="23" s="1"/>
  <c r="F10" i="23"/>
  <c r="I10" i="23" s="1"/>
  <c r="F11" i="23"/>
  <c r="I11" i="23" s="1"/>
  <c r="F12" i="23"/>
  <c r="I12" i="23" s="1"/>
  <c r="F4" i="23"/>
  <c r="I4" i="23" s="1"/>
  <c r="E40" i="21"/>
  <c r="E38" i="21"/>
  <c r="E37" i="21"/>
  <c r="E26" i="21"/>
  <c r="H12" i="21"/>
  <c r="I12" i="21" s="1"/>
  <c r="J12" i="21" s="1"/>
  <c r="F7" i="21"/>
  <c r="F9" i="21" s="1"/>
  <c r="F5" i="21"/>
  <c r="G5" i="21" s="1"/>
  <c r="H5" i="21" s="1"/>
  <c r="I5" i="21" s="1"/>
  <c r="J5" i="21" s="1"/>
  <c r="K5" i="21" s="1"/>
  <c r="G44" i="19"/>
  <c r="H44" i="19"/>
  <c r="I44" i="19"/>
  <c r="J44" i="19"/>
  <c r="F44" i="19"/>
  <c r="D81" i="18"/>
  <c r="E81" i="18"/>
  <c r="F81" i="18"/>
  <c r="G81" i="18"/>
  <c r="H81" i="18"/>
  <c r="I81" i="18"/>
  <c r="J81" i="18"/>
  <c r="K81" i="18"/>
  <c r="L81" i="18"/>
  <c r="M81" i="18"/>
  <c r="N81" i="18"/>
  <c r="C81" i="18"/>
  <c r="D68" i="18"/>
  <c r="E68" i="18"/>
  <c r="F68" i="18"/>
  <c r="G68" i="18"/>
  <c r="H68" i="18"/>
  <c r="I68" i="18"/>
  <c r="J68" i="18"/>
  <c r="K68" i="18"/>
  <c r="L68" i="18"/>
  <c r="M68" i="18"/>
  <c r="N68" i="18"/>
  <c r="C68" i="18"/>
  <c r="D53" i="18"/>
  <c r="E53" i="18"/>
  <c r="F53" i="18"/>
  <c r="G53" i="18"/>
  <c r="H53" i="18"/>
  <c r="I53" i="18"/>
  <c r="J53" i="18"/>
  <c r="K53" i="18"/>
  <c r="L53" i="18"/>
  <c r="M53" i="18"/>
  <c r="N53" i="18"/>
  <c r="C53" i="18"/>
  <c r="D79" i="18"/>
  <c r="E79" i="18"/>
  <c r="F79" i="18"/>
  <c r="G79" i="18"/>
  <c r="H79" i="18"/>
  <c r="I79" i="18"/>
  <c r="J79" i="18"/>
  <c r="K79" i="18"/>
  <c r="L79" i="18"/>
  <c r="M79" i="18"/>
  <c r="N79" i="18"/>
  <c r="C79" i="18"/>
  <c r="G5" i="19"/>
  <c r="G42" i="19" s="1"/>
  <c r="H5" i="19"/>
  <c r="H42" i="19" s="1"/>
  <c r="I5" i="19"/>
  <c r="I42" i="19" s="1"/>
  <c r="J5" i="19"/>
  <c r="J42" i="19" s="1"/>
  <c r="F5" i="19"/>
  <c r="F42" i="19" s="1"/>
  <c r="G34" i="19"/>
  <c r="H34" i="19"/>
  <c r="I34" i="19"/>
  <c r="J34" i="19"/>
  <c r="F34" i="19"/>
  <c r="F24" i="19"/>
  <c r="G24" i="19"/>
  <c r="H24" i="19"/>
  <c r="I24" i="19"/>
  <c r="J24" i="19"/>
  <c r="F25" i="19"/>
  <c r="G25" i="19"/>
  <c r="H25" i="19"/>
  <c r="I25" i="19"/>
  <c r="J25" i="19"/>
  <c r="F26" i="19"/>
  <c r="G26" i="19"/>
  <c r="H26" i="19"/>
  <c r="I26" i="19"/>
  <c r="J26" i="19"/>
  <c r="F27" i="19"/>
  <c r="G27" i="19"/>
  <c r="H27" i="19"/>
  <c r="I27" i="19"/>
  <c r="J27" i="19"/>
  <c r="F28" i="19"/>
  <c r="G28" i="19"/>
  <c r="H28" i="19"/>
  <c r="I28" i="19"/>
  <c r="J28" i="19"/>
  <c r="F29" i="19"/>
  <c r="G29" i="19"/>
  <c r="H29" i="19"/>
  <c r="I29" i="19"/>
  <c r="J29" i="19"/>
  <c r="F30" i="19"/>
  <c r="G30" i="19"/>
  <c r="H30" i="19"/>
  <c r="I30" i="19"/>
  <c r="J30" i="19"/>
  <c r="F31" i="19"/>
  <c r="G31" i="19"/>
  <c r="H31" i="19"/>
  <c r="I31" i="19"/>
  <c r="J31" i="19"/>
  <c r="G23" i="19"/>
  <c r="H23" i="19"/>
  <c r="I23" i="19"/>
  <c r="J23" i="19"/>
  <c r="F23" i="19"/>
  <c r="B31" i="19"/>
  <c r="B24" i="19"/>
  <c r="B25" i="19"/>
  <c r="B26" i="19"/>
  <c r="B27" i="19"/>
  <c r="B28" i="19"/>
  <c r="B29" i="19"/>
  <c r="B30" i="19"/>
  <c r="B23" i="19"/>
  <c r="F16" i="19"/>
  <c r="G16" i="19"/>
  <c r="H16" i="19"/>
  <c r="I16" i="19"/>
  <c r="J16" i="19"/>
  <c r="F17" i="19"/>
  <c r="G17" i="19"/>
  <c r="H17" i="19"/>
  <c r="I17" i="19"/>
  <c r="J17" i="19"/>
  <c r="G15" i="19"/>
  <c r="H15" i="19"/>
  <c r="I15" i="19"/>
  <c r="J15" i="19"/>
  <c r="F15" i="19"/>
  <c r="B16" i="19"/>
  <c r="B17" i="19"/>
  <c r="B15" i="19"/>
  <c r="F9" i="19"/>
  <c r="G9" i="19"/>
  <c r="H9" i="19"/>
  <c r="I9" i="19"/>
  <c r="J9" i="19"/>
  <c r="F10" i="19"/>
  <c r="G10" i="19"/>
  <c r="H10" i="19"/>
  <c r="I10" i="19"/>
  <c r="J10" i="19"/>
  <c r="F11" i="19"/>
  <c r="G11" i="19"/>
  <c r="H11" i="19"/>
  <c r="I11" i="19"/>
  <c r="J11" i="19"/>
  <c r="G8" i="19"/>
  <c r="H8" i="19"/>
  <c r="I8" i="19"/>
  <c r="J8" i="19"/>
  <c r="F8" i="19"/>
  <c r="B9" i="19"/>
  <c r="B10" i="19"/>
  <c r="B11" i="19"/>
  <c r="B8" i="19"/>
  <c r="D30" i="18"/>
  <c r="E30" i="18"/>
  <c r="F30" i="18"/>
  <c r="G30" i="18"/>
  <c r="H30" i="18"/>
  <c r="I30" i="18"/>
  <c r="J30" i="18"/>
  <c r="K30" i="18"/>
  <c r="L30" i="18"/>
  <c r="M30" i="18"/>
  <c r="N30" i="18"/>
  <c r="C30" i="18"/>
  <c r="D39" i="17"/>
  <c r="E39" i="17"/>
  <c r="F39" i="17"/>
  <c r="G39" i="17"/>
  <c r="H39" i="17"/>
  <c r="I39" i="17"/>
  <c r="J39" i="17"/>
  <c r="K39" i="17"/>
  <c r="L39" i="17"/>
  <c r="D40" i="17"/>
  <c r="E40" i="17"/>
  <c r="F40" i="17"/>
  <c r="G40" i="17"/>
  <c r="H40" i="17"/>
  <c r="I40" i="17"/>
  <c r="J40" i="17"/>
  <c r="K40" i="17"/>
  <c r="L40" i="17"/>
  <c r="D41" i="17"/>
  <c r="E41" i="17"/>
  <c r="F41" i="17"/>
  <c r="G41" i="17"/>
  <c r="H41" i="17"/>
  <c r="I41" i="17"/>
  <c r="J41" i="17"/>
  <c r="K41" i="17"/>
  <c r="L41" i="17"/>
  <c r="C40" i="17"/>
  <c r="C41" i="17"/>
  <c r="C39" i="17"/>
  <c r="D38" i="17"/>
  <c r="E38" i="17"/>
  <c r="F38" i="17"/>
  <c r="G38" i="17"/>
  <c r="H38" i="17"/>
  <c r="I38" i="17"/>
  <c r="J38" i="17"/>
  <c r="K38" i="17"/>
  <c r="L38" i="17"/>
  <c r="C38" i="17"/>
  <c r="D35" i="17"/>
  <c r="E35" i="17"/>
  <c r="F35" i="17"/>
  <c r="G35" i="17"/>
  <c r="H35" i="17"/>
  <c r="I35" i="17"/>
  <c r="J35" i="17"/>
  <c r="K35" i="17"/>
  <c r="L35" i="17"/>
  <c r="D36" i="17"/>
  <c r="E36" i="17"/>
  <c r="F36" i="17"/>
  <c r="G36" i="17"/>
  <c r="H36" i="17"/>
  <c r="I36" i="17"/>
  <c r="J36" i="17"/>
  <c r="K36" i="17"/>
  <c r="L36" i="17"/>
  <c r="D37" i="17"/>
  <c r="E37" i="17"/>
  <c r="F37" i="17"/>
  <c r="G37" i="17"/>
  <c r="H37" i="17"/>
  <c r="I37" i="17"/>
  <c r="J37" i="17"/>
  <c r="K37" i="17"/>
  <c r="L37" i="17"/>
  <c r="C36" i="17"/>
  <c r="C37" i="17"/>
  <c r="C35" i="17"/>
  <c r="C74" i="2"/>
  <c r="D74" i="2"/>
  <c r="E74" i="2"/>
  <c r="F74" i="2"/>
  <c r="G74" i="2"/>
  <c r="H74" i="2"/>
  <c r="I74" i="2"/>
  <c r="J74" i="2"/>
  <c r="K74" i="2"/>
  <c r="D34" i="17"/>
  <c r="E34" i="17"/>
  <c r="F34" i="17"/>
  <c r="G34" i="17"/>
  <c r="H34" i="17"/>
  <c r="I34" i="17"/>
  <c r="J34" i="17"/>
  <c r="K34" i="17"/>
  <c r="L34" i="17"/>
  <c r="C34" i="17"/>
  <c r="B74" i="2"/>
  <c r="C75" i="2"/>
  <c r="D75" i="2"/>
  <c r="E75" i="2"/>
  <c r="F75" i="2"/>
  <c r="G75" i="2"/>
  <c r="H75" i="2"/>
  <c r="I75" i="2"/>
  <c r="J75" i="2"/>
  <c r="K75" i="2"/>
  <c r="B75" i="2"/>
  <c r="D29" i="17"/>
  <c r="E29" i="17"/>
  <c r="F29" i="17"/>
  <c r="G29" i="17"/>
  <c r="H29" i="17"/>
  <c r="I29" i="17"/>
  <c r="J29" i="17"/>
  <c r="K29" i="17"/>
  <c r="L29" i="17"/>
  <c r="D30" i="17"/>
  <c r="E30" i="17"/>
  <c r="F30" i="17"/>
  <c r="G30" i="17"/>
  <c r="H30" i="17"/>
  <c r="I30" i="17"/>
  <c r="J30" i="17"/>
  <c r="K30" i="17"/>
  <c r="L30" i="17"/>
  <c r="D31" i="17"/>
  <c r="E31" i="17"/>
  <c r="F31" i="17"/>
  <c r="G31" i="17"/>
  <c r="H31" i="17"/>
  <c r="I31" i="17"/>
  <c r="J31" i="17"/>
  <c r="K31" i="17"/>
  <c r="L31" i="17"/>
  <c r="D32" i="17"/>
  <c r="E32" i="17"/>
  <c r="F32" i="17"/>
  <c r="G32" i="17"/>
  <c r="H32" i="17"/>
  <c r="I32" i="17"/>
  <c r="J32" i="17"/>
  <c r="K32" i="17"/>
  <c r="L32" i="17"/>
  <c r="D28" i="17"/>
  <c r="E28" i="17"/>
  <c r="F28" i="17"/>
  <c r="G28" i="17"/>
  <c r="H28" i="17"/>
  <c r="I28" i="17"/>
  <c r="J28" i="17"/>
  <c r="K28" i="17"/>
  <c r="L28" i="17"/>
  <c r="C30" i="17"/>
  <c r="C31" i="17"/>
  <c r="C32" i="17"/>
  <c r="C29" i="17"/>
  <c r="C28" i="17"/>
  <c r="B30" i="17"/>
  <c r="B31" i="17"/>
  <c r="B32" i="17"/>
  <c r="B35" i="17"/>
  <c r="B37" i="17"/>
  <c r="B38" i="17"/>
  <c r="B39" i="17"/>
  <c r="B40" i="17"/>
  <c r="B41" i="17"/>
  <c r="B29" i="17"/>
  <c r="L26" i="17"/>
  <c r="K26" i="17"/>
  <c r="J26" i="17"/>
  <c r="I26" i="17"/>
  <c r="H26" i="17"/>
  <c r="G26" i="17"/>
  <c r="F26" i="17"/>
  <c r="E26" i="17"/>
  <c r="D26" i="17"/>
  <c r="C26" i="17"/>
  <c r="D4" i="17"/>
  <c r="E4" i="17"/>
  <c r="F4" i="17"/>
  <c r="G4" i="17"/>
  <c r="H4" i="17"/>
  <c r="I4" i="17"/>
  <c r="J4" i="17"/>
  <c r="K4" i="17"/>
  <c r="L4" i="17"/>
  <c r="C4" i="17"/>
  <c r="B2" i="17"/>
  <c r="B24" i="17"/>
  <c r="D21" i="17"/>
  <c r="E21" i="17"/>
  <c r="F21" i="17"/>
  <c r="G21" i="17"/>
  <c r="H21" i="17"/>
  <c r="I21" i="17"/>
  <c r="J21" i="17"/>
  <c r="K21" i="17"/>
  <c r="L21" i="17"/>
  <c r="C21" i="17"/>
  <c r="C20" i="17"/>
  <c r="D20" i="17"/>
  <c r="E20" i="17"/>
  <c r="F20" i="17"/>
  <c r="G20" i="17"/>
  <c r="H20" i="17"/>
  <c r="I20" i="17"/>
  <c r="J20" i="17"/>
  <c r="K20" i="17"/>
  <c r="L20" i="17"/>
  <c r="C7" i="17"/>
  <c r="D7" i="17"/>
  <c r="E7" i="17"/>
  <c r="F7" i="17"/>
  <c r="G7" i="17"/>
  <c r="H7" i="17"/>
  <c r="I7" i="17"/>
  <c r="J7" i="17"/>
  <c r="K7" i="17"/>
  <c r="L7" i="17"/>
  <c r="C8" i="17"/>
  <c r="D8" i="17"/>
  <c r="E8" i="17"/>
  <c r="F8" i="17"/>
  <c r="G8" i="17"/>
  <c r="H8" i="17"/>
  <c r="I8" i="17"/>
  <c r="J8" i="17"/>
  <c r="K8" i="17"/>
  <c r="L8" i="17"/>
  <c r="C9" i="17"/>
  <c r="D9" i="17"/>
  <c r="E9" i="17"/>
  <c r="F9" i="17"/>
  <c r="G9" i="17"/>
  <c r="H9" i="17"/>
  <c r="I9" i="17"/>
  <c r="J9" i="17"/>
  <c r="K9" i="17"/>
  <c r="L9" i="17"/>
  <c r="C10" i="17"/>
  <c r="D10" i="17"/>
  <c r="E10" i="17"/>
  <c r="F10" i="17"/>
  <c r="G10" i="17"/>
  <c r="H10" i="17"/>
  <c r="I10" i="17"/>
  <c r="J10" i="17"/>
  <c r="K10" i="17"/>
  <c r="L10" i="17"/>
  <c r="C11" i="17"/>
  <c r="D11" i="17"/>
  <c r="E11" i="17"/>
  <c r="F11" i="17"/>
  <c r="G11" i="17"/>
  <c r="H11" i="17"/>
  <c r="I11" i="17"/>
  <c r="J11" i="17"/>
  <c r="K11" i="17"/>
  <c r="L11" i="17"/>
  <c r="C12" i="17"/>
  <c r="D12" i="17"/>
  <c r="E12" i="17"/>
  <c r="F12" i="17"/>
  <c r="G12" i="17"/>
  <c r="H12" i="17"/>
  <c r="I12" i="17"/>
  <c r="J12" i="17"/>
  <c r="K12" i="17"/>
  <c r="L12" i="17"/>
  <c r="C13" i="17"/>
  <c r="D13" i="17"/>
  <c r="E13" i="17"/>
  <c r="F13" i="17"/>
  <c r="G13" i="17"/>
  <c r="H13" i="17"/>
  <c r="I13" i="17"/>
  <c r="J13" i="17"/>
  <c r="K13" i="17"/>
  <c r="L13" i="17"/>
  <c r="C14" i="17"/>
  <c r="D14" i="17"/>
  <c r="E14" i="17"/>
  <c r="F14" i="17"/>
  <c r="G14" i="17"/>
  <c r="H14" i="17"/>
  <c r="I14" i="17"/>
  <c r="J14" i="17"/>
  <c r="K14" i="17"/>
  <c r="L14" i="17"/>
  <c r="C15" i="17"/>
  <c r="D15" i="17"/>
  <c r="E15" i="17"/>
  <c r="F15" i="17"/>
  <c r="G15" i="17"/>
  <c r="H15" i="17"/>
  <c r="I15" i="17"/>
  <c r="J15" i="17"/>
  <c r="K15" i="17"/>
  <c r="L15" i="17"/>
  <c r="C16" i="17"/>
  <c r="D16" i="17"/>
  <c r="E16" i="17"/>
  <c r="F16" i="17"/>
  <c r="G16" i="17"/>
  <c r="H16" i="17"/>
  <c r="I16" i="17"/>
  <c r="J16" i="17"/>
  <c r="K16" i="17"/>
  <c r="L16" i="17"/>
  <c r="C17" i="17"/>
  <c r="D17" i="17"/>
  <c r="E17" i="17"/>
  <c r="F17" i="17"/>
  <c r="G17" i="17"/>
  <c r="H17" i="17"/>
  <c r="I17" i="17"/>
  <c r="J17" i="17"/>
  <c r="K17" i="17"/>
  <c r="L17" i="17"/>
  <c r="C18" i="17"/>
  <c r="D18" i="17"/>
  <c r="E18" i="17"/>
  <c r="F18" i="17"/>
  <c r="G18" i="17"/>
  <c r="H18" i="17"/>
  <c r="I18" i="17"/>
  <c r="J18" i="17"/>
  <c r="K18" i="17"/>
  <c r="L18" i="17"/>
  <c r="C19" i="17"/>
  <c r="D19" i="17"/>
  <c r="E19" i="17"/>
  <c r="F19" i="17"/>
  <c r="G19" i="17"/>
  <c r="H19" i="17"/>
  <c r="I19" i="17"/>
  <c r="J19" i="17"/>
  <c r="K19" i="17"/>
  <c r="L19" i="17"/>
  <c r="D6" i="17"/>
  <c r="E6" i="17"/>
  <c r="F6" i="17"/>
  <c r="G6" i="17"/>
  <c r="H6" i="17"/>
  <c r="I6" i="17"/>
  <c r="K6" i="17"/>
  <c r="L6" i="17"/>
  <c r="C6" i="17"/>
  <c r="B20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6" i="17"/>
  <c r="C34" i="2"/>
  <c r="D34" i="2"/>
  <c r="E34" i="2"/>
  <c r="F34" i="2"/>
  <c r="G34" i="2"/>
  <c r="H34" i="2"/>
  <c r="I34" i="2"/>
  <c r="J34" i="2"/>
  <c r="K34" i="2"/>
  <c r="B34" i="2"/>
  <c r="K43" i="8"/>
  <c r="K42" i="8"/>
  <c r="K40" i="8"/>
  <c r="E24" i="8"/>
  <c r="K25" i="8"/>
  <c r="G8" i="16"/>
  <c r="G6" i="16"/>
  <c r="B15" i="8"/>
  <c r="J15" i="8"/>
  <c r="J14" i="8"/>
  <c r="J13" i="8"/>
  <c r="J12" i="8"/>
  <c r="J11" i="8"/>
  <c r="F12" i="8"/>
  <c r="F13" i="8"/>
  <c r="F14" i="8"/>
  <c r="F15" i="8"/>
  <c r="F11" i="8"/>
  <c r="C34" i="8" s="1"/>
  <c r="E12" i="8"/>
  <c r="E13" i="8"/>
  <c r="E14" i="8"/>
  <c r="I14" i="8" s="1"/>
  <c r="E15" i="8"/>
  <c r="I15" i="8" s="1"/>
  <c r="E11" i="8"/>
  <c r="C33" i="8" s="1"/>
  <c r="B12" i="8"/>
  <c r="B13" i="8"/>
  <c r="B14" i="8"/>
  <c r="B11" i="8"/>
  <c r="O11" i="14"/>
  <c r="H113" i="14"/>
  <c r="D113" i="14"/>
  <c r="H112" i="14"/>
  <c r="D112" i="14"/>
  <c r="H111" i="14"/>
  <c r="D111" i="14"/>
  <c r="H110" i="14"/>
  <c r="D110" i="14"/>
  <c r="H109" i="14"/>
  <c r="D109" i="14"/>
  <c r="H108" i="14"/>
  <c r="D108" i="14"/>
  <c r="H107" i="14"/>
  <c r="D107" i="14"/>
  <c r="H106" i="14"/>
  <c r="D106" i="14"/>
  <c r="H105" i="14"/>
  <c r="D105" i="14"/>
  <c r="H104" i="14"/>
  <c r="D104" i="14"/>
  <c r="H103" i="14"/>
  <c r="D103" i="14"/>
  <c r="H102" i="14"/>
  <c r="D102" i="14"/>
  <c r="H101" i="14"/>
  <c r="D101" i="14"/>
  <c r="H100" i="14"/>
  <c r="D100" i="14"/>
  <c r="H99" i="14"/>
  <c r="D99" i="14"/>
  <c r="H98" i="14"/>
  <c r="D98" i="14"/>
  <c r="H97" i="14"/>
  <c r="D97" i="14"/>
  <c r="H96" i="14"/>
  <c r="D96" i="14"/>
  <c r="H95" i="14"/>
  <c r="D95" i="14"/>
  <c r="H94" i="14"/>
  <c r="D94" i="14"/>
  <c r="H93" i="14"/>
  <c r="D93" i="14"/>
  <c r="H92" i="14"/>
  <c r="D92" i="14"/>
  <c r="H91" i="14"/>
  <c r="D91" i="14"/>
  <c r="H90" i="14"/>
  <c r="D90" i="14"/>
  <c r="H89" i="14"/>
  <c r="D89" i="14"/>
  <c r="H88" i="14"/>
  <c r="D88" i="14"/>
  <c r="H87" i="14"/>
  <c r="D87" i="14"/>
  <c r="H86" i="14"/>
  <c r="D86" i="14"/>
  <c r="H85" i="14"/>
  <c r="D85" i="14"/>
  <c r="H84" i="14"/>
  <c r="D84" i="14"/>
  <c r="H83" i="14"/>
  <c r="D83" i="14"/>
  <c r="H82" i="14"/>
  <c r="D82" i="14"/>
  <c r="H81" i="14"/>
  <c r="D81" i="14"/>
  <c r="H80" i="14"/>
  <c r="D80" i="14"/>
  <c r="H79" i="14"/>
  <c r="D79" i="14"/>
  <c r="H78" i="14"/>
  <c r="D78" i="14"/>
  <c r="H77" i="14"/>
  <c r="D77" i="14"/>
  <c r="H76" i="14"/>
  <c r="D76" i="14"/>
  <c r="H75" i="14"/>
  <c r="D75" i="14"/>
  <c r="H74" i="14"/>
  <c r="D74" i="14"/>
  <c r="H73" i="14"/>
  <c r="D73" i="14"/>
  <c r="H72" i="14"/>
  <c r="D72" i="14"/>
  <c r="H71" i="14"/>
  <c r="D71" i="14"/>
  <c r="H70" i="14"/>
  <c r="D70" i="14"/>
  <c r="H69" i="14"/>
  <c r="D69" i="14"/>
  <c r="H68" i="14"/>
  <c r="D68" i="14"/>
  <c r="H67" i="14"/>
  <c r="D67" i="14"/>
  <c r="H66" i="14"/>
  <c r="D66" i="14"/>
  <c r="H65" i="14"/>
  <c r="D65" i="14"/>
  <c r="H64" i="14"/>
  <c r="D64" i="14"/>
  <c r="H63" i="14"/>
  <c r="D63" i="14"/>
  <c r="H62" i="14"/>
  <c r="D62" i="14"/>
  <c r="H61" i="14"/>
  <c r="D61" i="14"/>
  <c r="H60" i="14"/>
  <c r="D60" i="14"/>
  <c r="H59" i="14"/>
  <c r="D59" i="14"/>
  <c r="H58" i="14"/>
  <c r="D58" i="14"/>
  <c r="H57" i="14"/>
  <c r="D57" i="14"/>
  <c r="H56" i="14"/>
  <c r="D56" i="14"/>
  <c r="H55" i="14"/>
  <c r="D55" i="14"/>
  <c r="H54" i="14"/>
  <c r="D54" i="14"/>
  <c r="H53" i="14"/>
  <c r="D53" i="14"/>
  <c r="H52" i="14"/>
  <c r="D52" i="14"/>
  <c r="H51" i="14"/>
  <c r="D51" i="14"/>
  <c r="H50" i="14"/>
  <c r="D50" i="14"/>
  <c r="H49" i="14"/>
  <c r="D49" i="14"/>
  <c r="H48" i="14"/>
  <c r="D48" i="14"/>
  <c r="H47" i="14"/>
  <c r="D47" i="14"/>
  <c r="H46" i="14"/>
  <c r="D46" i="14"/>
  <c r="H45" i="14"/>
  <c r="D45" i="14"/>
  <c r="H44" i="14"/>
  <c r="D44" i="14"/>
  <c r="H43" i="14"/>
  <c r="D43" i="14"/>
  <c r="H42" i="14"/>
  <c r="D42" i="14"/>
  <c r="H41" i="14"/>
  <c r="D41" i="14"/>
  <c r="H40" i="14"/>
  <c r="D40" i="14"/>
  <c r="H39" i="14"/>
  <c r="D39" i="14"/>
  <c r="H38" i="14"/>
  <c r="D38" i="14"/>
  <c r="H37" i="14"/>
  <c r="D37" i="14"/>
  <c r="H36" i="14"/>
  <c r="D36" i="14"/>
  <c r="H35" i="14"/>
  <c r="D35" i="14"/>
  <c r="H34" i="14"/>
  <c r="D34" i="14"/>
  <c r="H33" i="14"/>
  <c r="D33" i="14"/>
  <c r="H32" i="14"/>
  <c r="D32" i="14"/>
  <c r="H31" i="14"/>
  <c r="D31" i="14"/>
  <c r="H30" i="14"/>
  <c r="D30" i="14"/>
  <c r="H29" i="14"/>
  <c r="D29" i="14"/>
  <c r="H28" i="14"/>
  <c r="D28" i="14"/>
  <c r="H27" i="14"/>
  <c r="D27" i="14"/>
  <c r="H26" i="14"/>
  <c r="D26" i="14"/>
  <c r="H25" i="14"/>
  <c r="D25" i="14"/>
  <c r="H24" i="14"/>
  <c r="D24" i="14"/>
  <c r="H23" i="14"/>
  <c r="D23" i="14"/>
  <c r="H22" i="14"/>
  <c r="D22" i="14"/>
  <c r="H21" i="14"/>
  <c r="D21" i="14"/>
  <c r="H20" i="14"/>
  <c r="D20" i="14"/>
  <c r="H19" i="14"/>
  <c r="D19" i="14"/>
  <c r="H18" i="14"/>
  <c r="D18" i="14"/>
  <c r="H17" i="14"/>
  <c r="D17" i="14"/>
  <c r="H16" i="14"/>
  <c r="D16" i="14"/>
  <c r="H15" i="14"/>
  <c r="D15" i="14"/>
  <c r="H14" i="14"/>
  <c r="D14" i="14"/>
  <c r="H13" i="14"/>
  <c r="D13" i="14"/>
  <c r="H12" i="14"/>
  <c r="D12" i="14"/>
  <c r="L7" i="14"/>
  <c r="L13" i="14" s="1"/>
  <c r="L11" i="14"/>
  <c r="H11" i="14"/>
  <c r="D11" i="14"/>
  <c r="H10" i="14"/>
  <c r="D10" i="14"/>
  <c r="H9" i="14"/>
  <c r="D9" i="14"/>
  <c r="O11" i="13"/>
  <c r="L7" i="13" s="1"/>
  <c r="L13" i="13" s="1"/>
  <c r="H113" i="13"/>
  <c r="D113" i="13"/>
  <c r="H112" i="13"/>
  <c r="D112" i="13"/>
  <c r="H111" i="13"/>
  <c r="D111" i="13"/>
  <c r="H110" i="13"/>
  <c r="D110" i="13"/>
  <c r="H109" i="13"/>
  <c r="D109" i="13"/>
  <c r="H108" i="13"/>
  <c r="D108" i="13"/>
  <c r="H107" i="13"/>
  <c r="D107" i="13"/>
  <c r="H106" i="13"/>
  <c r="D106" i="13"/>
  <c r="H105" i="13"/>
  <c r="D105" i="13"/>
  <c r="H104" i="13"/>
  <c r="D104" i="13"/>
  <c r="H103" i="13"/>
  <c r="D103" i="13"/>
  <c r="H102" i="13"/>
  <c r="D102" i="13"/>
  <c r="H101" i="13"/>
  <c r="D101" i="13"/>
  <c r="H100" i="13"/>
  <c r="D100" i="13"/>
  <c r="H99" i="13"/>
  <c r="D99" i="13"/>
  <c r="H98" i="13"/>
  <c r="D98" i="13"/>
  <c r="H97" i="13"/>
  <c r="D97" i="13"/>
  <c r="H96" i="13"/>
  <c r="D96" i="13"/>
  <c r="H95" i="13"/>
  <c r="D95" i="13"/>
  <c r="H94" i="13"/>
  <c r="D94" i="13"/>
  <c r="H93" i="13"/>
  <c r="D93" i="13"/>
  <c r="H92" i="13"/>
  <c r="D92" i="13"/>
  <c r="H91" i="13"/>
  <c r="D91" i="13"/>
  <c r="H90" i="13"/>
  <c r="D90" i="13"/>
  <c r="H89" i="13"/>
  <c r="D89" i="13"/>
  <c r="H88" i="13"/>
  <c r="D88" i="13"/>
  <c r="H87" i="13"/>
  <c r="D87" i="13"/>
  <c r="H86" i="13"/>
  <c r="D86" i="13"/>
  <c r="H85" i="13"/>
  <c r="D85" i="13"/>
  <c r="H84" i="13"/>
  <c r="D84" i="13"/>
  <c r="H83" i="13"/>
  <c r="D83" i="13"/>
  <c r="H82" i="13"/>
  <c r="D82" i="13"/>
  <c r="H81" i="13"/>
  <c r="D81" i="13"/>
  <c r="H80" i="13"/>
  <c r="D80" i="13"/>
  <c r="H79" i="13"/>
  <c r="D79" i="13"/>
  <c r="H78" i="13"/>
  <c r="D78" i="13"/>
  <c r="H77" i="13"/>
  <c r="D77" i="13"/>
  <c r="H76" i="13"/>
  <c r="D76" i="13"/>
  <c r="H75" i="13"/>
  <c r="D75" i="13"/>
  <c r="H74" i="13"/>
  <c r="D74" i="13"/>
  <c r="H73" i="13"/>
  <c r="D73" i="13"/>
  <c r="H72" i="13"/>
  <c r="D72" i="13"/>
  <c r="H71" i="13"/>
  <c r="D71" i="13"/>
  <c r="H70" i="13"/>
  <c r="D70" i="13"/>
  <c r="H69" i="13"/>
  <c r="D69" i="13"/>
  <c r="H68" i="13"/>
  <c r="D68" i="13"/>
  <c r="H67" i="13"/>
  <c r="D67" i="13"/>
  <c r="H66" i="13"/>
  <c r="D66" i="13"/>
  <c r="H65" i="13"/>
  <c r="D65" i="13"/>
  <c r="H64" i="13"/>
  <c r="D64" i="13"/>
  <c r="H63" i="13"/>
  <c r="D63" i="13"/>
  <c r="H62" i="13"/>
  <c r="D62" i="13"/>
  <c r="H61" i="13"/>
  <c r="D61" i="13"/>
  <c r="H60" i="13"/>
  <c r="D60" i="13"/>
  <c r="H59" i="13"/>
  <c r="D59" i="13"/>
  <c r="H58" i="13"/>
  <c r="D58" i="13"/>
  <c r="H57" i="13"/>
  <c r="D57" i="13"/>
  <c r="H56" i="13"/>
  <c r="D56" i="13"/>
  <c r="H55" i="13"/>
  <c r="D55" i="13"/>
  <c r="H54" i="13"/>
  <c r="D54" i="13"/>
  <c r="H53" i="13"/>
  <c r="D53" i="13"/>
  <c r="H52" i="13"/>
  <c r="D52" i="13"/>
  <c r="H51" i="13"/>
  <c r="D51" i="13"/>
  <c r="H50" i="13"/>
  <c r="D50" i="13"/>
  <c r="H49" i="13"/>
  <c r="D49" i="13"/>
  <c r="H48" i="13"/>
  <c r="D48" i="13"/>
  <c r="H47" i="13"/>
  <c r="D47" i="13"/>
  <c r="H46" i="13"/>
  <c r="D46" i="13"/>
  <c r="H45" i="13"/>
  <c r="D45" i="13"/>
  <c r="H44" i="13"/>
  <c r="D44" i="13"/>
  <c r="H43" i="13"/>
  <c r="D43" i="13"/>
  <c r="H42" i="13"/>
  <c r="D42" i="13"/>
  <c r="H41" i="13"/>
  <c r="D41" i="13"/>
  <c r="H40" i="13"/>
  <c r="D40" i="13"/>
  <c r="H39" i="13"/>
  <c r="D39" i="13"/>
  <c r="H38" i="13"/>
  <c r="D38" i="13"/>
  <c r="H37" i="13"/>
  <c r="D37" i="13"/>
  <c r="H36" i="13"/>
  <c r="D36" i="13"/>
  <c r="H35" i="13"/>
  <c r="D35" i="13"/>
  <c r="H34" i="13"/>
  <c r="D34" i="13"/>
  <c r="H33" i="13"/>
  <c r="D33" i="13"/>
  <c r="H32" i="13"/>
  <c r="D32" i="13"/>
  <c r="H31" i="13"/>
  <c r="D31" i="13"/>
  <c r="H30" i="13"/>
  <c r="D30" i="13"/>
  <c r="H29" i="13"/>
  <c r="D29" i="13"/>
  <c r="H28" i="13"/>
  <c r="D28" i="13"/>
  <c r="H27" i="13"/>
  <c r="D27" i="13"/>
  <c r="H26" i="13"/>
  <c r="D26" i="13"/>
  <c r="H25" i="13"/>
  <c r="D25" i="13"/>
  <c r="H24" i="13"/>
  <c r="D24" i="13"/>
  <c r="H23" i="13"/>
  <c r="D23" i="13"/>
  <c r="H22" i="13"/>
  <c r="D22" i="13"/>
  <c r="H21" i="13"/>
  <c r="D21" i="13"/>
  <c r="H20" i="13"/>
  <c r="D20" i="13"/>
  <c r="H19" i="13"/>
  <c r="D19" i="13"/>
  <c r="H18" i="13"/>
  <c r="D18" i="13"/>
  <c r="H17" i="13"/>
  <c r="D17" i="13"/>
  <c r="H16" i="13"/>
  <c r="D16" i="13"/>
  <c r="H15" i="13"/>
  <c r="D15" i="13"/>
  <c r="H14" i="13"/>
  <c r="D14" i="13"/>
  <c r="H13" i="13"/>
  <c r="D13" i="13"/>
  <c r="H12" i="13"/>
  <c r="D12" i="13"/>
  <c r="L11" i="13"/>
  <c r="H11" i="13"/>
  <c r="D11" i="13"/>
  <c r="H10" i="13"/>
  <c r="D10" i="13"/>
  <c r="H9" i="13"/>
  <c r="D9" i="13"/>
  <c r="O11" i="12"/>
  <c r="H113" i="12"/>
  <c r="D113" i="12"/>
  <c r="H112" i="12"/>
  <c r="D112" i="12"/>
  <c r="H111" i="12"/>
  <c r="D111" i="12"/>
  <c r="H110" i="12"/>
  <c r="D110" i="12"/>
  <c r="H109" i="12"/>
  <c r="D109" i="12"/>
  <c r="H108" i="12"/>
  <c r="D108" i="12"/>
  <c r="H107" i="12"/>
  <c r="D107" i="12"/>
  <c r="H106" i="12"/>
  <c r="D106" i="12"/>
  <c r="H105" i="12"/>
  <c r="D105" i="12"/>
  <c r="H104" i="12"/>
  <c r="D104" i="12"/>
  <c r="H103" i="12"/>
  <c r="D103" i="12"/>
  <c r="H102" i="12"/>
  <c r="D102" i="12"/>
  <c r="H101" i="12"/>
  <c r="D101" i="12"/>
  <c r="H100" i="12"/>
  <c r="D100" i="12"/>
  <c r="H99" i="12"/>
  <c r="D99" i="12"/>
  <c r="H98" i="12"/>
  <c r="D98" i="12"/>
  <c r="H97" i="12"/>
  <c r="D97" i="12"/>
  <c r="H96" i="12"/>
  <c r="D96" i="12"/>
  <c r="H95" i="12"/>
  <c r="D95" i="12"/>
  <c r="H94" i="12"/>
  <c r="D94" i="12"/>
  <c r="H93" i="12"/>
  <c r="D93" i="12"/>
  <c r="H92" i="12"/>
  <c r="D92" i="12"/>
  <c r="H91" i="12"/>
  <c r="D91" i="12"/>
  <c r="H90" i="12"/>
  <c r="D90" i="12"/>
  <c r="H89" i="12"/>
  <c r="D89" i="12"/>
  <c r="H88" i="12"/>
  <c r="D88" i="12"/>
  <c r="H87" i="12"/>
  <c r="D87" i="12"/>
  <c r="H86" i="12"/>
  <c r="D86" i="12"/>
  <c r="H85" i="12"/>
  <c r="D85" i="12"/>
  <c r="H84" i="12"/>
  <c r="D84" i="12"/>
  <c r="H83" i="12"/>
  <c r="D83" i="12"/>
  <c r="H82" i="12"/>
  <c r="D82" i="12"/>
  <c r="H81" i="12"/>
  <c r="D81" i="12"/>
  <c r="H80" i="12"/>
  <c r="D80" i="12"/>
  <c r="H79" i="12"/>
  <c r="D79" i="12"/>
  <c r="H78" i="12"/>
  <c r="D78" i="12"/>
  <c r="H77" i="12"/>
  <c r="D77" i="12"/>
  <c r="H76" i="12"/>
  <c r="D76" i="12"/>
  <c r="H75" i="12"/>
  <c r="D75" i="12"/>
  <c r="H74" i="12"/>
  <c r="D74" i="12"/>
  <c r="H73" i="12"/>
  <c r="D73" i="12"/>
  <c r="H72" i="12"/>
  <c r="D72" i="12"/>
  <c r="H71" i="12"/>
  <c r="D71" i="12"/>
  <c r="H70" i="12"/>
  <c r="D70" i="12"/>
  <c r="H69" i="12"/>
  <c r="D69" i="12"/>
  <c r="H68" i="12"/>
  <c r="D68" i="12"/>
  <c r="H67" i="12"/>
  <c r="D67" i="12"/>
  <c r="H66" i="12"/>
  <c r="D66" i="12"/>
  <c r="H65" i="12"/>
  <c r="D65" i="12"/>
  <c r="H64" i="12"/>
  <c r="D64" i="12"/>
  <c r="H63" i="12"/>
  <c r="D63" i="12"/>
  <c r="H62" i="12"/>
  <c r="D62" i="12"/>
  <c r="H61" i="12"/>
  <c r="D61" i="12"/>
  <c r="H60" i="12"/>
  <c r="D60" i="12"/>
  <c r="H59" i="12"/>
  <c r="D59" i="12"/>
  <c r="H58" i="12"/>
  <c r="D58" i="12"/>
  <c r="H57" i="12"/>
  <c r="D57" i="12"/>
  <c r="H56" i="12"/>
  <c r="D56" i="12"/>
  <c r="H55" i="12"/>
  <c r="D55" i="12"/>
  <c r="H54" i="12"/>
  <c r="D54" i="12"/>
  <c r="H53" i="12"/>
  <c r="D53" i="12"/>
  <c r="H52" i="12"/>
  <c r="D52" i="12"/>
  <c r="H51" i="12"/>
  <c r="D51" i="12"/>
  <c r="H50" i="12"/>
  <c r="D50" i="12"/>
  <c r="H49" i="12"/>
  <c r="D49" i="12"/>
  <c r="H48" i="12"/>
  <c r="D48" i="12"/>
  <c r="H47" i="12"/>
  <c r="D47" i="12"/>
  <c r="H46" i="12"/>
  <c r="D46" i="12"/>
  <c r="H45" i="12"/>
  <c r="D45" i="12"/>
  <c r="H44" i="12"/>
  <c r="D44" i="12"/>
  <c r="H43" i="12"/>
  <c r="D43" i="12"/>
  <c r="H42" i="12"/>
  <c r="D42" i="12"/>
  <c r="H41" i="12"/>
  <c r="D41" i="12"/>
  <c r="H40" i="12"/>
  <c r="D40" i="12"/>
  <c r="H39" i="12"/>
  <c r="D39" i="12"/>
  <c r="H38" i="12"/>
  <c r="D38" i="12"/>
  <c r="H37" i="12"/>
  <c r="D37" i="12"/>
  <c r="H36" i="12"/>
  <c r="D36" i="12"/>
  <c r="H35" i="12"/>
  <c r="D35" i="12"/>
  <c r="H34" i="12"/>
  <c r="D34" i="12"/>
  <c r="H33" i="12"/>
  <c r="D33" i="12"/>
  <c r="H32" i="12"/>
  <c r="D32" i="12"/>
  <c r="H31" i="12"/>
  <c r="D31" i="12"/>
  <c r="H30" i="12"/>
  <c r="D30" i="12"/>
  <c r="H29" i="12"/>
  <c r="D29" i="12"/>
  <c r="H28" i="12"/>
  <c r="D28" i="12"/>
  <c r="H27" i="12"/>
  <c r="D27" i="12"/>
  <c r="H26" i="12"/>
  <c r="D26" i="12"/>
  <c r="H25" i="12"/>
  <c r="D25" i="12"/>
  <c r="H24" i="12"/>
  <c r="D24" i="12"/>
  <c r="H23" i="12"/>
  <c r="D23" i="12"/>
  <c r="H22" i="12"/>
  <c r="D22" i="12"/>
  <c r="H21" i="12"/>
  <c r="D21" i="12"/>
  <c r="H20" i="12"/>
  <c r="D20" i="12"/>
  <c r="H19" i="12"/>
  <c r="D19" i="12"/>
  <c r="H18" i="12"/>
  <c r="D18" i="12"/>
  <c r="H17" i="12"/>
  <c r="D17" i="12"/>
  <c r="H16" i="12"/>
  <c r="D16" i="12"/>
  <c r="H15" i="12"/>
  <c r="D15" i="12"/>
  <c r="H14" i="12"/>
  <c r="D14" i="12"/>
  <c r="H13" i="12"/>
  <c r="D13" i="12"/>
  <c r="H12" i="12"/>
  <c r="D12" i="12"/>
  <c r="L7" i="12"/>
  <c r="L13" i="12" s="1"/>
  <c r="L11" i="12"/>
  <c r="H11" i="12"/>
  <c r="D11" i="12"/>
  <c r="O8" i="12" s="1"/>
  <c r="H10" i="12"/>
  <c r="D10" i="12"/>
  <c r="H9" i="12"/>
  <c r="D9" i="12"/>
  <c r="O11" i="11"/>
  <c r="L7" i="11" s="1"/>
  <c r="L13" i="11" s="1"/>
  <c r="H113" i="11"/>
  <c r="D113" i="11"/>
  <c r="H112" i="11"/>
  <c r="D112" i="11"/>
  <c r="H111" i="11"/>
  <c r="D111" i="11"/>
  <c r="H110" i="11"/>
  <c r="D110" i="11"/>
  <c r="H109" i="11"/>
  <c r="D109" i="11"/>
  <c r="H108" i="11"/>
  <c r="D108" i="11"/>
  <c r="H107" i="11"/>
  <c r="D107" i="11"/>
  <c r="H106" i="11"/>
  <c r="D106" i="11"/>
  <c r="H105" i="11"/>
  <c r="D105" i="11"/>
  <c r="H104" i="11"/>
  <c r="D104" i="11"/>
  <c r="H103" i="11"/>
  <c r="D103" i="11"/>
  <c r="H102" i="11"/>
  <c r="D102" i="11"/>
  <c r="H101" i="11"/>
  <c r="D101" i="11"/>
  <c r="H100" i="11"/>
  <c r="D100" i="11"/>
  <c r="H99" i="11"/>
  <c r="D99" i="11"/>
  <c r="H98" i="11"/>
  <c r="D98" i="11"/>
  <c r="H97" i="11"/>
  <c r="D97" i="11"/>
  <c r="H96" i="11"/>
  <c r="D96" i="11"/>
  <c r="H95" i="11"/>
  <c r="D95" i="11"/>
  <c r="H94" i="11"/>
  <c r="D94" i="11"/>
  <c r="H93" i="11"/>
  <c r="D93" i="11"/>
  <c r="H92" i="11"/>
  <c r="D92" i="11"/>
  <c r="H91" i="11"/>
  <c r="D91" i="11"/>
  <c r="H90" i="11"/>
  <c r="D90" i="11"/>
  <c r="H89" i="11"/>
  <c r="D89" i="11"/>
  <c r="H88" i="11"/>
  <c r="D88" i="11"/>
  <c r="H87" i="11"/>
  <c r="D87" i="11"/>
  <c r="H86" i="11"/>
  <c r="D86" i="11"/>
  <c r="H85" i="11"/>
  <c r="D85" i="11"/>
  <c r="H84" i="11"/>
  <c r="D84" i="11"/>
  <c r="H83" i="11"/>
  <c r="D83" i="11"/>
  <c r="H82" i="11"/>
  <c r="D82" i="11"/>
  <c r="H81" i="11"/>
  <c r="D81" i="11"/>
  <c r="H80" i="11"/>
  <c r="D80" i="11"/>
  <c r="H79" i="11"/>
  <c r="D79" i="11"/>
  <c r="H78" i="11"/>
  <c r="D78" i="11"/>
  <c r="H77" i="11"/>
  <c r="D77" i="11"/>
  <c r="H76" i="11"/>
  <c r="D76" i="11"/>
  <c r="H75" i="11"/>
  <c r="D75" i="11"/>
  <c r="H74" i="11"/>
  <c r="D74" i="11"/>
  <c r="H73" i="11"/>
  <c r="D73" i="11"/>
  <c r="H72" i="11"/>
  <c r="D72" i="11"/>
  <c r="H71" i="11"/>
  <c r="D71" i="11"/>
  <c r="H70" i="11"/>
  <c r="D70" i="11"/>
  <c r="H69" i="11"/>
  <c r="D69" i="11"/>
  <c r="H68" i="11"/>
  <c r="D68" i="11"/>
  <c r="H67" i="11"/>
  <c r="D67" i="11"/>
  <c r="H66" i="11"/>
  <c r="D66" i="11"/>
  <c r="H65" i="11"/>
  <c r="D65" i="11"/>
  <c r="H64" i="11"/>
  <c r="D64" i="11"/>
  <c r="H63" i="11"/>
  <c r="D63" i="11"/>
  <c r="H62" i="11"/>
  <c r="D62" i="11"/>
  <c r="H61" i="11"/>
  <c r="D61" i="11"/>
  <c r="H60" i="11"/>
  <c r="D60" i="11"/>
  <c r="H59" i="11"/>
  <c r="D59" i="11"/>
  <c r="H58" i="11"/>
  <c r="D58" i="11"/>
  <c r="H57" i="11"/>
  <c r="D57" i="11"/>
  <c r="H56" i="11"/>
  <c r="D56" i="11"/>
  <c r="H55" i="11"/>
  <c r="D55" i="11"/>
  <c r="H54" i="11"/>
  <c r="D54" i="11"/>
  <c r="H53" i="11"/>
  <c r="D53" i="11"/>
  <c r="H52" i="11"/>
  <c r="D52" i="11"/>
  <c r="H51" i="11"/>
  <c r="D51" i="11"/>
  <c r="H50" i="11"/>
  <c r="D50" i="11"/>
  <c r="H49" i="11"/>
  <c r="D49" i="11"/>
  <c r="H48" i="11"/>
  <c r="D48" i="11"/>
  <c r="H47" i="11"/>
  <c r="D47" i="11"/>
  <c r="H46" i="11"/>
  <c r="D46" i="11"/>
  <c r="H45" i="11"/>
  <c r="D45" i="11"/>
  <c r="H44" i="11"/>
  <c r="D44" i="11"/>
  <c r="H43" i="11"/>
  <c r="D43" i="11"/>
  <c r="H42" i="11"/>
  <c r="D42" i="11"/>
  <c r="H41" i="11"/>
  <c r="D41" i="11"/>
  <c r="H40" i="11"/>
  <c r="D40" i="11"/>
  <c r="H39" i="11"/>
  <c r="D39" i="11"/>
  <c r="H38" i="11"/>
  <c r="D38" i="11"/>
  <c r="H37" i="11"/>
  <c r="D37" i="11"/>
  <c r="H36" i="11"/>
  <c r="D36" i="11"/>
  <c r="H35" i="11"/>
  <c r="D35" i="11"/>
  <c r="H34" i="11"/>
  <c r="D34" i="11"/>
  <c r="H33" i="11"/>
  <c r="D33" i="11"/>
  <c r="H32" i="11"/>
  <c r="D32" i="11"/>
  <c r="H31" i="11"/>
  <c r="D31" i="11"/>
  <c r="H30" i="11"/>
  <c r="D30" i="11"/>
  <c r="H29" i="11"/>
  <c r="D29" i="11"/>
  <c r="H28" i="11"/>
  <c r="D28" i="11"/>
  <c r="H27" i="11"/>
  <c r="D27" i="11"/>
  <c r="H26" i="11"/>
  <c r="D26" i="11"/>
  <c r="H25" i="11"/>
  <c r="D25" i="11"/>
  <c r="H24" i="11"/>
  <c r="D24" i="11"/>
  <c r="H23" i="11"/>
  <c r="D23" i="11"/>
  <c r="H22" i="11"/>
  <c r="D22" i="11"/>
  <c r="H21" i="11"/>
  <c r="D21" i="11"/>
  <c r="H20" i="11"/>
  <c r="D20" i="11"/>
  <c r="H19" i="11"/>
  <c r="D19" i="11"/>
  <c r="H18" i="11"/>
  <c r="D18" i="11"/>
  <c r="H17" i="11"/>
  <c r="D17" i="11"/>
  <c r="H16" i="11"/>
  <c r="D16" i="11"/>
  <c r="H15" i="11"/>
  <c r="D15" i="11"/>
  <c r="H14" i="11"/>
  <c r="D14" i="11"/>
  <c r="H13" i="11"/>
  <c r="D13" i="11"/>
  <c r="H12" i="11"/>
  <c r="D12" i="11"/>
  <c r="L11" i="11"/>
  <c r="H11" i="11"/>
  <c r="D11" i="11"/>
  <c r="H10" i="11"/>
  <c r="D10" i="11"/>
  <c r="H9" i="11"/>
  <c r="D9" i="11"/>
  <c r="L11" i="10"/>
  <c r="O11" i="10"/>
  <c r="L7" i="10" s="1"/>
  <c r="L13" i="10" s="1"/>
  <c r="N33" i="22" l="1"/>
  <c r="P33" i="22"/>
  <c r="O31" i="22"/>
  <c r="N31" i="22"/>
  <c r="F12" i="22"/>
  <c r="F13" i="22"/>
  <c r="H13" i="22" s="1"/>
  <c r="F9" i="22"/>
  <c r="F11" i="22"/>
  <c r="F14" i="22"/>
  <c r="F16" i="22"/>
  <c r="F15" i="22"/>
  <c r="F17" i="22"/>
  <c r="F18" i="22"/>
  <c r="F10" i="22"/>
  <c r="K12" i="21"/>
  <c r="I35" i="19"/>
  <c r="H33" i="19"/>
  <c r="H35" i="19" s="1"/>
  <c r="J35" i="19"/>
  <c r="F33" i="19"/>
  <c r="F35" i="19" s="1"/>
  <c r="G33" i="19"/>
  <c r="G35" i="19" s="1"/>
  <c r="H18" i="19"/>
  <c r="J12" i="19"/>
  <c r="I12" i="19"/>
  <c r="H12" i="19"/>
  <c r="F12" i="19"/>
  <c r="G12" i="19"/>
  <c r="I18" i="19"/>
  <c r="J18" i="19"/>
  <c r="F18" i="19"/>
  <c r="G18" i="19"/>
  <c r="H14" i="8"/>
  <c r="H13" i="8"/>
  <c r="H12" i="8"/>
  <c r="I12" i="8"/>
  <c r="I13" i="8"/>
  <c r="H15" i="8"/>
  <c r="O9" i="14"/>
  <c r="O8" i="14"/>
  <c r="O8" i="13"/>
  <c r="O9" i="13"/>
  <c r="O9" i="12"/>
  <c r="O9" i="11"/>
  <c r="O8" i="11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9" i="10"/>
  <c r="C35" i="8"/>
  <c r="D33" i="8" s="1"/>
  <c r="J19" i="8"/>
  <c r="J18" i="8"/>
  <c r="G19" i="8"/>
  <c r="G18" i="8"/>
  <c r="B2" i="6"/>
  <c r="L3" i="6"/>
  <c r="K3" i="6"/>
  <c r="J3" i="6"/>
  <c r="I3" i="6"/>
  <c r="H3" i="6"/>
  <c r="G3" i="6"/>
  <c r="F3" i="6"/>
  <c r="E3" i="6"/>
  <c r="D3" i="6"/>
  <c r="C3" i="6"/>
  <c r="C95" i="4"/>
  <c r="D58" i="4"/>
  <c r="E58" i="4"/>
  <c r="F58" i="4"/>
  <c r="G58" i="4"/>
  <c r="H58" i="4"/>
  <c r="I58" i="4"/>
  <c r="J58" i="4"/>
  <c r="K58" i="4"/>
  <c r="L58" i="4"/>
  <c r="M58" i="4"/>
  <c r="C58" i="4"/>
  <c r="D55" i="4"/>
  <c r="E55" i="4"/>
  <c r="F55" i="4"/>
  <c r="G55" i="4"/>
  <c r="H55" i="4"/>
  <c r="I55" i="4"/>
  <c r="J55" i="4"/>
  <c r="K55" i="4"/>
  <c r="L55" i="4"/>
  <c r="M55" i="4"/>
  <c r="D56" i="4"/>
  <c r="E56" i="4"/>
  <c r="F56" i="4"/>
  <c r="G56" i="4"/>
  <c r="H56" i="4"/>
  <c r="I56" i="4"/>
  <c r="J56" i="4"/>
  <c r="K56" i="4"/>
  <c r="L56" i="4"/>
  <c r="M56" i="4"/>
  <c r="D57" i="4"/>
  <c r="E57" i="4"/>
  <c r="F57" i="4"/>
  <c r="G57" i="4"/>
  <c r="H57" i="4"/>
  <c r="I57" i="4"/>
  <c r="J57" i="4"/>
  <c r="K57" i="4"/>
  <c r="L57" i="4"/>
  <c r="M57" i="4"/>
  <c r="D61" i="4"/>
  <c r="E61" i="4"/>
  <c r="F61" i="4"/>
  <c r="G61" i="4"/>
  <c r="H61" i="4"/>
  <c r="I61" i="4"/>
  <c r="J61" i="4"/>
  <c r="K61" i="4"/>
  <c r="L61" i="4"/>
  <c r="M61" i="4"/>
  <c r="D62" i="4"/>
  <c r="E62" i="4"/>
  <c r="F62" i="4"/>
  <c r="G62" i="4"/>
  <c r="H62" i="4"/>
  <c r="I62" i="4"/>
  <c r="J62" i="4"/>
  <c r="K62" i="4"/>
  <c r="L62" i="4"/>
  <c r="M62" i="4"/>
  <c r="D63" i="4"/>
  <c r="E63" i="4"/>
  <c r="F63" i="4"/>
  <c r="G63" i="4"/>
  <c r="H63" i="4"/>
  <c r="I63" i="4"/>
  <c r="J63" i="4"/>
  <c r="K63" i="4"/>
  <c r="L63" i="4"/>
  <c r="M63" i="4"/>
  <c r="C62" i="4"/>
  <c r="C63" i="4"/>
  <c r="C61" i="4"/>
  <c r="C56" i="4"/>
  <c r="C57" i="4"/>
  <c r="C55" i="4"/>
  <c r="D49" i="4"/>
  <c r="E49" i="4"/>
  <c r="F49" i="4"/>
  <c r="G49" i="4"/>
  <c r="H49" i="4"/>
  <c r="I49" i="4"/>
  <c r="J49" i="4"/>
  <c r="K49" i="4"/>
  <c r="L49" i="4"/>
  <c r="M49" i="4"/>
  <c r="D50" i="4"/>
  <c r="E50" i="4"/>
  <c r="F50" i="4"/>
  <c r="G50" i="4"/>
  <c r="H50" i="4"/>
  <c r="I50" i="4"/>
  <c r="J50" i="4"/>
  <c r="K50" i="4"/>
  <c r="L50" i="4"/>
  <c r="M50" i="4"/>
  <c r="D51" i="4"/>
  <c r="E51" i="4"/>
  <c r="F51" i="4"/>
  <c r="G51" i="4"/>
  <c r="H51" i="4"/>
  <c r="I51" i="4"/>
  <c r="J51" i="4"/>
  <c r="K51" i="4"/>
  <c r="L51" i="4"/>
  <c r="M51" i="4"/>
  <c r="D52" i="4"/>
  <c r="E52" i="4"/>
  <c r="F52" i="4"/>
  <c r="G52" i="4"/>
  <c r="H52" i="4"/>
  <c r="I52" i="4"/>
  <c r="J52" i="4"/>
  <c r="K52" i="4"/>
  <c r="L52" i="4"/>
  <c r="M52" i="4"/>
  <c r="C50" i="4"/>
  <c r="C51" i="4"/>
  <c r="C52" i="4"/>
  <c r="C49" i="4"/>
  <c r="M41" i="4"/>
  <c r="D41" i="4"/>
  <c r="E41" i="4"/>
  <c r="F41" i="4"/>
  <c r="G41" i="4"/>
  <c r="H41" i="4"/>
  <c r="I41" i="4"/>
  <c r="J41" i="4"/>
  <c r="K41" i="4"/>
  <c r="L41" i="4"/>
  <c r="C41" i="4"/>
  <c r="D36" i="4"/>
  <c r="E36" i="4"/>
  <c r="F36" i="4"/>
  <c r="G36" i="4"/>
  <c r="H36" i="4"/>
  <c r="I36" i="4"/>
  <c r="J36" i="4"/>
  <c r="K36" i="4"/>
  <c r="L36" i="4"/>
  <c r="M36" i="4" s="1"/>
  <c r="C36" i="4"/>
  <c r="M30" i="4"/>
  <c r="D30" i="4"/>
  <c r="E30" i="4"/>
  <c r="F30" i="4"/>
  <c r="G30" i="4"/>
  <c r="H30" i="4"/>
  <c r="I30" i="4"/>
  <c r="J30" i="4"/>
  <c r="K30" i="4"/>
  <c r="L30" i="4"/>
  <c r="C30" i="4"/>
  <c r="M21" i="4"/>
  <c r="M24" i="4"/>
  <c r="D21" i="4"/>
  <c r="E21" i="4"/>
  <c r="F21" i="4"/>
  <c r="G21" i="4"/>
  <c r="H21" i="4"/>
  <c r="I21" i="4"/>
  <c r="J21" i="4"/>
  <c r="K21" i="4"/>
  <c r="L21" i="4"/>
  <c r="D24" i="4"/>
  <c r="E24" i="4"/>
  <c r="F24" i="4"/>
  <c r="G24" i="4"/>
  <c r="H24" i="4"/>
  <c r="I24" i="4"/>
  <c r="J24" i="4"/>
  <c r="K24" i="4"/>
  <c r="L24" i="4"/>
  <c r="C24" i="4"/>
  <c r="C21" i="4"/>
  <c r="D15" i="4"/>
  <c r="E15" i="4"/>
  <c r="F15" i="4"/>
  <c r="G15" i="4"/>
  <c r="H15" i="4"/>
  <c r="I15" i="4"/>
  <c r="J15" i="4"/>
  <c r="K15" i="4"/>
  <c r="L15" i="4"/>
  <c r="C15" i="4"/>
  <c r="M15" i="4"/>
  <c r="F80" i="4" l="1"/>
  <c r="F41" i="6" s="1"/>
  <c r="M80" i="4"/>
  <c r="E80" i="4"/>
  <c r="L80" i="4"/>
  <c r="K80" i="4"/>
  <c r="J80" i="4"/>
  <c r="J108" i="4" s="1"/>
  <c r="I80" i="4"/>
  <c r="G80" i="4"/>
  <c r="D80" i="4"/>
  <c r="D41" i="6" s="1"/>
  <c r="H80" i="4"/>
  <c r="H41" i="6" s="1"/>
  <c r="J9" i="6"/>
  <c r="H9" i="6"/>
  <c r="G9" i="6"/>
  <c r="E9" i="6"/>
  <c r="F9" i="6"/>
  <c r="L9" i="6"/>
  <c r="E64" i="4"/>
  <c r="D9" i="6"/>
  <c r="K9" i="6"/>
  <c r="I9" i="6"/>
  <c r="J106" i="4"/>
  <c r="C106" i="4"/>
  <c r="M106" i="4"/>
  <c r="E106" i="4"/>
  <c r="F106" i="4"/>
  <c r="L106" i="4"/>
  <c r="D106" i="4"/>
  <c r="I106" i="4"/>
  <c r="H106" i="4"/>
  <c r="K106" i="4"/>
  <c r="G106" i="4"/>
  <c r="L41" i="6"/>
  <c r="C80" i="4"/>
  <c r="K41" i="6"/>
  <c r="H12" i="22"/>
  <c r="O12" i="22"/>
  <c r="P12" i="22"/>
  <c r="N12" i="22"/>
  <c r="H17" i="22"/>
  <c r="P17" i="22"/>
  <c r="N17" i="22"/>
  <c r="O17" i="22"/>
  <c r="H15" i="22"/>
  <c r="N15" i="22"/>
  <c r="P15" i="22"/>
  <c r="O15" i="22"/>
  <c r="H16" i="22"/>
  <c r="O16" i="22"/>
  <c r="P16" i="22"/>
  <c r="N16" i="22"/>
  <c r="H11" i="22"/>
  <c r="P11" i="22"/>
  <c r="N11" i="22"/>
  <c r="O11" i="22"/>
  <c r="H10" i="22"/>
  <c r="P10" i="22"/>
  <c r="N10" i="22"/>
  <c r="O10" i="22"/>
  <c r="H9" i="22"/>
  <c r="P9" i="22"/>
  <c r="O9" i="22"/>
  <c r="N9" i="22"/>
  <c r="H14" i="22"/>
  <c r="N14" i="22"/>
  <c r="O14" i="22"/>
  <c r="P14" i="22"/>
  <c r="H18" i="22"/>
  <c r="P18" i="22"/>
  <c r="N18" i="22"/>
  <c r="O18" i="22"/>
  <c r="N13" i="22"/>
  <c r="O13" i="22"/>
  <c r="P13" i="22"/>
  <c r="J20" i="19"/>
  <c r="I20" i="19"/>
  <c r="H20" i="19"/>
  <c r="G20" i="19"/>
  <c r="F20" i="19"/>
  <c r="F37" i="19" s="1"/>
  <c r="D34" i="8"/>
  <c r="K34" i="8"/>
  <c r="E25" i="8"/>
  <c r="E26" i="8" s="1"/>
  <c r="D37" i="8"/>
  <c r="D35" i="8"/>
  <c r="K15" i="8"/>
  <c r="O8" i="10"/>
  <c r="O9" i="10"/>
  <c r="I11" i="8"/>
  <c r="K13" i="8"/>
  <c r="K14" i="8"/>
  <c r="K12" i="8"/>
  <c r="H11" i="8"/>
  <c r="C64" i="4"/>
  <c r="M64" i="4"/>
  <c r="J53" i="4"/>
  <c r="D64" i="4"/>
  <c r="J59" i="4"/>
  <c r="H53" i="4"/>
  <c r="I53" i="4"/>
  <c r="E59" i="4"/>
  <c r="L64" i="4"/>
  <c r="C53" i="4"/>
  <c r="G53" i="4"/>
  <c r="K64" i="4"/>
  <c r="G59" i="4"/>
  <c r="I59" i="4"/>
  <c r="F53" i="4"/>
  <c r="J64" i="4"/>
  <c r="H59" i="4"/>
  <c r="M53" i="4"/>
  <c r="E53" i="4"/>
  <c r="I64" i="4"/>
  <c r="L53" i="4"/>
  <c r="D53" i="4"/>
  <c r="F64" i="4"/>
  <c r="H64" i="4"/>
  <c r="F59" i="4"/>
  <c r="K53" i="4"/>
  <c r="G64" i="4"/>
  <c r="K59" i="4"/>
  <c r="K66" i="4" s="1"/>
  <c r="C59" i="4"/>
  <c r="M59" i="4"/>
  <c r="L59" i="4"/>
  <c r="D59" i="4"/>
  <c r="J41" i="6" l="1"/>
  <c r="J66" i="4"/>
  <c r="J40" i="6" s="1"/>
  <c r="E66" i="4"/>
  <c r="E68" i="4" s="1"/>
  <c r="O9" i="6"/>
  <c r="M66" i="4"/>
  <c r="M68" i="4" s="1"/>
  <c r="C66" i="4"/>
  <c r="C68" i="4" s="1"/>
  <c r="N9" i="6"/>
  <c r="D66" i="4"/>
  <c r="D68" i="4" s="1"/>
  <c r="J68" i="4"/>
  <c r="E41" i="6"/>
  <c r="I41" i="6"/>
  <c r="C41" i="6"/>
  <c r="K40" i="6"/>
  <c r="G41" i="6"/>
  <c r="N21" i="22"/>
  <c r="N25" i="22" s="1"/>
  <c r="N26" i="22"/>
  <c r="N24" i="22"/>
  <c r="N30" i="22" s="1"/>
  <c r="N32" i="22" s="1"/>
  <c r="N34" i="22" s="1"/>
  <c r="N37" i="22" s="1"/>
  <c r="N23" i="22"/>
  <c r="N22" i="22"/>
  <c r="O22" i="22"/>
  <c r="O26" i="22"/>
  <c r="O23" i="22"/>
  <c r="O24" i="22"/>
  <c r="O30" i="22" s="1"/>
  <c r="O32" i="22" s="1"/>
  <c r="O34" i="22" s="1"/>
  <c r="O37" i="22" s="1"/>
  <c r="O21" i="22"/>
  <c r="O25" i="22" s="1"/>
  <c r="P21" i="22"/>
  <c r="P25" i="22" s="1"/>
  <c r="P22" i="22"/>
  <c r="P26" i="22"/>
  <c r="P23" i="22"/>
  <c r="P24" i="22"/>
  <c r="P32" i="22" s="1"/>
  <c r="I37" i="19"/>
  <c r="I45" i="19"/>
  <c r="I51" i="19" s="1"/>
  <c r="G37" i="19"/>
  <c r="G45" i="19"/>
  <c r="G51" i="19" s="1"/>
  <c r="H37" i="19"/>
  <c r="H45" i="19"/>
  <c r="H51" i="19" s="1"/>
  <c r="J37" i="19"/>
  <c r="J45" i="19"/>
  <c r="J51" i="19" s="1"/>
  <c r="I19" i="8"/>
  <c r="H18" i="8"/>
  <c r="K11" i="8"/>
  <c r="K19" i="8" s="1"/>
  <c r="H19" i="8"/>
  <c r="I18" i="8"/>
  <c r="E33" i="8" s="1"/>
  <c r="G66" i="4"/>
  <c r="G40" i="6" s="1"/>
  <c r="K68" i="4"/>
  <c r="I66" i="4"/>
  <c r="L66" i="4"/>
  <c r="H66" i="4"/>
  <c r="F66" i="4"/>
  <c r="E40" i="6" l="1"/>
  <c r="C40" i="6"/>
  <c r="O41" i="6"/>
  <c r="G68" i="4"/>
  <c r="D40" i="6"/>
  <c r="N41" i="6"/>
  <c r="P30" i="22"/>
  <c r="P34" i="22"/>
  <c r="P37" i="22" s="1"/>
  <c r="E34" i="8"/>
  <c r="K32" i="8"/>
  <c r="K18" i="8"/>
  <c r="L68" i="4"/>
  <c r="L40" i="6"/>
  <c r="I68" i="4"/>
  <c r="I40" i="6"/>
  <c r="F68" i="4"/>
  <c r="F40" i="6"/>
  <c r="H68" i="4"/>
  <c r="H40" i="6"/>
  <c r="M9" i="4"/>
  <c r="D9" i="4"/>
  <c r="E9" i="4"/>
  <c r="F9" i="4"/>
  <c r="G9" i="4"/>
  <c r="H9" i="4"/>
  <c r="I9" i="4"/>
  <c r="J9" i="4"/>
  <c r="K9" i="4"/>
  <c r="L9" i="4"/>
  <c r="C9" i="4"/>
  <c r="M6" i="4"/>
  <c r="D6" i="4"/>
  <c r="E6" i="4"/>
  <c r="F6" i="4"/>
  <c r="G6" i="4"/>
  <c r="H6" i="4"/>
  <c r="I6" i="4"/>
  <c r="K6" i="4"/>
  <c r="L6" i="4"/>
  <c r="C6" i="4"/>
  <c r="B2" i="4"/>
  <c r="L3" i="4"/>
  <c r="D3" i="4"/>
  <c r="E3" i="4"/>
  <c r="F3" i="4"/>
  <c r="G3" i="4"/>
  <c r="H3" i="4"/>
  <c r="I3" i="4"/>
  <c r="J3" i="4"/>
  <c r="K3" i="4"/>
  <c r="C3" i="4"/>
  <c r="B6" i="2"/>
  <c r="E1" i="2"/>
  <c r="N40" i="6" l="1"/>
  <c r="E37" i="8"/>
  <c r="K35" i="8" s="1"/>
  <c r="K26" i="8" s="1"/>
  <c r="K27" i="8" s="1"/>
  <c r="K39" i="8" s="1"/>
  <c r="K45" i="8" s="1"/>
  <c r="E19" i="21" s="1"/>
  <c r="L28" i="6"/>
  <c r="L35" i="6" s="1"/>
  <c r="L30" i="6"/>
  <c r="L27" i="6"/>
  <c r="L34" i="6" s="1"/>
  <c r="L31" i="6"/>
  <c r="L29" i="6"/>
  <c r="L36" i="6" s="1"/>
  <c r="L39" i="6"/>
  <c r="D28" i="6"/>
  <c r="D30" i="6"/>
  <c r="D27" i="6"/>
  <c r="D34" i="6" s="1"/>
  <c r="D31" i="6"/>
  <c r="D29" i="6"/>
  <c r="D36" i="6" s="1"/>
  <c r="D39" i="6"/>
  <c r="K28" i="6"/>
  <c r="K35" i="6" s="1"/>
  <c r="K30" i="6"/>
  <c r="K27" i="6"/>
  <c r="K34" i="6" s="1"/>
  <c r="K31" i="6"/>
  <c r="K29" i="6"/>
  <c r="K36" i="6" s="1"/>
  <c r="K39" i="6"/>
  <c r="F29" i="6"/>
  <c r="F36" i="6" s="1"/>
  <c r="F28" i="6"/>
  <c r="F35" i="6" s="1"/>
  <c r="F30" i="6"/>
  <c r="F27" i="6"/>
  <c r="F34" i="6" s="1"/>
  <c r="F31" i="6"/>
  <c r="F39" i="6"/>
  <c r="J30" i="6"/>
  <c r="J27" i="6"/>
  <c r="J34" i="6" s="1"/>
  <c r="J31" i="6"/>
  <c r="J29" i="6"/>
  <c r="J36" i="6" s="1"/>
  <c r="J28" i="6"/>
  <c r="J35" i="6" s="1"/>
  <c r="J39" i="6"/>
  <c r="H31" i="6"/>
  <c r="H29" i="6"/>
  <c r="H36" i="6" s="1"/>
  <c r="H28" i="6"/>
  <c r="H35" i="6" s="1"/>
  <c r="H30" i="6"/>
  <c r="H27" i="6"/>
  <c r="H34" i="6" s="1"/>
  <c r="H39" i="6"/>
  <c r="C29" i="6"/>
  <c r="C28" i="6"/>
  <c r="C27" i="6"/>
  <c r="C31" i="6"/>
  <c r="C30" i="6"/>
  <c r="E29" i="6"/>
  <c r="E36" i="6" s="1"/>
  <c r="E28" i="6"/>
  <c r="E35" i="6" s="1"/>
  <c r="E30" i="6"/>
  <c r="E27" i="6"/>
  <c r="E34" i="6" s="1"/>
  <c r="E31" i="6"/>
  <c r="E39" i="6"/>
  <c r="I30" i="6"/>
  <c r="I27" i="6"/>
  <c r="I34" i="6" s="1"/>
  <c r="I31" i="6"/>
  <c r="I29" i="6"/>
  <c r="I36" i="6" s="1"/>
  <c r="I28" i="6"/>
  <c r="I35" i="6" s="1"/>
  <c r="I39" i="6"/>
  <c r="G30" i="6"/>
  <c r="G29" i="6"/>
  <c r="G36" i="6" s="1"/>
  <c r="G28" i="6"/>
  <c r="G35" i="6" s="1"/>
  <c r="G27" i="6"/>
  <c r="G34" i="6" s="1"/>
  <c r="G31" i="6"/>
  <c r="G39" i="6"/>
  <c r="O40" i="6"/>
  <c r="H7" i="4"/>
  <c r="H5" i="6" s="1"/>
  <c r="E7" i="4"/>
  <c r="E5" i="6" s="1"/>
  <c r="H10" i="4"/>
  <c r="F10" i="4"/>
  <c r="I7" i="4"/>
  <c r="I5" i="6" s="1"/>
  <c r="L10" i="4"/>
  <c r="C10" i="4"/>
  <c r="D10" i="4"/>
  <c r="K10" i="4"/>
  <c r="M10" i="4"/>
  <c r="G10" i="4"/>
  <c r="E10" i="4"/>
  <c r="G7" i="4"/>
  <c r="G5" i="6" s="1"/>
  <c r="J10" i="4"/>
  <c r="I10" i="4"/>
  <c r="L25" i="4"/>
  <c r="L18" i="6" s="1"/>
  <c r="L16" i="4"/>
  <c r="L17" i="6" s="1"/>
  <c r="L22" i="4"/>
  <c r="D25" i="4"/>
  <c r="D18" i="6" s="1"/>
  <c r="D16" i="4"/>
  <c r="D17" i="6" s="1"/>
  <c r="D22" i="4"/>
  <c r="L12" i="4"/>
  <c r="D12" i="4"/>
  <c r="K25" i="4"/>
  <c r="K18" i="6" s="1"/>
  <c r="K16" i="4"/>
  <c r="K17" i="6" s="1"/>
  <c r="K22" i="4"/>
  <c r="M16" i="4"/>
  <c r="M25" i="4"/>
  <c r="M22" i="4"/>
  <c r="K12" i="4"/>
  <c r="D7" i="4"/>
  <c r="D5" i="6" s="1"/>
  <c r="I16" i="4"/>
  <c r="I17" i="6" s="1"/>
  <c r="I22" i="4"/>
  <c r="I25" i="4"/>
  <c r="I18" i="6" s="1"/>
  <c r="M7" i="4"/>
  <c r="I12" i="4"/>
  <c r="M12" i="4"/>
  <c r="C12" i="4"/>
  <c r="C16" i="4"/>
  <c r="C17" i="6" s="1"/>
  <c r="C22" i="4"/>
  <c r="C25" i="4"/>
  <c r="C18" i="6" s="1"/>
  <c r="H16" i="4"/>
  <c r="H17" i="6" s="1"/>
  <c r="H22" i="4"/>
  <c r="H25" i="4"/>
  <c r="H18" i="6" s="1"/>
  <c r="L7" i="4"/>
  <c r="L5" i="6" s="1"/>
  <c r="H12" i="4"/>
  <c r="E16" i="4"/>
  <c r="E17" i="6" s="1"/>
  <c r="E22" i="4"/>
  <c r="E25" i="4"/>
  <c r="E18" i="6" s="1"/>
  <c r="G22" i="4"/>
  <c r="G25" i="4"/>
  <c r="G18" i="6" s="1"/>
  <c r="G16" i="4"/>
  <c r="G17" i="6" s="1"/>
  <c r="K7" i="4"/>
  <c r="K5" i="6" s="1"/>
  <c r="G12" i="4"/>
  <c r="E12" i="4"/>
  <c r="J16" i="4"/>
  <c r="J17" i="6" s="1"/>
  <c r="J25" i="4"/>
  <c r="J18" i="6" s="1"/>
  <c r="J22" i="4"/>
  <c r="F7" i="4"/>
  <c r="F5" i="6" s="1"/>
  <c r="J12" i="4"/>
  <c r="F22" i="4"/>
  <c r="F16" i="4"/>
  <c r="F17" i="6" s="1"/>
  <c r="F25" i="4"/>
  <c r="F18" i="6" s="1"/>
  <c r="J7" i="4"/>
  <c r="J5" i="6" s="1"/>
  <c r="F12" i="4"/>
  <c r="H13" i="21" l="1"/>
  <c r="J13" i="21"/>
  <c r="I13" i="21"/>
  <c r="G13" i="21"/>
  <c r="E25" i="21"/>
  <c r="K13" i="21"/>
  <c r="F37" i="6"/>
  <c r="I37" i="6"/>
  <c r="J37" i="6"/>
  <c r="N18" i="6"/>
  <c r="O18" i="6"/>
  <c r="O28" i="6"/>
  <c r="C35" i="6"/>
  <c r="N29" i="6"/>
  <c r="O29" i="6"/>
  <c r="C36" i="6"/>
  <c r="O30" i="6"/>
  <c r="K37" i="6"/>
  <c r="O31" i="6"/>
  <c r="N31" i="6"/>
  <c r="N17" i="6"/>
  <c r="O17" i="6"/>
  <c r="N5" i="6"/>
  <c r="O5" i="6"/>
  <c r="E37" i="6"/>
  <c r="O39" i="6"/>
  <c r="G37" i="6"/>
  <c r="N39" i="6"/>
  <c r="O27" i="6"/>
  <c r="C34" i="6"/>
  <c r="N27" i="6"/>
  <c r="N28" i="6"/>
  <c r="D35" i="6"/>
  <c r="H37" i="6"/>
  <c r="N30" i="6"/>
  <c r="L37" i="6"/>
  <c r="D18" i="4"/>
  <c r="D13" i="4"/>
  <c r="D11" i="6" s="1"/>
  <c r="G18" i="4"/>
  <c r="G13" i="4"/>
  <c r="G11" i="6" s="1"/>
  <c r="H18" i="4"/>
  <c r="F38" i="19" s="1"/>
  <c r="H13" i="4"/>
  <c r="H11" i="6" s="1"/>
  <c r="C18" i="4"/>
  <c r="C13" i="4"/>
  <c r="C11" i="6" s="1"/>
  <c r="K18" i="4"/>
  <c r="I38" i="19" s="1"/>
  <c r="K13" i="4"/>
  <c r="K11" i="6" s="1"/>
  <c r="L18" i="4"/>
  <c r="J38" i="19" s="1"/>
  <c r="L13" i="4"/>
  <c r="L11" i="6" s="1"/>
  <c r="M18" i="4"/>
  <c r="M13" i="4"/>
  <c r="E18" i="4"/>
  <c r="E13" i="4"/>
  <c r="E11" i="6" s="1"/>
  <c r="J18" i="4"/>
  <c r="J13" i="4"/>
  <c r="J11" i="6" s="1"/>
  <c r="I18" i="4"/>
  <c r="G38" i="19" s="1"/>
  <c r="I13" i="4"/>
  <c r="I11" i="6" s="1"/>
  <c r="F18" i="4"/>
  <c r="F13" i="4"/>
  <c r="F11" i="6" s="1"/>
  <c r="H38" i="19" l="1"/>
  <c r="H47" i="19" s="1"/>
  <c r="H49" i="19" s="1"/>
  <c r="H53" i="19" s="1"/>
  <c r="H60" i="19" s="1"/>
  <c r="J6" i="6"/>
  <c r="G47" i="19"/>
  <c r="G49" i="19" s="1"/>
  <c r="G53" i="19" s="1"/>
  <c r="G40" i="19"/>
  <c r="G61" i="19" s="1"/>
  <c r="J47" i="19"/>
  <c r="J49" i="19" s="1"/>
  <c r="J53" i="19" s="1"/>
  <c r="J60" i="19" s="1"/>
  <c r="J40" i="19"/>
  <c r="J61" i="19" s="1"/>
  <c r="F47" i="19"/>
  <c r="F49" i="19" s="1"/>
  <c r="F40" i="19"/>
  <c r="H40" i="19"/>
  <c r="H61" i="19" s="1"/>
  <c r="I47" i="19"/>
  <c r="I49" i="19" s="1"/>
  <c r="I53" i="19" s="1"/>
  <c r="I60" i="19" s="1"/>
  <c r="I40" i="19"/>
  <c r="I61" i="19" s="1"/>
  <c r="H25" i="6"/>
  <c r="H13" i="6"/>
  <c r="H19" i="6" s="1"/>
  <c r="H6" i="6"/>
  <c r="H21" i="6"/>
  <c r="I25" i="6"/>
  <c r="I13" i="6"/>
  <c r="I19" i="6" s="1"/>
  <c r="I6" i="6"/>
  <c r="I21" i="6"/>
  <c r="J25" i="6"/>
  <c r="J13" i="6"/>
  <c r="J19" i="6" s="1"/>
  <c r="J21" i="6"/>
  <c r="K21" i="6"/>
  <c r="K6" i="6"/>
  <c r="K25" i="6"/>
  <c r="K13" i="6"/>
  <c r="K19" i="6" s="1"/>
  <c r="D6" i="6"/>
  <c r="D21" i="6"/>
  <c r="D25" i="6"/>
  <c r="D13" i="6"/>
  <c r="D19" i="6" s="1"/>
  <c r="O35" i="6"/>
  <c r="F6" i="6"/>
  <c r="F21" i="6"/>
  <c r="F25" i="6"/>
  <c r="F13" i="6"/>
  <c r="F19" i="6" s="1"/>
  <c r="N35" i="6"/>
  <c r="D37" i="6"/>
  <c r="G25" i="6"/>
  <c r="G13" i="6"/>
  <c r="G19" i="6" s="1"/>
  <c r="G6" i="6"/>
  <c r="G21" i="6"/>
  <c r="N11" i="6"/>
  <c r="L21" i="6"/>
  <c r="L25" i="6"/>
  <c r="L13" i="6"/>
  <c r="L19" i="6" s="1"/>
  <c r="L6" i="6"/>
  <c r="O11" i="6"/>
  <c r="N34" i="6"/>
  <c r="O34" i="6"/>
  <c r="E6" i="6"/>
  <c r="E25" i="6"/>
  <c r="E13" i="6"/>
  <c r="E19" i="6" s="1"/>
  <c r="E21" i="6"/>
  <c r="C21" i="6"/>
  <c r="C13" i="6"/>
  <c r="C25" i="6"/>
  <c r="C37" i="6"/>
  <c r="N36" i="6"/>
  <c r="O36" i="6"/>
  <c r="E19" i="4"/>
  <c r="E12" i="6" s="1"/>
  <c r="E27" i="4"/>
  <c r="F19" i="4"/>
  <c r="F12" i="6" s="1"/>
  <c r="F27" i="4"/>
  <c r="M19" i="4"/>
  <c r="M27" i="4"/>
  <c r="M31" i="4" s="1"/>
  <c r="H19" i="4"/>
  <c r="H12" i="6" s="1"/>
  <c r="H27" i="4"/>
  <c r="C19" i="4"/>
  <c r="C12" i="6" s="1"/>
  <c r="C27" i="4"/>
  <c r="C31" i="4" s="1"/>
  <c r="G19" i="4"/>
  <c r="G12" i="6" s="1"/>
  <c r="G27" i="4"/>
  <c r="I19" i="4"/>
  <c r="I12" i="6" s="1"/>
  <c r="I27" i="4"/>
  <c r="L19" i="4"/>
  <c r="L12" i="6" s="1"/>
  <c r="L27" i="4"/>
  <c r="J19" i="4"/>
  <c r="J12" i="6" s="1"/>
  <c r="J27" i="4"/>
  <c r="K19" i="4"/>
  <c r="K12" i="6" s="1"/>
  <c r="K27" i="4"/>
  <c r="D19" i="4"/>
  <c r="D12" i="6" s="1"/>
  <c r="D27" i="4"/>
  <c r="H63" i="19" l="1"/>
  <c r="J63" i="19"/>
  <c r="I63" i="19"/>
  <c r="G60" i="19"/>
  <c r="G63" i="19" s="1"/>
  <c r="J56" i="19"/>
  <c r="F10" i="21" s="1"/>
  <c r="J55" i="19"/>
  <c r="I31" i="4"/>
  <c r="I7" i="6"/>
  <c r="N25" i="6"/>
  <c r="N6" i="6"/>
  <c r="K31" i="4"/>
  <c r="K7" i="6"/>
  <c r="G31" i="4"/>
  <c r="G7" i="6"/>
  <c r="F31" i="4"/>
  <c r="F7" i="6"/>
  <c r="C19" i="6"/>
  <c r="O13" i="6"/>
  <c r="N13" i="6"/>
  <c r="N21" i="6"/>
  <c r="O21" i="6"/>
  <c r="O12" i="6"/>
  <c r="D31" i="4"/>
  <c r="D7" i="6"/>
  <c r="N37" i="6"/>
  <c r="O37" i="6"/>
  <c r="J31" i="4"/>
  <c r="J7" i="6"/>
  <c r="E31" i="4"/>
  <c r="E7" i="6"/>
  <c r="O25" i="6"/>
  <c r="N12" i="6"/>
  <c r="L31" i="4"/>
  <c r="L7" i="6"/>
  <c r="H31" i="4"/>
  <c r="H7" i="6"/>
  <c r="O6" i="6"/>
  <c r="L33" i="4"/>
  <c r="L28" i="4"/>
  <c r="L14" i="6" s="1"/>
  <c r="M33" i="4"/>
  <c r="M28" i="4"/>
  <c r="H33" i="4"/>
  <c r="H28" i="4"/>
  <c r="H14" i="6" s="1"/>
  <c r="D33" i="4"/>
  <c r="D28" i="4"/>
  <c r="D14" i="6" s="1"/>
  <c r="I28" i="4"/>
  <c r="I14" i="6" s="1"/>
  <c r="K28" i="4"/>
  <c r="K14" i="6" s="1"/>
  <c r="F33" i="4"/>
  <c r="F28" i="4"/>
  <c r="F14" i="6" s="1"/>
  <c r="G33" i="4"/>
  <c r="G28" i="4"/>
  <c r="G14" i="6" s="1"/>
  <c r="C33" i="4"/>
  <c r="C23" i="6" s="1"/>
  <c r="C28" i="4"/>
  <c r="C14" i="6" s="1"/>
  <c r="J28" i="4"/>
  <c r="J14" i="6" s="1"/>
  <c r="E33" i="4"/>
  <c r="E28" i="4"/>
  <c r="E14" i="6" s="1"/>
  <c r="J65" i="19" l="1"/>
  <c r="J66" i="19"/>
  <c r="E17" i="21" s="1"/>
  <c r="G7" i="21" s="1"/>
  <c r="G10" i="21"/>
  <c r="H10" i="21" s="1"/>
  <c r="I10" i="21" s="1"/>
  <c r="J10" i="21" s="1"/>
  <c r="F11" i="21"/>
  <c r="G8" i="6"/>
  <c r="G23" i="6"/>
  <c r="N14" i="6"/>
  <c r="L8" i="6"/>
  <c r="L23" i="6"/>
  <c r="D8" i="6"/>
  <c r="D23" i="6"/>
  <c r="E23" i="6"/>
  <c r="E8" i="6"/>
  <c r="F23" i="6"/>
  <c r="F8" i="6"/>
  <c r="H8" i="6"/>
  <c r="H23" i="6"/>
  <c r="I8" i="6"/>
  <c r="I23" i="6"/>
  <c r="N7" i="6"/>
  <c r="J8" i="6"/>
  <c r="J23" i="6"/>
  <c r="N19" i="6"/>
  <c r="O19" i="6"/>
  <c r="K8" i="6"/>
  <c r="K23" i="6"/>
  <c r="O7" i="6"/>
  <c r="O14" i="6"/>
  <c r="G34" i="4"/>
  <c r="G15" i="6" s="1"/>
  <c r="G38" i="4"/>
  <c r="D34" i="4"/>
  <c r="D15" i="6" s="1"/>
  <c r="D38" i="4"/>
  <c r="F34" i="4"/>
  <c r="F15" i="6" s="1"/>
  <c r="F38" i="4"/>
  <c r="J34" i="4"/>
  <c r="J15" i="6" s="1"/>
  <c r="J38" i="4"/>
  <c r="H34" i="4"/>
  <c r="H15" i="6" s="1"/>
  <c r="H38" i="4"/>
  <c r="K34" i="4"/>
  <c r="K15" i="6" s="1"/>
  <c r="K38" i="4"/>
  <c r="M34" i="4"/>
  <c r="M38" i="4"/>
  <c r="E34" i="4"/>
  <c r="E15" i="6" s="1"/>
  <c r="E38" i="4"/>
  <c r="C34" i="4"/>
  <c r="C15" i="6" s="1"/>
  <c r="C38" i="4"/>
  <c r="I34" i="4"/>
  <c r="I15" i="6" s="1"/>
  <c r="I38" i="4"/>
  <c r="L34" i="4"/>
  <c r="L15" i="6" s="1"/>
  <c r="L38" i="4"/>
  <c r="O23" i="6" l="1"/>
  <c r="N5" i="24" a="1"/>
  <c r="G9" i="21"/>
  <c r="G11" i="21" s="1"/>
  <c r="G15" i="21" s="1"/>
  <c r="H7" i="21"/>
  <c r="N8" i="6"/>
  <c r="O8" i="6"/>
  <c r="N23" i="6"/>
  <c r="N15" i="6"/>
  <c r="O15" i="6"/>
  <c r="L39" i="4"/>
  <c r="L42" i="4"/>
  <c r="L44" i="4" s="1"/>
  <c r="L22" i="6" s="1"/>
  <c r="L24" i="6" s="1"/>
  <c r="M39" i="4"/>
  <c r="M42" i="4"/>
  <c r="M44" i="4" s="1"/>
  <c r="F39" i="4"/>
  <c r="F42" i="4"/>
  <c r="F44" i="4" s="1"/>
  <c r="F22" i="6" s="1"/>
  <c r="F24" i="6" s="1"/>
  <c r="J42" i="4"/>
  <c r="J44" i="4" s="1"/>
  <c r="J22" i="6" s="1"/>
  <c r="J24" i="6" s="1"/>
  <c r="J39" i="4"/>
  <c r="K39" i="4"/>
  <c r="K42" i="4"/>
  <c r="K44" i="4" s="1"/>
  <c r="K22" i="6" s="1"/>
  <c r="K24" i="6" s="1"/>
  <c r="G39" i="4"/>
  <c r="G42" i="4"/>
  <c r="G44" i="4" s="1"/>
  <c r="G22" i="6" s="1"/>
  <c r="G24" i="6" s="1"/>
  <c r="E39" i="4"/>
  <c r="E42" i="4"/>
  <c r="E44" i="4" s="1"/>
  <c r="E22" i="6" s="1"/>
  <c r="E24" i="6" s="1"/>
  <c r="I42" i="4"/>
  <c r="I44" i="4" s="1"/>
  <c r="I22" i="6" s="1"/>
  <c r="I24" i="6" s="1"/>
  <c r="I39" i="4"/>
  <c r="D42" i="4"/>
  <c r="D44" i="4" s="1"/>
  <c r="D22" i="6" s="1"/>
  <c r="D24" i="6" s="1"/>
  <c r="D39" i="4"/>
  <c r="C42" i="4"/>
  <c r="C44" i="4" s="1"/>
  <c r="C22" i="6" s="1"/>
  <c r="H42" i="4"/>
  <c r="H44" i="4" s="1"/>
  <c r="H22" i="6" s="1"/>
  <c r="H24" i="6" s="1"/>
  <c r="H39" i="4"/>
  <c r="H9" i="21" l="1"/>
  <c r="H11" i="21" s="1"/>
  <c r="H15" i="21" s="1"/>
  <c r="I7" i="21"/>
  <c r="N5" i="24"/>
  <c r="N7" i="24"/>
  <c r="N14" i="24"/>
  <c r="N9" i="24"/>
  <c r="O9" i="24" s="1"/>
  <c r="N11" i="24"/>
  <c r="N6" i="24"/>
  <c r="N13" i="24"/>
  <c r="N12" i="24"/>
  <c r="N10" i="24"/>
  <c r="N8" i="24"/>
  <c r="N22" i="6"/>
  <c r="O22" i="6"/>
  <c r="C24" i="6"/>
  <c r="O11" i="24" l="1"/>
  <c r="O14" i="24"/>
  <c r="O6" i="24"/>
  <c r="O8" i="24"/>
  <c r="O7" i="24"/>
  <c r="N17" i="24"/>
  <c r="N18" i="24"/>
  <c r="N19" i="24"/>
  <c r="N16" i="24"/>
  <c r="N15" i="24"/>
  <c r="O15" i="24" s="1"/>
  <c r="O12" i="24"/>
  <c r="J7" i="21"/>
  <c r="I9" i="21"/>
  <c r="I11" i="21" s="1"/>
  <c r="I15" i="21" s="1"/>
  <c r="O10" i="24"/>
  <c r="O13" i="24"/>
  <c r="O24" i="6"/>
  <c r="N24" i="6"/>
  <c r="O19" i="24" l="1"/>
  <c r="O18" i="24"/>
  <c r="O17" i="24"/>
  <c r="O16" i="24"/>
  <c r="J9" i="21"/>
  <c r="J11" i="21" s="1"/>
  <c r="J15" i="21" s="1"/>
  <c r="K7" i="21"/>
  <c r="K9" i="21" s="1"/>
  <c r="K11" i="21" s="1"/>
  <c r="K15" i="21" l="1"/>
  <c r="E33" i="21" s="1"/>
  <c r="E24" i="21"/>
  <c r="E28" i="21" s="1"/>
  <c r="E34" i="21" s="1"/>
  <c r="E35" i="21" l="1"/>
  <c r="E39" i="21" s="1"/>
  <c r="E42" i="21" s="1"/>
  <c r="E45" i="21" s="1"/>
</calcChain>
</file>

<file path=xl/sharedStrings.xml><?xml version="1.0" encoding="utf-8"?>
<sst xmlns="http://schemas.openxmlformats.org/spreadsheetml/2006/main" count="723" uniqueCount="367">
  <si>
    <t>COMPANY NAME</t>
  </si>
  <si>
    <t>CIPLA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</si>
  <si>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</si>
  <si>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</si>
  <si>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</si>
  <si>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</si>
  <si>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</si>
  <si>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</si>
  <si>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</si>
  <si>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</si>
  <si>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</si>
  <si>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</si>
  <si>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</si>
  <si>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</si>
  <si>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</si>
  <si>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</si>
  <si>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</si>
  <si>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</si>
  <si>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</si>
  <si>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</si>
  <si>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</si>
  <si>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</si>
  <si>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</si>
  <si>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</si>
  <si>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</si>
  <si>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</si>
  <si>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</si>
  <si>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</si>
  <si>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</si>
  <si>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</si>
  <si>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</si>
  <si>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</si>
  <si>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</si>
  <si>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</si>
  <si>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</si>
  <si>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</si>
  <si>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</si>
  <si>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</si>
  <si>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</si>
  <si>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</si>
  <si>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</si>
  <si>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</si>
  <si>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</si>
  <si>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</si>
  <si>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</si>
  <si>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</si>
  <si>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</si>
  <si>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</si>
  <si>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</si>
  <si>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</si>
  <si>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</si>
  <si>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</si>
  <si>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</si>
  <si>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</si>
  <si>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</si>
  <si>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</si>
  <si>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</si>
  <si>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</si>
  <si>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</si>
  <si>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</si>
  <si>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</si>
  <si>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</si>
  <si>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</si>
  <si>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Gross Profit Margins</t>
  </si>
  <si>
    <t>Selling and General Expense</t>
  </si>
  <si>
    <t>SGA Exp. % Sales</t>
  </si>
  <si>
    <t>EBITDA</t>
  </si>
  <si>
    <t>EBITDA Margins</t>
  </si>
  <si>
    <t>Interest % Sales</t>
  </si>
  <si>
    <t>Depreciation % Sales</t>
  </si>
  <si>
    <t>Earning Before Tax</t>
  </si>
  <si>
    <t>EBT % sales</t>
  </si>
  <si>
    <t>Effective Tax Rate</t>
  </si>
  <si>
    <t>Net Profit</t>
  </si>
  <si>
    <t>Net Profit Margin</t>
  </si>
  <si>
    <t>Earning Per Share</t>
  </si>
  <si>
    <t>Dividend Per Share</t>
  </si>
  <si>
    <t>EPS Growth %</t>
  </si>
  <si>
    <t>Dividend Growth</t>
  </si>
  <si>
    <t>Dividend Payout Ratio</t>
  </si>
  <si>
    <t>Retained Earnings</t>
  </si>
  <si>
    <t>Balance Sheet</t>
  </si>
  <si>
    <t>Total Liabilities</t>
  </si>
  <si>
    <t>Total Non-Current Assets</t>
  </si>
  <si>
    <t>Total Current Assets</t>
  </si>
  <si>
    <t>Total Assets</t>
  </si>
  <si>
    <t>Check</t>
  </si>
  <si>
    <t>Cash from Operating Activity -</t>
  </si>
  <si>
    <t>Profit from operations</t>
  </si>
  <si>
    <t>Payables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</si>
  <si>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</si>
  <si>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</si>
  <si>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</si>
  <si>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</si>
  <si>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</si>
  <si>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</si>
  <si>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</si>
  <si>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</si>
  <si>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</si>
  <si>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Redemp n Canc of Shares</t>
  </si>
  <si>
    <t>Other investing items</t>
  </si>
  <si>
    <t>Cash from Financing Activity -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</si>
  <si>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</si>
  <si>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</si>
  <si>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</si>
  <si>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</si>
  <si>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</si>
  <si>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</si>
  <si>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Statement</t>
  </si>
  <si>
    <t>Cash From Operating Activities</t>
  </si>
  <si>
    <t>Investing Activities</t>
  </si>
  <si>
    <t>Cash Flow From Investing Activities</t>
  </si>
  <si>
    <t>Financing Activities</t>
  </si>
  <si>
    <t>Cash Flow From Financing Activities</t>
  </si>
  <si>
    <t>EBITDA Growth</t>
  </si>
  <si>
    <t>EBIT Growth</t>
  </si>
  <si>
    <t>Net Profit Growth</t>
  </si>
  <si>
    <t>Gross Margin</t>
  </si>
  <si>
    <t>EBITDA Margin</t>
  </si>
  <si>
    <t>EBIT Margin</t>
  </si>
  <si>
    <t>EBT Margin</t>
  </si>
  <si>
    <t>Sales Expense % Sales</t>
  </si>
  <si>
    <t>Operating Income % Sales</t>
  </si>
  <si>
    <t>Return on Capital Employed</t>
  </si>
  <si>
    <t>Retained Earning %</t>
  </si>
  <si>
    <t>Return on Equity %</t>
  </si>
  <si>
    <t>Self Sustained Growth Rate</t>
  </si>
  <si>
    <t>Interest Coverage Ratio</t>
  </si>
  <si>
    <t>Debtors Turnover Ratio</t>
  </si>
  <si>
    <t>Creditors Turnover Ratio</t>
  </si>
  <si>
    <t>Inventory Turnover Ratio</t>
  </si>
  <si>
    <t>Fixed Asset Turnover Ratio</t>
  </si>
  <si>
    <t>Capital Turnover Ratio</t>
  </si>
  <si>
    <t>(In Days)</t>
  </si>
  <si>
    <t>Debtors Days</t>
  </si>
  <si>
    <t>Payable Days</t>
  </si>
  <si>
    <t>Cash Coversation Cycle</t>
  </si>
  <si>
    <t>CFO/Sales</t>
  </si>
  <si>
    <t>CFO/Total Assets</t>
  </si>
  <si>
    <t>CFO/Total Debt</t>
  </si>
  <si>
    <t>Fixed Assets in Net Block</t>
  </si>
  <si>
    <t>Mean</t>
  </si>
  <si>
    <t>Median</t>
  </si>
  <si>
    <t>Trendlines</t>
  </si>
  <si>
    <t>Weighted Average Cost of Capital</t>
  </si>
  <si>
    <t>All figures are in INR. Unless Stated</t>
  </si>
  <si>
    <t>Peer Comps</t>
  </si>
  <si>
    <t>Name of the comp</t>
  </si>
  <si>
    <t>Country</t>
  </si>
  <si>
    <t>Total Debt</t>
  </si>
  <si>
    <t>Total Equity</t>
  </si>
  <si>
    <r>
      <t>Tax Rate</t>
    </r>
    <r>
      <rPr>
        <vertAlign val="superscript"/>
        <sz val="11"/>
        <color theme="1"/>
        <rFont val="Calibri"/>
        <family val="2"/>
      </rPr>
      <t xml:space="preserve"> 1</t>
    </r>
  </si>
  <si>
    <t>Debt/</t>
  </si>
  <si>
    <t>Equity</t>
  </si>
  <si>
    <t>Capital</t>
  </si>
  <si>
    <t xml:space="preserve">Levered </t>
  </si>
  <si>
    <t>Unleverd</t>
  </si>
  <si>
    <r>
      <t>Beta</t>
    </r>
    <r>
      <rPr>
        <vertAlign val="superscript"/>
        <sz val="11"/>
        <color theme="1"/>
        <rFont val="Calibri"/>
        <family val="2"/>
      </rPr>
      <t xml:space="preserve"> 2</t>
    </r>
  </si>
  <si>
    <r>
      <t xml:space="preserve">Beta </t>
    </r>
    <r>
      <rPr>
        <vertAlign val="superscript"/>
        <sz val="11"/>
        <color theme="1"/>
        <rFont val="Calibri"/>
        <family val="2"/>
      </rPr>
      <t>3</t>
    </r>
  </si>
  <si>
    <t>Sun Pharma.Inds.</t>
  </si>
  <si>
    <t>Divi's Lab.</t>
  </si>
  <si>
    <t>Dr Reddy's Labs</t>
  </si>
  <si>
    <t>Cipla</t>
  </si>
  <si>
    <t>Torrent Pharma.</t>
  </si>
  <si>
    <t>Zydus Lifesci.</t>
  </si>
  <si>
    <t>Abbott India</t>
  </si>
  <si>
    <t>Alkem Lab</t>
  </si>
  <si>
    <t>Aurobindo Pharma</t>
  </si>
  <si>
    <t>Lupin</t>
  </si>
  <si>
    <t>S.No.</t>
  </si>
  <si>
    <t>Name</t>
  </si>
  <si>
    <t>CMP Rs.</t>
  </si>
  <si>
    <t>No. Eq. Shares Cr.</t>
  </si>
  <si>
    <t>Debt Rs.Cr.</t>
  </si>
  <si>
    <t>Cash End Rs.Cr.</t>
  </si>
  <si>
    <t>EV Rs.Cr.</t>
  </si>
  <si>
    <t>Sales Rs.Cr.</t>
  </si>
  <si>
    <t>NP 12M Rs.Cr.</t>
  </si>
  <si>
    <t xml:space="preserve">Mar Cap Rs.Cr. </t>
  </si>
  <si>
    <t>India</t>
  </si>
  <si>
    <t>Average</t>
  </si>
  <si>
    <t>Cost of Debt</t>
  </si>
  <si>
    <t>Pre-tax Cost of Debt</t>
  </si>
  <si>
    <t>Tax Rate</t>
  </si>
  <si>
    <t>Post Tax Cost of Debt</t>
  </si>
  <si>
    <t>Risk Free Rate</t>
  </si>
  <si>
    <t>Equity Risk Premium</t>
  </si>
  <si>
    <t>Levered Beta</t>
  </si>
  <si>
    <r>
      <t xml:space="preserve">Levered Beta </t>
    </r>
    <r>
      <rPr>
        <vertAlign val="superscript"/>
        <sz val="11"/>
        <color theme="1"/>
        <rFont val="Calibri"/>
        <family val="2"/>
      </rPr>
      <t>4</t>
    </r>
  </si>
  <si>
    <t>Cost of Equity</t>
  </si>
  <si>
    <t>Capital Structure</t>
  </si>
  <si>
    <t>Total Capital</t>
  </si>
  <si>
    <t>Current</t>
  </si>
  <si>
    <t>Target</t>
  </si>
  <si>
    <t>Target Debt/ Equity</t>
  </si>
  <si>
    <t>Debt/Equity</t>
  </si>
  <si>
    <t>Comps Median Unlevered Beta</t>
  </si>
  <si>
    <t>Date</t>
  </si>
  <si>
    <t>Adj Close</t>
  </si>
  <si>
    <t>Cipla Limited Weekly Returns</t>
  </si>
  <si>
    <t>Returns</t>
  </si>
  <si>
    <t>Nifty Weekly Returns</t>
  </si>
  <si>
    <t>beta 2</t>
  </si>
  <si>
    <t>beta 1</t>
  </si>
  <si>
    <t>beta 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</si>
  <si>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</si>
  <si>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</si>
  <si>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</si>
  <si>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</si>
  <si>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</si>
  <si>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</si>
  <si>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</si>
  <si>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</si>
  <si>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</si>
  <si>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</si>
  <si>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</si>
  <si>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</si>
  <si>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</si>
  <si>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</si>
  <si>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</si>
  <si>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</si>
  <si>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</si>
  <si>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</si>
  <si>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</si>
  <si>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</si>
  <si>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</si>
  <si>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</si>
  <si>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</si>
  <si>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</si>
  <si>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Beta Drifting</t>
  </si>
  <si>
    <t>Raw Beta Weight</t>
  </si>
  <si>
    <t>Market Beta Weight</t>
  </si>
  <si>
    <t>Market Beta</t>
  </si>
  <si>
    <t>Adjusted Beta</t>
  </si>
  <si>
    <t>Regression Beta - 2 years Weekly</t>
  </si>
  <si>
    <t>Sun Pharma. Inds. Returns</t>
  </si>
  <si>
    <t>Divi's Lab. Returns</t>
  </si>
  <si>
    <t>Dr. Reddy's Labs Returns</t>
  </si>
  <si>
    <t>Torrent Pharma. Returns</t>
  </si>
  <si>
    <t>Year</t>
  </si>
  <si>
    <t>Annual</t>
  </si>
  <si>
    <t>Return on Markets</t>
  </si>
  <si>
    <t>Average Return</t>
  </si>
  <si>
    <t>Dividend Yield</t>
  </si>
  <si>
    <r>
      <t xml:space="preserve">1.44% </t>
    </r>
    <r>
      <rPr>
        <vertAlign val="superscript"/>
        <sz val="11"/>
        <color theme="1"/>
        <rFont val="Calibri"/>
        <family val="2"/>
      </rPr>
      <t>1</t>
    </r>
  </si>
  <si>
    <t>Total Market Return</t>
  </si>
  <si>
    <t>Notes:</t>
  </si>
  <si>
    <t>1. Tax rate considered as marginal tax rate for the country</t>
  </si>
  <si>
    <t>2. levered beta is based on 5 years monthly data</t>
  </si>
  <si>
    <t>3. Unlevered Beta = Levered beta/(1+(1-tax rate)*Debt/Equity)</t>
  </si>
  <si>
    <t>4. levered Beta = Unlevered beta*(1+(1-tax rate)*Debt/Equity)</t>
  </si>
  <si>
    <t>Equity Weight</t>
  </si>
  <si>
    <t>Debt Weight</t>
  </si>
  <si>
    <t>WAAC</t>
  </si>
  <si>
    <t>Particulars</t>
  </si>
  <si>
    <t>Other</t>
  </si>
  <si>
    <t>Equity Capital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</si>
  <si>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</si>
  <si>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</si>
  <si>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</si>
  <si>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</si>
  <si>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</si>
  <si>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</si>
  <si>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</si>
  <si>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</si>
  <si>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</si>
  <si>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</si>
  <si>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</si>
  <si>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</si>
  <si>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</si>
  <si>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</si>
  <si>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</si>
  <si>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</si>
  <si>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</si>
  <si>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</si>
  <si>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</si>
  <si>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</si>
  <si>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</si>
  <si>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Trade receivables</t>
  </si>
  <si>
    <t>Cash Equivalents</t>
  </si>
  <si>
    <t>Loans n Advances</t>
  </si>
  <si>
    <t>Other asset items</t>
  </si>
  <si>
    <t xml:space="preserve">Other Assets </t>
  </si>
  <si>
    <t xml:space="preserve">Fixed Assets </t>
  </si>
  <si>
    <t xml:space="preserve">Borrowings </t>
  </si>
  <si>
    <t>Calculation of ROIC</t>
  </si>
  <si>
    <t>Current Assets</t>
  </si>
  <si>
    <t>Current Liabilities</t>
  </si>
  <si>
    <t>Total Current Liabilities</t>
  </si>
  <si>
    <t>Net Working Capital</t>
  </si>
  <si>
    <t>Non- Current Assets</t>
  </si>
  <si>
    <t>Net Non Current Assets</t>
  </si>
  <si>
    <t>Invested Capital</t>
  </si>
  <si>
    <t>EBIT</t>
  </si>
  <si>
    <t>ROIC</t>
  </si>
  <si>
    <t>Net Capex</t>
  </si>
  <si>
    <t>Investment income</t>
  </si>
  <si>
    <t>Investment in group cos</t>
  </si>
  <si>
    <t>Acquisition of companies</t>
  </si>
  <si>
    <t>Inter corporate deposits</t>
  </si>
  <si>
    <t>Proceeds from shares</t>
  </si>
  <si>
    <t>Share application money</t>
  </si>
  <si>
    <t xml:space="preserve">Cash from Operating Activity </t>
  </si>
  <si>
    <t xml:space="preserve">Cash from Investing Activity </t>
  </si>
  <si>
    <t xml:space="preserve">Cash from Financing Activity </t>
  </si>
  <si>
    <t>Change in Working Capital</t>
  </si>
  <si>
    <t>Marginal Tax Rate</t>
  </si>
  <si>
    <t>Calculation of Reinvestment Rate</t>
  </si>
  <si>
    <t>Reinvestment</t>
  </si>
  <si>
    <t>Reinvestment Rate</t>
  </si>
  <si>
    <t>EBIT(1-T)</t>
  </si>
  <si>
    <t>4 Year Average</t>
  </si>
  <si>
    <t>4 Year Median</t>
  </si>
  <si>
    <t>Intrisic Growth Rate</t>
  </si>
  <si>
    <t>Intrisic Growth Rate Calculation</t>
  </si>
  <si>
    <t>Calculation of PV of FCFF</t>
  </si>
  <si>
    <t>Free Cash Flow to Firm (FCFF)</t>
  </si>
  <si>
    <t>Mid Year Convection</t>
  </si>
  <si>
    <t>Discounting Factor</t>
  </si>
  <si>
    <t>PV of FCFF</t>
  </si>
  <si>
    <t>Expected Growth</t>
  </si>
  <si>
    <t>Terminal Growth</t>
  </si>
  <si>
    <t>Calculation of Terminal Value</t>
  </si>
  <si>
    <t>FCFF(n+1)</t>
  </si>
  <si>
    <t>WACC</t>
  </si>
  <si>
    <t>Terminal Growth Rate</t>
  </si>
  <si>
    <t>Terminal Value</t>
  </si>
  <si>
    <t>PV of Terminal Value</t>
  </si>
  <si>
    <t>Value of Operating Assets</t>
  </si>
  <si>
    <t>Add: Cash</t>
  </si>
  <si>
    <t>Less: Debt</t>
  </si>
  <si>
    <t>Calculation of Equity Value Per Share</t>
  </si>
  <si>
    <t>Value of Equity</t>
  </si>
  <si>
    <t>No. of Shares</t>
  </si>
  <si>
    <t>Equity Value Per Share</t>
  </si>
  <si>
    <t>Share Price</t>
  </si>
  <si>
    <t>Dicount/Premium</t>
  </si>
  <si>
    <t>Comparable Company Valuation</t>
  </si>
  <si>
    <t>Company</t>
  </si>
  <si>
    <t>Ticker</t>
  </si>
  <si>
    <t>Shares Outstanding</t>
  </si>
  <si>
    <t>Equity Value</t>
  </si>
  <si>
    <t>Net Debt</t>
  </si>
  <si>
    <t>Enterprise Value</t>
  </si>
  <si>
    <t>Market Data</t>
  </si>
  <si>
    <t>Revenue</t>
  </si>
  <si>
    <t>Financials</t>
  </si>
  <si>
    <t>Net Income</t>
  </si>
  <si>
    <t>Market Cap</t>
  </si>
  <si>
    <t xml:space="preserve">EV </t>
  </si>
  <si>
    <t>Valuation</t>
  </si>
  <si>
    <t>EV/Revenue</t>
  </si>
  <si>
    <t>EV/EBITDA</t>
  </si>
  <si>
    <t>P/E</t>
  </si>
  <si>
    <t>High</t>
  </si>
  <si>
    <t>75 Percentile</t>
  </si>
  <si>
    <t>25 Percentile</t>
  </si>
  <si>
    <t>Low</t>
  </si>
  <si>
    <t>Cipla Comparable Valuation</t>
  </si>
  <si>
    <t>Implied Enterprise Value</t>
  </si>
  <si>
    <t>Implied Market Value</t>
  </si>
  <si>
    <t>Shares Oustanding</t>
  </si>
  <si>
    <t>Implied Value Per Share</t>
  </si>
  <si>
    <t>Amount in Crores</t>
  </si>
  <si>
    <t>Year Weight</t>
  </si>
  <si>
    <t>E.P.S.</t>
  </si>
  <si>
    <t>E.P.S.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</si>
</sst>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0;&quot;₹&quot;\ \-#,##0.00;\-"/>
    <numFmt numFmtId="167" formatCode="&quot;₹&quot;\ #,##0.0;&quot;₹&quot;\ \-#,##0.0;\-"/>
    <numFmt numFmtId="168" formatCode="&quot;₹&quot;\ #,##0.0;\(&quot;₹&quot;\ #,##0.0\);\-"/>
    <numFmt numFmtId="169" formatCode="0.00&quot;x&quot;"/>
    <numFmt numFmtId="170" formatCode="0.0"/>
    <numFmt numFmtId="171" formatCode="[$-14009]dd/mm/yyyy;@"/>
    <numFmt numFmtId="172" formatCode="#,##0.0;\(#,##0.0\);\-"/>
    <numFmt numFmtId="173" formatCode="mmmm/yy"/>
    <numFmt numFmtId="174" formatCode="#,##0.0;\(\-#,##0.0\);\-"/>
    <numFmt numFmtId="175" formatCode="mmm/yy&quot;E&quot;"/>
    <numFmt numFmtId="176" formatCode="mmm/yy&quot;A&quot;"/>
    <numFmt numFmtId="177" formatCode="0.000"/>
    <numFmt numFmtId="178" formatCode="0.00&quot;X&quot;"/>
    <numFmt numFmtId="179" formatCode="0.0\x"/>
    <numFmt numFmtId="180" formatCode="yyyy&quot;E&quot;"/>
    <numFmt numFmtId="181" formatCode="yyyy&quot;A&quot;"/>
  </numFmts>
  <fonts count="22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0" tint="-0.34998626667073579"/>
      <name val="Calibri"/>
      <family val="2"/>
    </font>
    <font>
      <i/>
      <sz val="9"/>
      <color theme="1"/>
      <name val="Calibri"/>
      <family val="2"/>
    </font>
    <font>
      <b/>
      <sz val="14"/>
      <color theme="1"/>
      <name val="Calibri"/>
      <family val="2"/>
    </font>
    <font>
      <i/>
      <sz val="10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color rgb="FF3333FF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b/>
      <i/>
      <sz val="9"/>
      <color theme="1"/>
      <name val="Calibri"/>
      <family val="2"/>
    </font>
    <font>
      <b/>
      <sz val="11"/>
      <color rgb="FF00206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rgb="FF002060"/>
      </top>
      <bottom style="thick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dashed">
        <color auto="1"/>
      </top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/>
      <bottom style="thin">
        <color theme="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7" fillId="2" borderId="0" applyNumberFormat="0" applyBorder="0" applyAlignment="0" applyProtection="0"/>
    <xf numFmtId="0" fontId="5" fillId="0" borderId="0"/>
  </cellStyleXfs>
  <cellXfs count="175">
    <xf numFmtId="0" fontId="0" fillId="0" borderId="0" xfId="0"/>
    <xf numFmtId="43" fontId="6" fillId="0" borderId="0" xfId="2" applyFont="1" applyBorder="1"/>
    <xf numFmtId="43" fontId="0" fillId="0" borderId="0" xfId="2" applyFont="1" applyBorder="1"/>
    <xf numFmtId="0" fontId="5" fillId="0" borderId="0" xfId="5"/>
    <xf numFmtId="164" fontId="8" fillId="3" borderId="0" xfId="2" applyNumberFormat="1" applyFont="1" applyFill="1" applyBorder="1"/>
    <xf numFmtId="164" fontId="8" fillId="3" borderId="0" xfId="5" applyNumberFormat="1" applyFont="1" applyFill="1" applyAlignment="1">
      <alignment horizontal="center"/>
    </xf>
    <xf numFmtId="164" fontId="9" fillId="0" borderId="0" xfId="2" applyNumberFormat="1" applyFont="1" applyFill="1" applyBorder="1"/>
    <xf numFmtId="43" fontId="5" fillId="0" borderId="0" xfId="2" applyFont="1" applyBorder="1"/>
    <xf numFmtId="165" fontId="0" fillId="0" borderId="0" xfId="2" applyNumberFormat="1" applyFont="1" applyBorder="1"/>
    <xf numFmtId="17" fontId="0" fillId="0" borderId="0" xfId="0" applyNumberFormat="1"/>
    <xf numFmtId="0" fontId="3" fillId="0" borderId="0" xfId="0" applyFont="1"/>
    <xf numFmtId="0" fontId="2" fillId="4" borderId="0" xfId="0" applyFont="1" applyFill="1"/>
    <xf numFmtId="17" fontId="2" fillId="4" borderId="0" xfId="0" applyNumberFormat="1" applyFont="1" applyFill="1"/>
    <xf numFmtId="17" fontId="2" fillId="4" borderId="0" xfId="0" applyNumberFormat="1" applyFont="1" applyFill="1" applyAlignment="1">
      <alignment horizontal="right"/>
    </xf>
    <xf numFmtId="10" fontId="0" fillId="0" borderId="0" xfId="0" applyNumberFormat="1"/>
    <xf numFmtId="43" fontId="0" fillId="0" borderId="0" xfId="0" applyNumberFormat="1"/>
    <xf numFmtId="0" fontId="10" fillId="0" borderId="0" xfId="0" applyFont="1"/>
    <xf numFmtId="0" fontId="11" fillId="0" borderId="0" xfId="0" applyFont="1"/>
    <xf numFmtId="10" fontId="11" fillId="0" borderId="0" xfId="0" applyNumberFormat="1" applyFont="1"/>
    <xf numFmtId="0" fontId="3" fillId="0" borderId="1" xfId="0" applyFont="1" applyBorder="1"/>
    <xf numFmtId="166" fontId="3" fillId="0" borderId="1" xfId="0" applyNumberFormat="1" applyFont="1" applyBorder="1"/>
    <xf numFmtId="0" fontId="3" fillId="5" borderId="0" xfId="0" applyFont="1" applyFill="1"/>
    <xf numFmtId="0" fontId="0" fillId="5" borderId="0" xfId="0" applyFill="1"/>
    <xf numFmtId="167" fontId="3" fillId="0" borderId="1" xfId="0" applyNumberFormat="1" applyFont="1" applyBorder="1"/>
    <xf numFmtId="3" fontId="0" fillId="0" borderId="0" xfId="0" applyNumberFormat="1"/>
    <xf numFmtId="168" fontId="0" fillId="0" borderId="0" xfId="0" applyNumberFormat="1"/>
    <xf numFmtId="168" fontId="3" fillId="0" borderId="1" xfId="0" applyNumberFormat="1" applyFont="1" applyBorder="1"/>
    <xf numFmtId="0" fontId="3" fillId="0" borderId="2" xfId="0" applyFont="1" applyBorder="1"/>
    <xf numFmtId="168" fontId="3" fillId="0" borderId="2" xfId="0" applyNumberFormat="1" applyFont="1" applyBorder="1"/>
    <xf numFmtId="10" fontId="1" fillId="0" borderId="0" xfId="1" applyNumberFormat="1" applyFont="1"/>
    <xf numFmtId="10" fontId="1" fillId="0" borderId="0" xfId="1" applyNumberFormat="1" applyFont="1" applyBorder="1"/>
    <xf numFmtId="0" fontId="0" fillId="0" borderId="3" xfId="0" applyBorder="1"/>
    <xf numFmtId="10" fontId="1" fillId="0" borderId="3" xfId="1" applyNumberFormat="1" applyFont="1" applyBorder="1"/>
    <xf numFmtId="0" fontId="0" fillId="0" borderId="4" xfId="0" applyBorder="1"/>
    <xf numFmtId="10" fontId="1" fillId="0" borderId="4" xfId="1" applyNumberFormat="1" applyFont="1" applyBorder="1"/>
    <xf numFmtId="169" fontId="1" fillId="0" borderId="4" xfId="1" applyNumberFormat="1" applyFont="1" applyBorder="1"/>
    <xf numFmtId="169" fontId="1" fillId="0" borderId="3" xfId="1" applyNumberFormat="1" applyFont="1" applyBorder="1"/>
    <xf numFmtId="169" fontId="1" fillId="0" borderId="0" xfId="1" applyNumberFormat="1" applyFont="1" applyBorder="1"/>
    <xf numFmtId="0" fontId="12" fillId="0" borderId="3" xfId="0" applyFont="1" applyBorder="1"/>
    <xf numFmtId="1" fontId="0" fillId="0" borderId="0" xfId="0" applyNumberFormat="1"/>
    <xf numFmtId="1" fontId="0" fillId="0" borderId="4" xfId="0" applyNumberFormat="1" applyBorder="1"/>
    <xf numFmtId="10" fontId="0" fillId="0" borderId="3" xfId="0" applyNumberFormat="1" applyBorder="1"/>
    <xf numFmtId="10" fontId="0" fillId="0" borderId="4" xfId="0" applyNumberFormat="1" applyBorder="1"/>
    <xf numFmtId="0" fontId="13" fillId="5" borderId="0" xfId="0" applyFont="1" applyFill="1"/>
    <xf numFmtId="0" fontId="14" fillId="0" borderId="0" xfId="0" applyFont="1"/>
    <xf numFmtId="0" fontId="0" fillId="0" borderId="5" xfId="0" applyBorder="1"/>
    <xf numFmtId="0" fontId="0" fillId="0" borderId="6" xfId="0" applyBorder="1"/>
    <xf numFmtId="0" fontId="16" fillId="0" borderId="0" xfId="0" applyFont="1"/>
    <xf numFmtId="10" fontId="16" fillId="0" borderId="0" xfId="0" applyNumberFormat="1" applyFont="1"/>
    <xf numFmtId="2" fontId="0" fillId="0" borderId="0" xfId="0" applyNumberFormat="1"/>
    <xf numFmtId="2" fontId="16" fillId="0" borderId="0" xfId="0" applyNumberFormat="1" applyFont="1"/>
    <xf numFmtId="0" fontId="3" fillId="0" borderId="5" xfId="0" applyFont="1" applyBorder="1"/>
    <xf numFmtId="0" fontId="3" fillId="0" borderId="6" xfId="0" applyFont="1" applyBorder="1"/>
    <xf numFmtId="10" fontId="3" fillId="0" borderId="5" xfId="0" applyNumberFormat="1" applyFont="1" applyBorder="1"/>
    <xf numFmtId="10" fontId="3" fillId="0" borderId="6" xfId="0" applyNumberFormat="1" applyFont="1" applyBorder="1"/>
    <xf numFmtId="0" fontId="3" fillId="0" borderId="3" xfId="0" applyFont="1" applyBorder="1"/>
    <xf numFmtId="0" fontId="3" fillId="0" borderId="6" xfId="0" applyFont="1" applyBorder="1" applyAlignment="1">
      <alignment horizontal="right"/>
    </xf>
    <xf numFmtId="10" fontId="3" fillId="0" borderId="3" xfId="0" applyNumberFormat="1" applyFont="1" applyBorder="1"/>
    <xf numFmtId="2" fontId="3" fillId="0" borderId="5" xfId="0" applyNumberFormat="1" applyFont="1" applyBorder="1"/>
    <xf numFmtId="2" fontId="3" fillId="0" borderId="6" xfId="0" applyNumberFormat="1" applyFont="1" applyBorder="1"/>
    <xf numFmtId="10" fontId="0" fillId="6" borderId="0" xfId="0" applyNumberFormat="1" applyFill="1"/>
    <xf numFmtId="0" fontId="3" fillId="0" borderId="7" xfId="0" applyFont="1" applyBorder="1"/>
    <xf numFmtId="10" fontId="3" fillId="6" borderId="3" xfId="0" applyNumberFormat="1" applyFont="1" applyFill="1" applyBorder="1"/>
    <xf numFmtId="2" fontId="3" fillId="6" borderId="3" xfId="0" applyNumberFormat="1" applyFont="1" applyFill="1" applyBorder="1"/>
    <xf numFmtId="10" fontId="17" fillId="6" borderId="3" xfId="0" applyNumberFormat="1" applyFont="1" applyFill="1" applyBorder="1"/>
    <xf numFmtId="170" fontId="3" fillId="0" borderId="3" xfId="0" applyNumberFormat="1" applyFont="1" applyBorder="1"/>
    <xf numFmtId="171" fontId="3" fillId="0" borderId="0" xfId="0" applyNumberFormat="1" applyFont="1" applyAlignment="1">
      <alignment horizontal="left"/>
    </xf>
    <xf numFmtId="171" fontId="0" fillId="0" borderId="0" xfId="0" applyNumberFormat="1" applyAlignment="1">
      <alignment horizontal="left"/>
    </xf>
    <xf numFmtId="170" fontId="0" fillId="0" borderId="0" xfId="0" applyNumberFormat="1"/>
    <xf numFmtId="170" fontId="3" fillId="0" borderId="0" xfId="0" applyNumberFormat="1" applyFont="1"/>
    <xf numFmtId="171" fontId="3" fillId="0" borderId="6" xfId="0" applyNumberFormat="1" applyFont="1" applyBorder="1" applyAlignment="1">
      <alignment horizontal="left"/>
    </xf>
    <xf numFmtId="170" fontId="3" fillId="0" borderId="6" xfId="0" applyNumberFormat="1" applyFont="1" applyBorder="1" applyAlignment="1">
      <alignment horizontal="right"/>
    </xf>
    <xf numFmtId="14" fontId="0" fillId="0" borderId="0" xfId="0" applyNumberFormat="1"/>
    <xf numFmtId="0" fontId="0" fillId="0" borderId="8" xfId="0" applyBorder="1"/>
    <xf numFmtId="0" fontId="10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Continuous"/>
    </xf>
    <xf numFmtId="0" fontId="3" fillId="0" borderId="8" xfId="0" applyFont="1" applyBorder="1"/>
    <xf numFmtId="0" fontId="0" fillId="8" borderId="0" xfId="0" applyFill="1"/>
    <xf numFmtId="171" fontId="2" fillId="8" borderId="0" xfId="0" applyNumberFormat="1" applyFont="1" applyFill="1" applyAlignment="1">
      <alignment horizontal="center"/>
    </xf>
    <xf numFmtId="0" fontId="3" fillId="6" borderId="10" xfId="0" applyFont="1" applyFill="1" applyBorder="1"/>
    <xf numFmtId="171" fontId="0" fillId="0" borderId="0" xfId="0" applyNumberFormat="1" applyAlignment="1">
      <alignment horizontal="right"/>
    </xf>
    <xf numFmtId="2" fontId="3" fillId="6" borderId="10" xfId="0" applyNumberFormat="1" applyFont="1" applyFill="1" applyBorder="1"/>
    <xf numFmtId="2" fontId="3" fillId="0" borderId="0" xfId="0" applyNumberFormat="1" applyFont="1"/>
    <xf numFmtId="2" fontId="3" fillId="0" borderId="8" xfId="0" applyNumberFormat="1" applyFont="1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 vertical="top"/>
    </xf>
    <xf numFmtId="0" fontId="19" fillId="0" borderId="0" xfId="0" applyFont="1"/>
    <xf numFmtId="170" fontId="19" fillId="0" borderId="0" xfId="0" applyNumberFormat="1" applyFont="1"/>
    <xf numFmtId="10" fontId="19" fillId="0" borderId="0" xfId="0" applyNumberFormat="1" applyFont="1"/>
    <xf numFmtId="0" fontId="0" fillId="0" borderId="0" xfId="0" applyAlignment="1">
      <alignment horizontal="left"/>
    </xf>
    <xf numFmtId="0" fontId="2" fillId="7" borderId="0" xfId="0" applyFont="1" applyFill="1"/>
    <xf numFmtId="10" fontId="0" fillId="0" borderId="0" xfId="0" applyNumberFormat="1" applyAlignment="1">
      <alignment horizontal="right"/>
    </xf>
    <xf numFmtId="10" fontId="3" fillId="0" borderId="0" xfId="0" applyNumberFormat="1" applyFont="1"/>
    <xf numFmtId="0" fontId="3" fillId="0" borderId="11" xfId="0" applyFont="1" applyBorder="1"/>
    <xf numFmtId="10" fontId="3" fillId="0" borderId="11" xfId="0" applyNumberFormat="1" applyFont="1" applyBorder="1"/>
    <xf numFmtId="0" fontId="20" fillId="0" borderId="0" xfId="0" applyFont="1"/>
    <xf numFmtId="0" fontId="12" fillId="0" borderId="12" xfId="0" applyFont="1" applyBorder="1" applyAlignment="1">
      <alignment vertical="top"/>
    </xf>
    <xf numFmtId="0" fontId="12" fillId="0" borderId="0" xfId="0" applyFont="1" applyAlignment="1">
      <alignment vertical="top"/>
    </xf>
    <xf numFmtId="0" fontId="3" fillId="0" borderId="10" xfId="0" applyFont="1" applyBorder="1"/>
    <xf numFmtId="0" fontId="0" fillId="0" borderId="11" xfId="0" applyBorder="1"/>
    <xf numFmtId="10" fontId="3" fillId="6" borderId="11" xfId="0" applyNumberFormat="1" applyFont="1" applyFill="1" applyBorder="1"/>
    <xf numFmtId="17" fontId="3" fillId="0" borderId="6" xfId="0" applyNumberFormat="1" applyFont="1" applyBorder="1" applyAlignment="1">
      <alignment horizontal="right"/>
    </xf>
    <xf numFmtId="43" fontId="3" fillId="0" borderId="0" xfId="0" applyNumberFormat="1" applyFont="1"/>
    <xf numFmtId="17" fontId="2" fillId="7" borderId="0" xfId="0" applyNumberFormat="1" applyFont="1" applyFill="1"/>
    <xf numFmtId="0" fontId="2" fillId="8" borderId="0" xfId="0" applyFont="1" applyFill="1"/>
    <xf numFmtId="17" fontId="2" fillId="8" borderId="0" xfId="0" applyNumberFormat="1" applyFont="1" applyFill="1"/>
    <xf numFmtId="0" fontId="0" fillId="0" borderId="13" xfId="0" applyBorder="1"/>
    <xf numFmtId="172" fontId="0" fillId="0" borderId="13" xfId="0" applyNumberFormat="1" applyBorder="1"/>
    <xf numFmtId="172" fontId="0" fillId="0" borderId="3" xfId="0" applyNumberFormat="1" applyBorder="1"/>
    <xf numFmtId="172" fontId="3" fillId="0" borderId="10" xfId="0" applyNumberFormat="1" applyFont="1" applyBorder="1"/>
    <xf numFmtId="172" fontId="3" fillId="0" borderId="0" xfId="0" applyNumberFormat="1" applyFont="1"/>
    <xf numFmtId="172" fontId="0" fillId="0" borderId="4" xfId="0" applyNumberFormat="1" applyBorder="1"/>
    <xf numFmtId="172" fontId="3" fillId="0" borderId="11" xfId="0" applyNumberFormat="1" applyFont="1" applyBorder="1"/>
    <xf numFmtId="172" fontId="3" fillId="0" borderId="3" xfId="0" applyNumberFormat="1" applyFont="1" applyBorder="1"/>
    <xf numFmtId="172" fontId="0" fillId="0" borderId="6" xfId="0" applyNumberFormat="1" applyBorder="1"/>
    <xf numFmtId="0" fontId="18" fillId="7" borderId="0" xfId="0" applyFont="1" applyFill="1"/>
    <xf numFmtId="173" fontId="2" fillId="7" borderId="0" xfId="0" applyNumberFormat="1" applyFont="1" applyFill="1"/>
    <xf numFmtId="10" fontId="3" fillId="0" borderId="10" xfId="0" applyNumberFormat="1" applyFont="1" applyBorder="1"/>
    <xf numFmtId="10" fontId="0" fillId="0" borderId="13" xfId="0" applyNumberFormat="1" applyBorder="1"/>
    <xf numFmtId="170" fontId="0" fillId="0" borderId="13" xfId="0" applyNumberFormat="1" applyBorder="1"/>
    <xf numFmtId="170" fontId="3" fillId="0" borderId="11" xfId="0" applyNumberFormat="1" applyFont="1" applyBorder="1"/>
    <xf numFmtId="170" fontId="0" fillId="0" borderId="6" xfId="0" applyNumberFormat="1" applyBorder="1"/>
    <xf numFmtId="170" fontId="3" fillId="0" borderId="10" xfId="0" applyNumberFormat="1" applyFont="1" applyBorder="1"/>
    <xf numFmtId="174" fontId="0" fillId="0" borderId="13" xfId="0" applyNumberFormat="1" applyBorder="1"/>
    <xf numFmtId="174" fontId="0" fillId="0" borderId="0" xfId="0" applyNumberFormat="1"/>
    <xf numFmtId="174" fontId="3" fillId="0" borderId="5" xfId="0" applyNumberFormat="1" applyFont="1" applyBorder="1"/>
    <xf numFmtId="174" fontId="3" fillId="0" borderId="11" xfId="0" applyNumberFormat="1" applyFont="1" applyBorder="1"/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3" fillId="6" borderId="5" xfId="0" applyFont="1" applyFill="1" applyBorder="1"/>
    <xf numFmtId="10" fontId="3" fillId="6" borderId="5" xfId="0" applyNumberFormat="1" applyFont="1" applyFill="1" applyBorder="1"/>
    <xf numFmtId="0" fontId="3" fillId="6" borderId="6" xfId="0" applyFont="1" applyFill="1" applyBorder="1"/>
    <xf numFmtId="10" fontId="3" fillId="6" borderId="6" xfId="0" applyNumberFormat="1" applyFont="1" applyFill="1" applyBorder="1"/>
    <xf numFmtId="175" fontId="2" fillId="7" borderId="0" xfId="0" applyNumberFormat="1" applyFont="1" applyFill="1"/>
    <xf numFmtId="176" fontId="2" fillId="7" borderId="0" xfId="0" applyNumberFormat="1" applyFont="1" applyFill="1"/>
    <xf numFmtId="0" fontId="0" fillId="6" borderId="0" xfId="0" applyFill="1"/>
    <xf numFmtId="43" fontId="0" fillId="0" borderId="13" xfId="0" applyNumberFormat="1" applyBorder="1"/>
    <xf numFmtId="10" fontId="16" fillId="0" borderId="13" xfId="0" applyNumberFormat="1" applyFont="1" applyBorder="1"/>
    <xf numFmtId="0" fontId="3" fillId="0" borderId="13" xfId="0" applyFont="1" applyBorder="1"/>
    <xf numFmtId="43" fontId="3" fillId="0" borderId="13" xfId="0" applyNumberFormat="1" applyFont="1" applyBorder="1"/>
    <xf numFmtId="0" fontId="16" fillId="0" borderId="13" xfId="0" applyFont="1" applyBorder="1"/>
    <xf numFmtId="177" fontId="0" fillId="0" borderId="13" xfId="0" applyNumberFormat="1" applyBorder="1"/>
    <xf numFmtId="43" fontId="3" fillId="0" borderId="10" xfId="0" applyNumberFormat="1" applyFont="1" applyBorder="1"/>
    <xf numFmtId="178" fontId="0" fillId="0" borderId="0" xfId="0" applyNumberFormat="1"/>
    <xf numFmtId="0" fontId="2" fillId="7" borderId="0" xfId="0" applyFont="1" applyFill="1" applyAlignment="1">
      <alignment wrapText="1"/>
    </xf>
    <xf numFmtId="0" fontId="0" fillId="0" borderId="0" xfId="0" applyAlignment="1">
      <alignment horizontal="right"/>
    </xf>
    <xf numFmtId="0" fontId="2" fillId="7" borderId="0" xfId="0" applyFont="1" applyFill="1" applyAlignment="1">
      <alignment horizontal="right"/>
    </xf>
    <xf numFmtId="0" fontId="3" fillId="6" borderId="13" xfId="0" applyFont="1" applyFill="1" applyBorder="1"/>
    <xf numFmtId="2" fontId="3" fillId="6" borderId="13" xfId="0" applyNumberFormat="1" applyFont="1" applyFill="1" applyBorder="1"/>
    <xf numFmtId="179" fontId="3" fillId="6" borderId="13" xfId="0" applyNumberFormat="1" applyFont="1" applyFill="1" applyBorder="1"/>
    <xf numFmtId="1" fontId="0" fillId="0" borderId="13" xfId="0" applyNumberFormat="1" applyBorder="1"/>
    <xf numFmtId="2" fontId="0" fillId="0" borderId="13" xfId="0" applyNumberFormat="1" applyBorder="1"/>
    <xf numFmtId="0" fontId="2" fillId="7" borderId="6" xfId="0" applyFont="1" applyFill="1" applyBorder="1"/>
    <xf numFmtId="170" fontId="3" fillId="0" borderId="6" xfId="0" applyNumberFormat="1" applyFont="1" applyBorder="1"/>
    <xf numFmtId="0" fontId="0" fillId="6" borderId="13" xfId="0" applyFill="1" applyBorder="1"/>
    <xf numFmtId="179" fontId="0" fillId="6" borderId="13" xfId="0" applyNumberFormat="1" applyFill="1" applyBorder="1"/>
    <xf numFmtId="2" fontId="3" fillId="6" borderId="13" xfId="0" applyNumberFormat="1" applyFont="1" applyFill="1" applyBorder="1" applyProtection="1">
      <protection locked="0"/>
    </xf>
    <xf numFmtId="0" fontId="12" fillId="0" borderId="0" xfId="0" applyFont="1"/>
    <xf numFmtId="0" fontId="21" fillId="0" borderId="6" xfId="0" applyFont="1" applyBorder="1"/>
    <xf numFmtId="181" fontId="0" fillId="0" borderId="0" xfId="0" applyNumberFormat="1" applyAlignment="1">
      <alignment horizontal="right"/>
    </xf>
    <xf numFmtId="170" fontId="5" fillId="0" borderId="0" xfId="5" applyNumberFormat="1"/>
    <xf numFmtId="0" fontId="0" fillId="6" borderId="0" xfId="0" applyFill="1" applyAlignment="1">
      <alignment horizontal="left"/>
    </xf>
    <xf numFmtId="180" fontId="0" fillId="6" borderId="0" xfId="0" applyNumberFormat="1" applyFill="1" applyAlignment="1">
      <alignment horizontal="right"/>
    </xf>
    <xf numFmtId="170" fontId="0" fillId="6" borderId="0" xfId="0" applyNumberFormat="1" applyFill="1" applyAlignment="1">
      <alignment horizontal="right"/>
    </xf>
    <xf numFmtId="10" fontId="0" fillId="6" borderId="0" xfId="0" applyNumberFormat="1" applyFill="1" applyAlignment="1">
      <alignment horizontal="right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171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2" fillId="7" borderId="14" xfId="0" applyFont="1" applyFill="1" applyBorder="1" applyAlignment="1">
      <alignment horizontal="center"/>
    </xf>
    <xf numFmtId="0" fontId="18" fillId="7" borderId="14" xfId="0" applyFont="1" applyFill="1" applyBorder="1" applyAlignment="1">
      <alignment horizontal="center"/>
    </xf>
    <xf numFmtId="43" fontId="4" fillId="0" borderId="0" xfId="3" applyNumberFormat="1" applyBorder="1" applyAlignment="1" applyProtection="1">
      <alignment horizontal="center"/>
    </xf>
    <xf numFmtId="43" fontId="8" fillId="2" borderId="0" xfId="4" applyNumberFormat="1" applyFont="1" applyBorder="1" applyAlignment="1">
      <alignment horizontal="center"/>
    </xf>
  </cellXfs>
  <cellStyles count="6">
    <cellStyle name="Accent6 2" xfId="4" xr:uid="{56BF7AA5-464E-473A-8C95-E6E039799AA6}"/>
    <cellStyle name="Comma 2" xfId="2" xr:uid="{FCC4E446-1F23-4325-B28F-1477AC84CF62}"/>
    <cellStyle name="Hyperlink 2" xfId="3" xr:uid="{962FE0B7-CBA5-406A-AC68-411B01AD1F47}"/>
    <cellStyle name="Normal" xfId="0" builtinId="0"/>
    <cellStyle name="Normal 2" xfId="5" xr:uid="{E9CF527D-1217-47A2-AE6F-25E1E3BE09BB}"/>
    <cellStyle name="Percent" xfId="1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www.screener.in/exce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C984-BB78-4A41-98B9-C7ADA891C186}">
  <sheetPr>
    <tabColor rgb="FF002060"/>
  </sheetPr>
  <dimension ref="A1"/>
  <sheetViews>
    <sheetView workbookViewId="0">
      <selection activeCell="D18" sqref="D18"/>
    </sheetView>
  </sheetViews>
  <sheetFormatPr defaultRowHeight="14.4" x14ac:dyDescent="0.3"/>
  <sheetData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9734-7B4A-457D-B337-F3BAB6A3D67A}">
  <sheetPr>
    <pageSetUpPr fitToPage="1"/>
  </sheetPr>
  <dimension ref="A2:M108"/>
  <sheetViews>
    <sheetView showGridLines="0" tabSelected="1" topLeftCell="A89" zoomScale="69" zoomScaleNormal="97" workbookViewId="0">
      <selection activeCell="E34" sqref="E34"/>
    </sheetView>
  </sheetViews>
  <sheetFormatPr defaultRowHeight="14.4" x14ac:dyDescent="0.3"/>
  <cols>
    <col min="1" max="1" width="1.88671875" customWidth="1"/>
    <col min="2" max="2" width="42.88671875" bestFit="1" customWidth="1"/>
    <col min="3" max="13" width="12.77734375" customWidth="1"/>
  </cols>
  <sheetData>
    <row r="2" spans="1:13" x14ac:dyDescent="0.3">
      <c r="B2" s="166" t="str">
        <f>"Historical Financial Statement"&amp;" - "&amp;'Data Sheet'!B1</f>
        <v>Historical Financial Statement - CIPLA LTD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</row>
    <row r="3" spans="1:13" x14ac:dyDescent="0.3">
      <c r="B3" s="11" t="s">
        <v>54</v>
      </c>
      <c r="C3" s="12">
        <f>'Data Sheet'!B16</f>
        <v>41364</v>
      </c>
      <c r="D3" s="12">
        <f>'Data Sheet'!C16</f>
        <v>41729</v>
      </c>
      <c r="E3" s="12">
        <f>'Data Sheet'!D16</f>
        <v>42094</v>
      </c>
      <c r="F3" s="12">
        <f>'Data Sheet'!E16</f>
        <v>42460</v>
      </c>
      <c r="G3" s="12">
        <f>'Data Sheet'!F16</f>
        <v>42825</v>
      </c>
      <c r="H3" s="12">
        <f>'Data Sheet'!G16</f>
        <v>43190</v>
      </c>
      <c r="I3" s="12">
        <f>'Data Sheet'!H16</f>
        <v>43555</v>
      </c>
      <c r="J3" s="12">
        <f>'Data Sheet'!I16</f>
        <v>43921</v>
      </c>
      <c r="K3" s="12">
        <f>'Data Sheet'!J16</f>
        <v>44286</v>
      </c>
      <c r="L3" s="12">
        <f>'Data Sheet'!K16</f>
        <v>44651</v>
      </c>
      <c r="M3" s="13" t="s">
        <v>55</v>
      </c>
    </row>
    <row r="5" spans="1:13" x14ac:dyDescent="0.3">
      <c r="A5" t="s">
        <v>57</v>
      </c>
      <c r="B5" s="21" t="s">
        <v>56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3" x14ac:dyDescent="0.3">
      <c r="B6" s="15" t="s">
        <v>12</v>
      </c>
      <c r="C6" s="25">
        <f>'Data Sheet'!B17</f>
        <v>8279.33</v>
      </c>
      <c r="D6" s="25">
        <f>'Data Sheet'!C17</f>
        <v>10173.39</v>
      </c>
      <c r="E6" s="25">
        <f>'Data Sheet'!D17</f>
        <v>11345.44</v>
      </c>
      <c r="F6" s="25">
        <f>'Data Sheet'!E17</f>
        <v>13790.1</v>
      </c>
      <c r="G6" s="25">
        <f>'Data Sheet'!F17</f>
        <v>14394.29</v>
      </c>
      <c r="H6" s="25">
        <f>'Data Sheet'!G17</f>
        <v>15155.71</v>
      </c>
      <c r="I6" s="25">
        <f>'Data Sheet'!H17</f>
        <v>16362.41</v>
      </c>
      <c r="J6" s="25">
        <f>'Data Sheet'!I17</f>
        <v>17131.990000000002</v>
      </c>
      <c r="K6" s="25">
        <f>'Data Sheet'!J17</f>
        <v>19159.59</v>
      </c>
      <c r="L6" s="25">
        <f>'Data Sheet'!K17</f>
        <v>21763.34</v>
      </c>
      <c r="M6" s="25">
        <f>IFERROR(SUM('Data Sheet'!H42:K42),0)</f>
        <v>22274.15</v>
      </c>
    </row>
    <row r="7" spans="1:13" x14ac:dyDescent="0.3">
      <c r="B7" s="17" t="s">
        <v>58</v>
      </c>
      <c r="C7" s="17" t="s">
        <v>59</v>
      </c>
      <c r="D7" s="18">
        <f>D6/C6-1</f>
        <v>0.22876971928887957</v>
      </c>
      <c r="E7" s="18">
        <f t="shared" ref="E7:M7" si="0">E6/D6-1</f>
        <v>0.11520741856942496</v>
      </c>
      <c r="F7" s="18">
        <f t="shared" si="0"/>
        <v>0.21547511599373848</v>
      </c>
      <c r="G7" s="18">
        <f t="shared" si="0"/>
        <v>4.3813315349417348E-2</v>
      </c>
      <c r="H7" s="18">
        <f t="shared" si="0"/>
        <v>5.2897364163150717E-2</v>
      </c>
      <c r="I7" s="18">
        <f t="shared" si="0"/>
        <v>7.9620156363509276E-2</v>
      </c>
      <c r="J7" s="18">
        <f t="shared" si="0"/>
        <v>4.7033413781955247E-2</v>
      </c>
      <c r="K7" s="18">
        <f t="shared" si="0"/>
        <v>0.11835169177661187</v>
      </c>
      <c r="L7" s="18">
        <f t="shared" si="0"/>
        <v>0.13589800199273583</v>
      </c>
      <c r="M7" s="18">
        <f t="shared" si="0"/>
        <v>2.3471121620119106E-2</v>
      </c>
    </row>
    <row r="9" spans="1:13" x14ac:dyDescent="0.3">
      <c r="B9" s="15" t="s">
        <v>60</v>
      </c>
      <c r="C9" s="25">
        <f>IFERROR(SUM('Data Sheet'!B18,'Data Sheet'!B20:B22)-1*'Data Sheet'!B19,0)</f>
        <v>4720.2199999999993</v>
      </c>
      <c r="D9" s="25">
        <f>IFERROR(SUM('Data Sheet'!C18,'Data Sheet'!C20:C22)-1*'Data Sheet'!C19,0)</f>
        <v>6175.13</v>
      </c>
      <c r="E9" s="25">
        <f>IFERROR(SUM('Data Sheet'!D18,'Data Sheet'!D20:D22)-1*'Data Sheet'!D19,0)</f>
        <v>7097.9</v>
      </c>
      <c r="F9" s="25">
        <f>IFERROR(SUM('Data Sheet'!E18,'Data Sheet'!E20:E22)-1*'Data Sheet'!E19,0)</f>
        <v>8772.2199999999993</v>
      </c>
      <c r="G9" s="25">
        <f>IFERROR(SUM('Data Sheet'!F18,'Data Sheet'!F20:F22)-1*'Data Sheet'!F19,0)</f>
        <v>9122.1699999999983</v>
      </c>
      <c r="H9" s="25">
        <f>IFERROR(SUM('Data Sheet'!G18,'Data Sheet'!G20:G22)-1*'Data Sheet'!G19,0)</f>
        <v>9388.5799999999981</v>
      </c>
      <c r="I9" s="25">
        <f>IFERROR(SUM('Data Sheet'!H18,'Data Sheet'!H20:H22)-1*'Data Sheet'!H19,0)</f>
        <v>9913.77</v>
      </c>
      <c r="J9" s="25">
        <f>IFERROR(SUM('Data Sheet'!I18,'Data Sheet'!I20:I22)-1*'Data Sheet'!I19,0)</f>
        <v>10372.77</v>
      </c>
      <c r="K9" s="25">
        <f>IFERROR(SUM('Data Sheet'!J18,'Data Sheet'!J20:J22)-1*'Data Sheet'!J19,0)</f>
        <v>11995.600000000002</v>
      </c>
      <c r="L9" s="25">
        <f>IFERROR(SUM('Data Sheet'!K18,'Data Sheet'!K20:K22)-1*'Data Sheet'!K19,0)</f>
        <v>13556.41</v>
      </c>
      <c r="M9" s="25">
        <f>IFERROR(SUM('Data Sheet'!H43:K43),0)</f>
        <v>17671.2</v>
      </c>
    </row>
    <row r="10" spans="1:13" x14ac:dyDescent="0.3">
      <c r="B10" s="17" t="s">
        <v>61</v>
      </c>
      <c r="C10" s="18">
        <f>C9/C6</f>
        <v>0.57012101220750944</v>
      </c>
      <c r="D10" s="18">
        <f t="shared" ref="D10:M10" si="1">D9/D6</f>
        <v>0.60698842765292593</v>
      </c>
      <c r="E10" s="18">
        <f t="shared" si="1"/>
        <v>0.62561698797049736</v>
      </c>
      <c r="F10" s="18">
        <f t="shared" si="1"/>
        <v>0.63612446610249374</v>
      </c>
      <c r="G10" s="18">
        <f t="shared" si="1"/>
        <v>0.63373532143648614</v>
      </c>
      <c r="H10" s="18">
        <f t="shared" si="1"/>
        <v>0.6194747722145646</v>
      </c>
      <c r="I10" s="18">
        <f t="shared" si="1"/>
        <v>0.6058869078577056</v>
      </c>
      <c r="J10" s="18">
        <f t="shared" si="1"/>
        <v>0.60546206249244827</v>
      </c>
      <c r="K10" s="18">
        <f t="shared" si="1"/>
        <v>0.62608855408701347</v>
      </c>
      <c r="L10" s="18">
        <f t="shared" si="1"/>
        <v>0.622901172338437</v>
      </c>
      <c r="M10" s="18">
        <f t="shared" si="1"/>
        <v>0.79335013906254559</v>
      </c>
    </row>
    <row r="12" spans="1:13" x14ac:dyDescent="0.3">
      <c r="B12" s="19" t="s">
        <v>62</v>
      </c>
      <c r="C12" s="23">
        <f>IFERROR(C6-C9,0)</f>
        <v>3559.1100000000006</v>
      </c>
      <c r="D12" s="23">
        <f t="shared" ref="D12:M12" si="2">D6-D9</f>
        <v>3998.2599999999993</v>
      </c>
      <c r="E12" s="23">
        <f t="shared" si="2"/>
        <v>4247.5400000000009</v>
      </c>
      <c r="F12" s="23">
        <f t="shared" si="2"/>
        <v>5017.880000000001</v>
      </c>
      <c r="G12" s="23">
        <f t="shared" si="2"/>
        <v>5272.1200000000026</v>
      </c>
      <c r="H12" s="23">
        <f t="shared" si="2"/>
        <v>5767.130000000001</v>
      </c>
      <c r="I12" s="23">
        <f t="shared" si="2"/>
        <v>6448.6399999999994</v>
      </c>
      <c r="J12" s="23">
        <f t="shared" si="2"/>
        <v>6759.2200000000012</v>
      </c>
      <c r="K12" s="23">
        <f t="shared" si="2"/>
        <v>7163.989999999998</v>
      </c>
      <c r="L12" s="23">
        <f t="shared" si="2"/>
        <v>8206.93</v>
      </c>
      <c r="M12" s="23">
        <f t="shared" si="2"/>
        <v>4602.9500000000007</v>
      </c>
    </row>
    <row r="13" spans="1:13" x14ac:dyDescent="0.3">
      <c r="B13" s="17" t="s">
        <v>63</v>
      </c>
      <c r="C13" s="18">
        <f>C12/C6</f>
        <v>0.42987898779249051</v>
      </c>
      <c r="D13" s="18">
        <f t="shared" ref="D13:M13" si="3">D12/D6</f>
        <v>0.39301157234707401</v>
      </c>
      <c r="E13" s="18">
        <f t="shared" si="3"/>
        <v>0.37438301202950264</v>
      </c>
      <c r="F13" s="18">
        <f t="shared" si="3"/>
        <v>0.36387553389750626</v>
      </c>
      <c r="G13" s="18">
        <f t="shared" si="3"/>
        <v>0.36626467856351391</v>
      </c>
      <c r="H13" s="18">
        <f t="shared" si="3"/>
        <v>0.3805252277854354</v>
      </c>
      <c r="I13" s="18">
        <f t="shared" si="3"/>
        <v>0.3941130921422944</v>
      </c>
      <c r="J13" s="18">
        <f t="shared" si="3"/>
        <v>0.39453793750755167</v>
      </c>
      <c r="K13" s="18">
        <f t="shared" si="3"/>
        <v>0.37391144591298653</v>
      </c>
      <c r="L13" s="18">
        <f t="shared" si="3"/>
        <v>0.377098827661563</v>
      </c>
      <c r="M13" s="18">
        <f t="shared" si="3"/>
        <v>0.20664986093745441</v>
      </c>
    </row>
    <row r="15" spans="1:13" x14ac:dyDescent="0.3">
      <c r="B15" t="s">
        <v>64</v>
      </c>
      <c r="C15" s="25">
        <f>IFERROR(SUM('Data Sheet'!B23:B24),0)</f>
        <v>1344.67</v>
      </c>
      <c r="D15" s="25">
        <f>IFERROR(SUM('Data Sheet'!C23:C24),0)</f>
        <v>1851.32</v>
      </c>
      <c r="E15" s="25">
        <f>IFERROR(SUM('Data Sheet'!D23:D24),0)</f>
        <v>2084.67</v>
      </c>
      <c r="F15" s="25">
        <f>IFERROR(SUM('Data Sheet'!E23:E24),0)</f>
        <v>2538.21</v>
      </c>
      <c r="G15" s="25">
        <f>IFERROR(SUM('Data Sheet'!F23:F24),0)</f>
        <v>2775.81</v>
      </c>
      <c r="H15" s="25">
        <f>IFERROR(SUM('Data Sheet'!G23:G24),0)</f>
        <v>2940.75</v>
      </c>
      <c r="I15" s="25">
        <f>IFERROR(SUM('Data Sheet'!H23:H24),0)</f>
        <v>3351.33</v>
      </c>
      <c r="J15" s="25">
        <f>IFERROR(SUM('Data Sheet'!I23:I24),0)</f>
        <v>3553.23</v>
      </c>
      <c r="K15" s="25">
        <f>IFERROR(SUM('Data Sheet'!J23:J24),0)</f>
        <v>2911.5600000000004</v>
      </c>
      <c r="L15" s="25">
        <f>IFERROR(SUM('Data Sheet'!K23:K24),0)</f>
        <v>3654.15</v>
      </c>
      <c r="M15" s="25">
        <f>IFERROR(SUM('Data Sheet'!H44:K44),0)</f>
        <v>347.34000000000003</v>
      </c>
    </row>
    <row r="16" spans="1:13" x14ac:dyDescent="0.3">
      <c r="B16" s="17" t="s">
        <v>65</v>
      </c>
      <c r="C16" s="18">
        <f>C15/C6</f>
        <v>0.16241290056079419</v>
      </c>
      <c r="D16" s="18">
        <f t="shared" ref="D16:M16" si="4">D15/D6</f>
        <v>0.18197670589646125</v>
      </c>
      <c r="E16" s="18">
        <f t="shared" si="4"/>
        <v>0.18374518749383012</v>
      </c>
      <c r="F16" s="18">
        <f t="shared" si="4"/>
        <v>0.18406030413122457</v>
      </c>
      <c r="G16" s="18">
        <f t="shared" si="4"/>
        <v>0.19284105016642014</v>
      </c>
      <c r="H16" s="18">
        <f t="shared" si="4"/>
        <v>0.19403577925415572</v>
      </c>
      <c r="I16" s="18">
        <f t="shared" si="4"/>
        <v>0.20481885003492761</v>
      </c>
      <c r="J16" s="18">
        <f t="shared" si="4"/>
        <v>0.20740322636191125</v>
      </c>
      <c r="K16" s="18">
        <f t="shared" si="4"/>
        <v>0.15196358585961392</v>
      </c>
      <c r="L16" s="18">
        <f t="shared" si="4"/>
        <v>0.1679039154835609</v>
      </c>
      <c r="M16" s="18">
        <f t="shared" si="4"/>
        <v>1.5593861045202623E-2</v>
      </c>
    </row>
    <row r="18" spans="2:13" x14ac:dyDescent="0.3">
      <c r="B18" s="19" t="s">
        <v>66</v>
      </c>
      <c r="C18" s="23">
        <f>IFERROR(C12-C15,0)</f>
        <v>2214.4400000000005</v>
      </c>
      <c r="D18" s="23">
        <f t="shared" ref="D18:M18" si="5">IFERROR(D12-D15,0)</f>
        <v>2146.9399999999996</v>
      </c>
      <c r="E18" s="23">
        <f t="shared" si="5"/>
        <v>2162.8700000000008</v>
      </c>
      <c r="F18" s="23">
        <f t="shared" si="5"/>
        <v>2479.670000000001</v>
      </c>
      <c r="G18" s="23">
        <f t="shared" si="5"/>
        <v>2496.3100000000027</v>
      </c>
      <c r="H18" s="23">
        <f t="shared" si="5"/>
        <v>2826.380000000001</v>
      </c>
      <c r="I18" s="23">
        <f t="shared" si="5"/>
        <v>3097.3099999999995</v>
      </c>
      <c r="J18" s="23">
        <f t="shared" si="5"/>
        <v>3205.9900000000011</v>
      </c>
      <c r="K18" s="23">
        <f t="shared" si="5"/>
        <v>4252.4299999999976</v>
      </c>
      <c r="L18" s="23">
        <f t="shared" si="5"/>
        <v>4552.7800000000007</v>
      </c>
      <c r="M18" s="23">
        <f t="shared" si="5"/>
        <v>4255.6100000000006</v>
      </c>
    </row>
    <row r="19" spans="2:13" x14ac:dyDescent="0.3">
      <c r="B19" s="17" t="s">
        <v>67</v>
      </c>
      <c r="C19" s="18">
        <f>C18/C6</f>
        <v>0.26746608723169635</v>
      </c>
      <c r="D19" s="18">
        <f t="shared" ref="D19:M19" si="6">D18/D6</f>
        <v>0.21103486645061278</v>
      </c>
      <c r="E19" s="18">
        <f t="shared" si="6"/>
        <v>0.19063782453567255</v>
      </c>
      <c r="F19" s="18">
        <f t="shared" si="6"/>
        <v>0.17981522976628167</v>
      </c>
      <c r="G19" s="18">
        <f t="shared" si="6"/>
        <v>0.17342362839709374</v>
      </c>
      <c r="H19" s="18">
        <f t="shared" si="6"/>
        <v>0.18648944853127972</v>
      </c>
      <c r="I19" s="18">
        <f t="shared" si="6"/>
        <v>0.18929424210736678</v>
      </c>
      <c r="J19" s="18">
        <f t="shared" si="6"/>
        <v>0.18713471114564045</v>
      </c>
      <c r="K19" s="18">
        <f t="shared" si="6"/>
        <v>0.22194786005337261</v>
      </c>
      <c r="L19" s="18">
        <f t="shared" si="6"/>
        <v>0.20919491217800212</v>
      </c>
      <c r="M19" s="18">
        <f t="shared" si="6"/>
        <v>0.1910559998922518</v>
      </c>
    </row>
    <row r="21" spans="2:13" x14ac:dyDescent="0.3">
      <c r="B21" t="s">
        <v>22</v>
      </c>
      <c r="C21" s="25">
        <f>IFERROR('Data Sheet'!B27,0)</f>
        <v>33.909999999999997</v>
      </c>
      <c r="D21" s="25">
        <f>IFERROR('Data Sheet'!C27,0)</f>
        <v>145.74</v>
      </c>
      <c r="E21" s="25">
        <f>IFERROR('Data Sheet'!D27,0)</f>
        <v>168.29</v>
      </c>
      <c r="F21" s="25">
        <f>IFERROR('Data Sheet'!E27,0)</f>
        <v>206.63</v>
      </c>
      <c r="G21" s="25">
        <f>IFERROR('Data Sheet'!F27,0)</f>
        <v>159.38</v>
      </c>
      <c r="H21" s="25">
        <f>IFERROR('Data Sheet'!G27,0)</f>
        <v>114.23</v>
      </c>
      <c r="I21" s="25">
        <f>IFERROR('Data Sheet'!H27,0)</f>
        <v>168.43</v>
      </c>
      <c r="J21" s="25">
        <f>IFERROR('Data Sheet'!I27,0)</f>
        <v>197.36</v>
      </c>
      <c r="K21" s="25">
        <f>IFERROR('Data Sheet'!J27,0)</f>
        <v>160.69999999999999</v>
      </c>
      <c r="L21" s="25">
        <f>IFERROR('Data Sheet'!K27,0)</f>
        <v>106.35</v>
      </c>
      <c r="M21" s="25">
        <f>IFERROR(SUM('Data Sheet'!H46:K46),0)</f>
        <v>93.28</v>
      </c>
    </row>
    <row r="22" spans="2:13" x14ac:dyDescent="0.3">
      <c r="B22" s="17" t="s">
        <v>68</v>
      </c>
      <c r="C22" s="18">
        <f>C21/C6</f>
        <v>4.095742046759822E-3</v>
      </c>
      <c r="D22" s="18">
        <f t="shared" ref="D22:M22" si="7">D21/D6</f>
        <v>1.4325608278066605E-2</v>
      </c>
      <c r="E22" s="18">
        <f t="shared" si="7"/>
        <v>1.4833272222143873E-2</v>
      </c>
      <c r="F22" s="18">
        <f t="shared" si="7"/>
        <v>1.4983937752445595E-2</v>
      </c>
      <c r="G22" s="18">
        <f t="shared" si="7"/>
        <v>1.1072446087997392E-2</v>
      </c>
      <c r="H22" s="18">
        <f t="shared" si="7"/>
        <v>7.5370932803544019E-3</v>
      </c>
      <c r="I22" s="18">
        <f t="shared" si="7"/>
        <v>1.0293715901263933E-2</v>
      </c>
      <c r="J22" s="18">
        <f t="shared" si="7"/>
        <v>1.1519969367248055E-2</v>
      </c>
      <c r="K22" s="18">
        <f t="shared" si="7"/>
        <v>8.3874446165079723E-3</v>
      </c>
      <c r="L22" s="18">
        <f t="shared" si="7"/>
        <v>4.8866580221602011E-3</v>
      </c>
      <c r="M22" s="18">
        <f t="shared" si="7"/>
        <v>4.1878141253426059E-3</v>
      </c>
    </row>
    <row r="24" spans="2:13" x14ac:dyDescent="0.3">
      <c r="B24" t="s">
        <v>21</v>
      </c>
      <c r="C24" s="25">
        <f>IFERROR('Data Sheet'!B26,0)</f>
        <v>330.48</v>
      </c>
      <c r="D24" s="25">
        <f>IFERROR('Data Sheet'!C26,0)</f>
        <v>372.64</v>
      </c>
      <c r="E24" s="25">
        <f>IFERROR('Data Sheet'!D26,0)</f>
        <v>504.71</v>
      </c>
      <c r="F24" s="25">
        <f>IFERROR('Data Sheet'!E26,0)</f>
        <v>754.22</v>
      </c>
      <c r="G24" s="25">
        <f>IFERROR('Data Sheet'!F26,0)</f>
        <v>1322.93</v>
      </c>
      <c r="H24" s="25">
        <f>IFERROR('Data Sheet'!G26,0)</f>
        <v>1322.82</v>
      </c>
      <c r="I24" s="25">
        <f>IFERROR('Data Sheet'!H26,0)</f>
        <v>1326.31</v>
      </c>
      <c r="J24" s="25">
        <f>IFERROR('Data Sheet'!I26,0)</f>
        <v>1174.6500000000001</v>
      </c>
      <c r="K24" s="25">
        <f>IFERROR('Data Sheet'!J26,0)</f>
        <v>1067.6600000000001</v>
      </c>
      <c r="L24" s="25">
        <f>IFERROR('Data Sheet'!K26,0)</f>
        <v>1051.95</v>
      </c>
      <c r="M24" s="25">
        <f>IFERROR(SUM('Data Sheet'!H45:K45),0)</f>
        <v>1116.2</v>
      </c>
    </row>
    <row r="25" spans="2:13" x14ac:dyDescent="0.3">
      <c r="B25" s="17" t="s">
        <v>69</v>
      </c>
      <c r="C25" s="18">
        <f>C24/C6</f>
        <v>3.9916273418259693E-2</v>
      </c>
      <c r="D25" s="18">
        <f t="shared" ref="D25:M25" si="8">D24/D6</f>
        <v>3.662889164772018E-2</v>
      </c>
      <c r="E25" s="18">
        <f t="shared" si="8"/>
        <v>4.4485714084248819E-2</v>
      </c>
      <c r="F25" s="18">
        <f t="shared" si="8"/>
        <v>5.4692859370127848E-2</v>
      </c>
      <c r="G25" s="18">
        <f t="shared" si="8"/>
        <v>9.1906582401771811E-2</v>
      </c>
      <c r="H25" s="18">
        <f t="shared" si="8"/>
        <v>8.7281955117906054E-2</v>
      </c>
      <c r="I25" s="18">
        <f t="shared" si="8"/>
        <v>8.105835265098478E-2</v>
      </c>
      <c r="J25" s="18">
        <f t="shared" si="8"/>
        <v>6.8564714315149614E-2</v>
      </c>
      <c r="K25" s="18">
        <f t="shared" si="8"/>
        <v>5.5724574482021803E-2</v>
      </c>
      <c r="L25" s="18">
        <f t="shared" si="8"/>
        <v>4.8335871240351894E-2</v>
      </c>
      <c r="M25" s="18">
        <f t="shared" si="8"/>
        <v>5.0111901015302489E-2</v>
      </c>
    </row>
    <row r="27" spans="2:13" x14ac:dyDescent="0.3">
      <c r="B27" s="19" t="s">
        <v>70</v>
      </c>
      <c r="C27" s="23">
        <f>IFERROR(C18-SUM(C21,C24),0)</f>
        <v>1850.0500000000006</v>
      </c>
      <c r="D27" s="23">
        <f t="shared" ref="D27:M27" si="9">IFERROR(D18-SUM(D21,D24),0)</f>
        <v>1628.5599999999995</v>
      </c>
      <c r="E27" s="23">
        <f t="shared" si="9"/>
        <v>1489.8700000000008</v>
      </c>
      <c r="F27" s="23">
        <f t="shared" si="9"/>
        <v>1518.8200000000011</v>
      </c>
      <c r="G27" s="23">
        <f t="shared" si="9"/>
        <v>1014.0000000000027</v>
      </c>
      <c r="H27" s="23">
        <f t="shared" si="9"/>
        <v>1389.3300000000011</v>
      </c>
      <c r="I27" s="23">
        <f t="shared" si="9"/>
        <v>1602.5699999999995</v>
      </c>
      <c r="J27" s="23">
        <f t="shared" si="9"/>
        <v>1833.9800000000009</v>
      </c>
      <c r="K27" s="23">
        <f t="shared" si="9"/>
        <v>3024.0699999999974</v>
      </c>
      <c r="L27" s="23">
        <f t="shared" si="9"/>
        <v>3394.4800000000005</v>
      </c>
      <c r="M27" s="23">
        <f t="shared" si="9"/>
        <v>3046.1300000000006</v>
      </c>
    </row>
    <row r="28" spans="2:13" x14ac:dyDescent="0.3">
      <c r="B28" s="17" t="s">
        <v>71</v>
      </c>
      <c r="C28" s="18">
        <f>IFERROR(C27/C6,0)</f>
        <v>0.22345407176667684</v>
      </c>
      <c r="D28" s="18">
        <f t="shared" ref="D28:M28" si="10">IFERROR(D27/D6,0)</f>
        <v>0.16008036652482599</v>
      </c>
      <c r="E28" s="18">
        <f t="shared" si="10"/>
        <v>0.13131883822927984</v>
      </c>
      <c r="F28" s="18">
        <f t="shared" si="10"/>
        <v>0.11013843264370825</v>
      </c>
      <c r="G28" s="18">
        <f t="shared" si="10"/>
        <v>7.0444599907324545E-2</v>
      </c>
      <c r="H28" s="18">
        <f t="shared" si="10"/>
        <v>9.1670400133019248E-2</v>
      </c>
      <c r="I28" s="18">
        <f t="shared" si="10"/>
        <v>9.794217355511807E-2</v>
      </c>
      <c r="J28" s="18">
        <f t="shared" si="10"/>
        <v>0.10705002746324278</v>
      </c>
      <c r="K28" s="18">
        <f t="shared" si="10"/>
        <v>0.15783584095484285</v>
      </c>
      <c r="L28" s="18">
        <f t="shared" si="10"/>
        <v>0.15597238291549001</v>
      </c>
      <c r="M28" s="18">
        <f t="shared" si="10"/>
        <v>0.1367562847516067</v>
      </c>
    </row>
    <row r="29" spans="2:13" x14ac:dyDescent="0.3"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2:13" x14ac:dyDescent="0.3">
      <c r="B30" t="s">
        <v>24</v>
      </c>
      <c r="C30" s="25">
        <f>IFERROR('Data Sheet'!B29,0)</f>
        <v>544.30999999999995</v>
      </c>
      <c r="D30" s="25">
        <f>IFERROR('Data Sheet'!C29,0)</f>
        <v>463.38</v>
      </c>
      <c r="E30" s="25">
        <f>IFERROR('Data Sheet'!D29,0)</f>
        <v>400.03</v>
      </c>
      <c r="F30" s="25">
        <f>IFERROR('Data Sheet'!E29,0)</f>
        <v>331.59</v>
      </c>
      <c r="G30" s="25">
        <f>IFERROR('Data Sheet'!F29,0)</f>
        <v>179.76</v>
      </c>
      <c r="H30" s="25">
        <f>IFERROR('Data Sheet'!G29,0)</f>
        <v>250.11</v>
      </c>
      <c r="I30" s="25">
        <f>IFERROR('Data Sheet'!H29,0)</f>
        <v>569.53</v>
      </c>
      <c r="J30" s="25">
        <f>IFERROR('Data Sheet'!I29,0)</f>
        <v>631.20000000000005</v>
      </c>
      <c r="K30" s="25">
        <f>IFERROR('Data Sheet'!J29,0)</f>
        <v>888.76</v>
      </c>
      <c r="L30" s="25">
        <f>IFERROR('Data Sheet'!K29,0)</f>
        <v>933.8</v>
      </c>
      <c r="M30" s="25">
        <f>IFERROR(SUM('Data Sheet'!H48:K48),0)</f>
        <v>1051.72</v>
      </c>
    </row>
    <row r="31" spans="2:13" x14ac:dyDescent="0.3">
      <c r="B31" s="17" t="s">
        <v>72</v>
      </c>
      <c r="C31" s="18">
        <f>IFERROR(C30/C27,0)</f>
        <v>0.29421366990081338</v>
      </c>
      <c r="D31" s="18">
        <f t="shared" ref="D31:M31" si="11">IFERROR(D30/D27,0)</f>
        <v>0.28453357567421533</v>
      </c>
      <c r="E31" s="18">
        <f t="shared" si="11"/>
        <v>0.26849993623604729</v>
      </c>
      <c r="F31" s="18">
        <f t="shared" si="11"/>
        <v>0.21832080167498435</v>
      </c>
      <c r="G31" s="18">
        <f t="shared" si="11"/>
        <v>0.17727810650887527</v>
      </c>
      <c r="H31" s="18">
        <f t="shared" si="11"/>
        <v>0.18002202500485834</v>
      </c>
      <c r="I31" s="18">
        <f t="shared" si="11"/>
        <v>0.35538541218168329</v>
      </c>
      <c r="J31" s="18">
        <f t="shared" si="11"/>
        <v>0.34416951111789645</v>
      </c>
      <c r="K31" s="18">
        <f t="shared" si="11"/>
        <v>0.29389531326986501</v>
      </c>
      <c r="L31" s="18">
        <f t="shared" si="11"/>
        <v>0.2750936815064457</v>
      </c>
      <c r="M31" s="18">
        <f t="shared" si="11"/>
        <v>0.34526431898835569</v>
      </c>
    </row>
    <row r="33" spans="1:13" x14ac:dyDescent="0.3">
      <c r="B33" s="19" t="s">
        <v>73</v>
      </c>
      <c r="C33" s="23">
        <f>IFERROR((C27-C30),0)</f>
        <v>1305.7400000000007</v>
      </c>
      <c r="D33" s="23">
        <f t="shared" ref="D33:M33" si="12">IFERROR((D27-D30),0)</f>
        <v>1165.1799999999994</v>
      </c>
      <c r="E33" s="23">
        <f t="shared" si="12"/>
        <v>1089.8400000000008</v>
      </c>
      <c r="F33" s="23">
        <f t="shared" si="12"/>
        <v>1187.2300000000012</v>
      </c>
      <c r="G33" s="23">
        <f t="shared" si="12"/>
        <v>834.24000000000274</v>
      </c>
      <c r="H33" s="23">
        <f t="shared" si="12"/>
        <v>1139.2200000000012</v>
      </c>
      <c r="I33" s="23">
        <f t="shared" si="12"/>
        <v>1033.0399999999995</v>
      </c>
      <c r="J33" s="23">
        <f t="shared" si="12"/>
        <v>1202.7800000000009</v>
      </c>
      <c r="K33" s="23">
        <f t="shared" si="12"/>
        <v>2135.3099999999977</v>
      </c>
      <c r="L33" s="23">
        <f t="shared" si="12"/>
        <v>2460.6800000000003</v>
      </c>
      <c r="M33" s="23">
        <f t="shared" si="12"/>
        <v>1994.4100000000005</v>
      </c>
    </row>
    <row r="34" spans="1:13" x14ac:dyDescent="0.3">
      <c r="B34" s="17" t="s">
        <v>74</v>
      </c>
      <c r="C34" s="18">
        <f>IFERROR((C33/C6),0)</f>
        <v>0.15771082925792312</v>
      </c>
      <c r="D34" s="18">
        <f t="shared" ref="D34:M34" si="13">IFERROR((D33/D6),0)</f>
        <v>0.11453212744227828</v>
      </c>
      <c r="E34" s="18">
        <f t="shared" si="13"/>
        <v>9.6059738538126396E-2</v>
      </c>
      <c r="F34" s="18">
        <f t="shared" si="13"/>
        <v>8.6092921733707597E-2</v>
      </c>
      <c r="G34" s="18">
        <f t="shared" si="13"/>
        <v>5.7956314621978762E-2</v>
      </c>
      <c r="H34" s="18">
        <f t="shared" si="13"/>
        <v>7.5167709068067495E-2</v>
      </c>
      <c r="I34" s="18">
        <f t="shared" si="13"/>
        <v>6.3134953836262483E-2</v>
      </c>
      <c r="J34" s="18">
        <f t="shared" si="13"/>
        <v>7.0206671846061122E-2</v>
      </c>
      <c r="K34" s="18">
        <f t="shared" si="13"/>
        <v>0.11144862703220673</v>
      </c>
      <c r="L34" s="18">
        <f t="shared" si="13"/>
        <v>0.1130653658859348</v>
      </c>
      <c r="M34" s="18">
        <f t="shared" si="13"/>
        <v>8.9539219229465561E-2</v>
      </c>
    </row>
    <row r="36" spans="1:13" x14ac:dyDescent="0.3">
      <c r="C36">
        <f>IFERROR('Data Sheet'!B93,0)</f>
        <v>80.290000000000006</v>
      </c>
      <c r="D36">
        <f>IFERROR('Data Sheet'!C93,0)</f>
        <v>80.290000000000006</v>
      </c>
      <c r="E36">
        <f>IFERROR('Data Sheet'!D93,0)</f>
        <v>80.3</v>
      </c>
      <c r="F36">
        <f>IFERROR('Data Sheet'!E93,0)</f>
        <v>80.34</v>
      </c>
      <c r="G36">
        <f>IFERROR('Data Sheet'!F93,0)</f>
        <v>80.45</v>
      </c>
      <c r="H36">
        <f>IFERROR('Data Sheet'!G93,0)</f>
        <v>80.510000000000005</v>
      </c>
      <c r="I36">
        <f>IFERROR('Data Sheet'!H93,0)</f>
        <v>80.569999999999993</v>
      </c>
      <c r="J36">
        <f>IFERROR('Data Sheet'!I93,0)</f>
        <v>80.62</v>
      </c>
      <c r="K36">
        <f>IFERROR('Data Sheet'!J93,0)</f>
        <v>80.650000000000006</v>
      </c>
      <c r="L36">
        <f>IFERROR('Data Sheet'!K93,0)</f>
        <v>80.680000000000007</v>
      </c>
      <c r="M36">
        <f>L36</f>
        <v>80.680000000000007</v>
      </c>
    </row>
    <row r="38" spans="1:13" x14ac:dyDescent="0.3">
      <c r="B38" s="19" t="s">
        <v>75</v>
      </c>
      <c r="C38" s="20">
        <f>IFERROR(C33/C36,0)</f>
        <v>16.262797359571561</v>
      </c>
      <c r="D38" s="20">
        <f t="shared" ref="D38:M38" si="14">IFERROR(D33/D36,0)</f>
        <v>14.512143479885406</v>
      </c>
      <c r="E38" s="20">
        <f t="shared" si="14"/>
        <v>13.572104607721057</v>
      </c>
      <c r="F38" s="20">
        <f t="shared" si="14"/>
        <v>14.777570326114029</v>
      </c>
      <c r="G38" s="20">
        <f t="shared" si="14"/>
        <v>10.369670602858951</v>
      </c>
      <c r="H38" s="20">
        <f t="shared" si="14"/>
        <v>14.150043472860528</v>
      </c>
      <c r="I38" s="20">
        <f t="shared" si="14"/>
        <v>12.821645773861233</v>
      </c>
      <c r="J38" s="20">
        <f t="shared" si="14"/>
        <v>14.919126767551486</v>
      </c>
      <c r="K38" s="20">
        <f t="shared" si="14"/>
        <v>26.476255424674488</v>
      </c>
      <c r="L38" s="20">
        <f t="shared" si="14"/>
        <v>30.499256321269211</v>
      </c>
      <c r="M38" s="20">
        <f t="shared" si="14"/>
        <v>24.720004957858208</v>
      </c>
    </row>
    <row r="39" spans="1:13" x14ac:dyDescent="0.3">
      <c r="B39" s="17" t="s">
        <v>77</v>
      </c>
      <c r="C39" s="18"/>
      <c r="D39" s="18">
        <f>IFERROR(D38/C38-1,0)</f>
        <v>-0.10764777061283359</v>
      </c>
      <c r="E39" s="18">
        <f t="shared" ref="E39:M39" si="15">IFERROR(E38/D38-1,0)</f>
        <v>-6.4776018337145858E-2</v>
      </c>
      <c r="F39" s="18">
        <f t="shared" si="15"/>
        <v>8.8819365399467332E-2</v>
      </c>
      <c r="G39" s="18">
        <f t="shared" si="15"/>
        <v>-0.29828311596431412</v>
      </c>
      <c r="H39" s="18">
        <f t="shared" si="15"/>
        <v>0.36456055498612616</v>
      </c>
      <c r="I39" s="18">
        <f t="shared" si="15"/>
        <v>-9.3879407617872834E-2</v>
      </c>
      <c r="J39" s="18">
        <f t="shared" si="15"/>
        <v>0.16358906108342741</v>
      </c>
      <c r="K39" s="18">
        <f t="shared" si="15"/>
        <v>0.77465181690521612</v>
      </c>
      <c r="L39" s="18">
        <f t="shared" si="15"/>
        <v>0.15194750284987424</v>
      </c>
      <c r="M39" s="18">
        <f t="shared" si="15"/>
        <v>-0.18948827153469761</v>
      </c>
    </row>
    <row r="41" spans="1:13" x14ac:dyDescent="0.3">
      <c r="B41" s="19" t="s">
        <v>76</v>
      </c>
      <c r="C41" s="20">
        <f>IFERROR('Data Sheet'!B31/'Data Sheet'!B93,0)</f>
        <v>2</v>
      </c>
      <c r="D41" s="20">
        <f>IFERROR('Data Sheet'!C31/'Data Sheet'!C93,0)</f>
        <v>2</v>
      </c>
      <c r="E41" s="20">
        <f>IFERROR('Data Sheet'!D31/'Data Sheet'!D93,0)</f>
        <v>1.9998754669987548</v>
      </c>
      <c r="F41" s="20">
        <f>IFERROR('Data Sheet'!E31/'Data Sheet'!E93,0)</f>
        <v>2</v>
      </c>
      <c r="G41" s="20">
        <f>IFERROR('Data Sheet'!F31/'Data Sheet'!F93,0)</f>
        <v>2</v>
      </c>
      <c r="H41" s="20">
        <f>IFERROR('Data Sheet'!G31/'Data Sheet'!G93,0)</f>
        <v>3</v>
      </c>
      <c r="I41" s="20">
        <f>IFERROR('Data Sheet'!H31/'Data Sheet'!H93,0)</f>
        <v>3.0000000000000004</v>
      </c>
      <c r="J41" s="20">
        <f>IFERROR('Data Sheet'!I31/'Data Sheet'!I93,0)</f>
        <v>4.0002480774001485</v>
      </c>
      <c r="K41" s="20">
        <f>IFERROR('Data Sheet'!J31/'Data Sheet'!J93,0)</f>
        <v>4.9996280223186611</v>
      </c>
      <c r="L41" s="20">
        <f>IFERROR('Data Sheet'!K31/'Data Sheet'!K93,0)</f>
        <v>4.9999999999999991</v>
      </c>
      <c r="M41" s="20">
        <f>IFERROR('Data Sheet'!L31/'Data Sheet'!L93,0)</f>
        <v>0</v>
      </c>
    </row>
    <row r="42" spans="1:13" x14ac:dyDescent="0.3">
      <c r="B42" s="17" t="s">
        <v>79</v>
      </c>
      <c r="C42" s="18">
        <f>IFERROR(C41/C38,0)</f>
        <v>0.12298007260250886</v>
      </c>
      <c r="D42" s="18">
        <f t="shared" ref="D42:M42" si="16">IFERROR(D41/D38,0)</f>
        <v>0.13781561647127491</v>
      </c>
      <c r="E42" s="18">
        <f t="shared" si="16"/>
        <v>0.14735190486676933</v>
      </c>
      <c r="F42" s="18">
        <f t="shared" si="16"/>
        <v>0.13534024578219878</v>
      </c>
      <c r="G42" s="18">
        <f t="shared" si="16"/>
        <v>0.19287015726889084</v>
      </c>
      <c r="H42" s="18">
        <f t="shared" si="16"/>
        <v>0.21201348290935884</v>
      </c>
      <c r="I42" s="18">
        <f t="shared" si="16"/>
        <v>0.23397932316270439</v>
      </c>
      <c r="J42" s="18">
        <f t="shared" si="16"/>
        <v>0.26812883486589384</v>
      </c>
      <c r="K42" s="18">
        <f t="shared" si="16"/>
        <v>0.18883440811872773</v>
      </c>
      <c r="L42" s="18">
        <f t="shared" si="16"/>
        <v>0.16393842352520438</v>
      </c>
      <c r="M42" s="18">
        <f t="shared" si="16"/>
        <v>0</v>
      </c>
    </row>
    <row r="44" spans="1:13" x14ac:dyDescent="0.3">
      <c r="B44" t="s">
        <v>80</v>
      </c>
      <c r="C44" s="14">
        <f>IFERROR(IF(C38&gt;C41,1-C42,0),0)</f>
        <v>0.87701992739749113</v>
      </c>
      <c r="D44" s="14">
        <f t="shared" ref="D44:M44" si="17">IFERROR(IF(D38&gt;D41,1-D42,0),0)</f>
        <v>0.86218438352872506</v>
      </c>
      <c r="E44" s="14">
        <f t="shared" si="17"/>
        <v>0.8526480951332307</v>
      </c>
      <c r="F44" s="14">
        <f t="shared" si="17"/>
        <v>0.86465975421780117</v>
      </c>
      <c r="G44" s="14">
        <f t="shared" si="17"/>
        <v>0.8071298427311091</v>
      </c>
      <c r="H44" s="14">
        <f t="shared" si="17"/>
        <v>0.78798651709064116</v>
      </c>
      <c r="I44" s="14">
        <f t="shared" si="17"/>
        <v>0.76602067683729558</v>
      </c>
      <c r="J44" s="14">
        <f t="shared" si="17"/>
        <v>0.73187116513410611</v>
      </c>
      <c r="K44" s="14">
        <f t="shared" si="17"/>
        <v>0.81116559188127224</v>
      </c>
      <c r="L44" s="14">
        <f t="shared" si="17"/>
        <v>0.83606157647479562</v>
      </c>
      <c r="M44" s="14">
        <f t="shared" si="17"/>
        <v>1</v>
      </c>
    </row>
    <row r="47" spans="1:13" x14ac:dyDescent="0.3">
      <c r="A47" t="s">
        <v>57</v>
      </c>
      <c r="B47" s="21" t="s">
        <v>81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</row>
    <row r="49" spans="2:13" x14ac:dyDescent="0.3">
      <c r="B49" t="s">
        <v>31</v>
      </c>
      <c r="C49" s="25">
        <f>IFERROR('Data Sheet'!B57,0)</f>
        <v>160.58000000000001</v>
      </c>
      <c r="D49" s="25">
        <f>IFERROR('Data Sheet'!C57,0)</f>
        <v>160.58000000000001</v>
      </c>
      <c r="E49" s="25">
        <f>IFERROR('Data Sheet'!D57,0)</f>
        <v>160.59</v>
      </c>
      <c r="F49" s="25">
        <f>IFERROR('Data Sheet'!E57,0)</f>
        <v>160.68</v>
      </c>
      <c r="G49" s="25">
        <f>IFERROR('Data Sheet'!F57,0)</f>
        <v>160.9</v>
      </c>
      <c r="H49" s="25">
        <f>IFERROR('Data Sheet'!G57,0)</f>
        <v>161.02000000000001</v>
      </c>
      <c r="I49" s="25">
        <f>IFERROR('Data Sheet'!H57,0)</f>
        <v>161.13999999999999</v>
      </c>
      <c r="J49" s="25">
        <f>IFERROR('Data Sheet'!I57,0)</f>
        <v>161.25</v>
      </c>
      <c r="K49" s="25">
        <f>IFERROR('Data Sheet'!J57,0)</f>
        <v>161.29</v>
      </c>
      <c r="L49" s="25">
        <f>IFERROR('Data Sheet'!K57,0)</f>
        <v>161.36000000000001</v>
      </c>
      <c r="M49" s="25">
        <f>IFERROR('Data Sheet'!L57,0)</f>
        <v>0</v>
      </c>
    </row>
    <row r="50" spans="2:13" x14ac:dyDescent="0.3">
      <c r="B50" t="s">
        <v>32</v>
      </c>
      <c r="C50" s="25">
        <f>IFERROR('Data Sheet'!B58,0)</f>
        <v>8858.1</v>
      </c>
      <c r="D50" s="25">
        <f>IFERROR('Data Sheet'!C58,0)</f>
        <v>9889.77</v>
      </c>
      <c r="E50" s="25">
        <f>IFERROR('Data Sheet'!D58,0)</f>
        <v>10640.9</v>
      </c>
      <c r="F50" s="25">
        <f>IFERROR('Data Sheet'!E58,0)</f>
        <v>11355.54</v>
      </c>
      <c r="G50" s="25">
        <f>IFERROR('Data Sheet'!F58,0)</f>
        <v>12382.76</v>
      </c>
      <c r="H50" s="25">
        <f>IFERROR('Data Sheet'!G58,0)</f>
        <v>14068.17</v>
      </c>
      <c r="I50" s="25">
        <f>IFERROR('Data Sheet'!H58,0)</f>
        <v>14851.14</v>
      </c>
      <c r="J50" s="25">
        <f>IFERROR('Data Sheet'!I58,0)</f>
        <v>15601.75</v>
      </c>
      <c r="K50" s="25">
        <f>IFERROR('Data Sheet'!J58,0)</f>
        <v>18165.240000000002</v>
      </c>
      <c r="L50" s="25">
        <f>IFERROR('Data Sheet'!K58,0)</f>
        <v>20680.330000000002</v>
      </c>
      <c r="M50" s="25">
        <f>IFERROR('Data Sheet'!L58,0)</f>
        <v>0</v>
      </c>
    </row>
    <row r="51" spans="2:13" x14ac:dyDescent="0.3">
      <c r="B51" t="s">
        <v>33</v>
      </c>
      <c r="C51" s="25">
        <f>IFERROR('Data Sheet'!B59,0)</f>
        <v>967.07</v>
      </c>
      <c r="D51" s="25">
        <f>IFERROR('Data Sheet'!C59,0)</f>
        <v>1247.9100000000001</v>
      </c>
      <c r="E51" s="25">
        <f>IFERROR('Data Sheet'!D59,0)</f>
        <v>1703.33</v>
      </c>
      <c r="F51" s="25">
        <f>IFERROR('Data Sheet'!E59,0)</f>
        <v>5201.92</v>
      </c>
      <c r="G51" s="25">
        <f>IFERROR('Data Sheet'!F59,0)</f>
        <v>4112.66</v>
      </c>
      <c r="H51" s="25">
        <f>IFERROR('Data Sheet'!G59,0)</f>
        <v>4098.05</v>
      </c>
      <c r="I51" s="25">
        <f>IFERROR('Data Sheet'!H59,0)</f>
        <v>4316.2299999999996</v>
      </c>
      <c r="J51" s="25">
        <f>IFERROR('Data Sheet'!I59,0)</f>
        <v>2816.43</v>
      </c>
      <c r="K51" s="25">
        <f>IFERROR('Data Sheet'!J59,0)</f>
        <v>2014.41</v>
      </c>
      <c r="L51" s="25">
        <f>IFERROR('Data Sheet'!K59,0)</f>
        <v>1055.78</v>
      </c>
      <c r="M51" s="25">
        <f>IFERROR('Data Sheet'!L59,0)</f>
        <v>0</v>
      </c>
    </row>
    <row r="52" spans="2:13" x14ac:dyDescent="0.3">
      <c r="B52" t="s">
        <v>34</v>
      </c>
      <c r="C52" s="25">
        <f>IFERROR('Data Sheet'!B60,0)</f>
        <v>1672.02</v>
      </c>
      <c r="D52" s="25">
        <f>IFERROR('Data Sheet'!C60,0)</f>
        <v>2102.1</v>
      </c>
      <c r="E52" s="25">
        <f>IFERROR('Data Sheet'!D60,0)</f>
        <v>3165.6</v>
      </c>
      <c r="F52" s="25">
        <f>IFERROR('Data Sheet'!E60,0)</f>
        <v>4331.3500000000004</v>
      </c>
      <c r="G52" s="25">
        <f>IFERROR('Data Sheet'!F60,0)</f>
        <v>4212.62</v>
      </c>
      <c r="H52" s="25">
        <f>IFERROR('Data Sheet'!G60,0)</f>
        <v>4345.66</v>
      </c>
      <c r="I52" s="25">
        <f>IFERROR('Data Sheet'!H60,0)</f>
        <v>4433.3999999999996</v>
      </c>
      <c r="J52" s="25">
        <f>IFERROR('Data Sheet'!I60,0)</f>
        <v>4843.3599999999997</v>
      </c>
      <c r="K52" s="25">
        <f>IFERROR('Data Sheet'!J60,0)</f>
        <v>4514.34</v>
      </c>
      <c r="L52" s="25">
        <f>IFERROR('Data Sheet'!K60,0)</f>
        <v>4959.6899999999996</v>
      </c>
      <c r="M52" s="25">
        <f>IFERROR('Data Sheet'!L60,0)</f>
        <v>0</v>
      </c>
    </row>
    <row r="53" spans="2:13" x14ac:dyDescent="0.3">
      <c r="B53" s="19" t="s">
        <v>82</v>
      </c>
      <c r="C53" s="23">
        <f>IFERROR(SUM(C49:C52),0)</f>
        <v>11657.77</v>
      </c>
      <c r="D53" s="23">
        <f t="shared" ref="D53:M53" si="18">IFERROR(SUM(D49:D52),0)</f>
        <v>13400.36</v>
      </c>
      <c r="E53" s="23">
        <f t="shared" si="18"/>
        <v>15670.42</v>
      </c>
      <c r="F53" s="23">
        <f t="shared" si="18"/>
        <v>21049.489999999998</v>
      </c>
      <c r="G53" s="23">
        <f t="shared" si="18"/>
        <v>20868.939999999999</v>
      </c>
      <c r="H53" s="23">
        <f t="shared" si="18"/>
        <v>22672.9</v>
      </c>
      <c r="I53" s="23">
        <f t="shared" si="18"/>
        <v>23761.909999999996</v>
      </c>
      <c r="J53" s="23">
        <f t="shared" si="18"/>
        <v>23422.79</v>
      </c>
      <c r="K53" s="23">
        <f t="shared" si="18"/>
        <v>24855.280000000002</v>
      </c>
      <c r="L53" s="23">
        <f t="shared" si="18"/>
        <v>26857.16</v>
      </c>
      <c r="M53" s="23">
        <f t="shared" si="18"/>
        <v>0</v>
      </c>
    </row>
    <row r="55" spans="2:13" x14ac:dyDescent="0.3">
      <c r="B55" t="s">
        <v>140</v>
      </c>
      <c r="C55" s="25">
        <f>IFERROR('Data Sheet'!B62,0)</f>
        <v>3609.97</v>
      </c>
      <c r="D55" s="25">
        <f>IFERROR('Data Sheet'!C62,0)</f>
        <v>6496.47</v>
      </c>
      <c r="E55" s="25">
        <f>IFERROR('Data Sheet'!D62,0)</f>
        <v>6829.64</v>
      </c>
      <c r="F55" s="25">
        <f>IFERROR('Data Sheet'!E62,0)</f>
        <v>9368.32</v>
      </c>
      <c r="G55" s="25">
        <f>IFERROR('Data Sheet'!F62,0)</f>
        <v>9491.98</v>
      </c>
      <c r="H55" s="25">
        <f>IFERROR('Data Sheet'!G62,0)</f>
        <v>9950.17</v>
      </c>
      <c r="I55" s="25">
        <f>IFERROR('Data Sheet'!H62,0)</f>
        <v>9608.36</v>
      </c>
      <c r="J55" s="25">
        <f>IFERROR('Data Sheet'!I62,0)</f>
        <v>9682.89</v>
      </c>
      <c r="K55" s="25">
        <f>IFERROR('Data Sheet'!J62,0)</f>
        <v>9515.52</v>
      </c>
      <c r="L55" s="25">
        <f>IFERROR('Data Sheet'!K62,0)</f>
        <v>9683.33</v>
      </c>
      <c r="M55" s="25">
        <f>IFERROR('Data Sheet'!L62,0)</f>
        <v>0</v>
      </c>
    </row>
    <row r="56" spans="2:13" x14ac:dyDescent="0.3">
      <c r="B56" t="s">
        <v>37</v>
      </c>
      <c r="C56" s="25">
        <f>IFERROR('Data Sheet'!B63,0)</f>
        <v>377.79</v>
      </c>
      <c r="D56" s="25">
        <f>IFERROR('Data Sheet'!C63,0)</f>
        <v>441.84</v>
      </c>
      <c r="E56" s="25">
        <f>IFERROR('Data Sheet'!D63,0)</f>
        <v>580.9</v>
      </c>
      <c r="F56" s="25">
        <f>IFERROR('Data Sheet'!E63,0)</f>
        <v>2060.87</v>
      </c>
      <c r="G56" s="25">
        <f>IFERROR('Data Sheet'!F63,0)</f>
        <v>1682.98</v>
      </c>
      <c r="H56" s="25">
        <f>IFERROR('Data Sheet'!G63,0)</f>
        <v>981.33</v>
      </c>
      <c r="I56" s="25">
        <f>IFERROR('Data Sheet'!H63,0)</f>
        <v>676.18</v>
      </c>
      <c r="J56" s="25">
        <f>IFERROR('Data Sheet'!I63,0)</f>
        <v>824.53</v>
      </c>
      <c r="K56" s="25">
        <f>IFERROR('Data Sheet'!J63,0)</f>
        <v>968.89</v>
      </c>
      <c r="L56" s="25">
        <f>IFERROR('Data Sheet'!K63,0)</f>
        <v>766.18</v>
      </c>
      <c r="M56" s="25">
        <f>IFERROR('Data Sheet'!L63,0)</f>
        <v>0</v>
      </c>
    </row>
    <row r="57" spans="2:13" x14ac:dyDescent="0.3">
      <c r="B57" t="s">
        <v>38</v>
      </c>
      <c r="C57" s="25">
        <f>IFERROR('Data Sheet'!B64,0)</f>
        <v>2532.44</v>
      </c>
      <c r="D57" s="25">
        <f>IFERROR('Data Sheet'!C64,0)</f>
        <v>708.57</v>
      </c>
      <c r="E57" s="25">
        <f>IFERROR('Data Sheet'!D64,0)</f>
        <v>639.78</v>
      </c>
      <c r="F57" s="25">
        <f>IFERROR('Data Sheet'!E64,0)</f>
        <v>758.69</v>
      </c>
      <c r="G57" s="25">
        <f>IFERROR('Data Sheet'!F64,0)</f>
        <v>973.01</v>
      </c>
      <c r="H57" s="25">
        <f>IFERROR('Data Sheet'!G64,0)</f>
        <v>1258.8399999999999</v>
      </c>
      <c r="I57" s="25">
        <f>IFERROR('Data Sheet'!H64,0)</f>
        <v>2554.14</v>
      </c>
      <c r="J57" s="25">
        <f>IFERROR('Data Sheet'!I64,0)</f>
        <v>1471.02</v>
      </c>
      <c r="K57" s="25">
        <f>IFERROR('Data Sheet'!J64,0)</f>
        <v>2710.05</v>
      </c>
      <c r="L57" s="25">
        <f>IFERROR('Data Sheet'!K64,0)</f>
        <v>2550.6</v>
      </c>
      <c r="M57" s="25">
        <f>IFERROR('Data Sheet'!L64,0)</f>
        <v>0</v>
      </c>
    </row>
    <row r="58" spans="2:13" x14ac:dyDescent="0.3">
      <c r="B58" t="s">
        <v>39</v>
      </c>
      <c r="C58" s="25">
        <f>IFERROR('Data Sheet'!B65-SUM('Data Sheet'!B67:B69),0)</f>
        <v>938.64999999999964</v>
      </c>
      <c r="D58" s="25">
        <f>IFERROR('Data Sheet'!C65-SUM('Data Sheet'!C67:C69),0)</f>
        <v>1043.5699999999988</v>
      </c>
      <c r="E58" s="25">
        <f>IFERROR('Data Sheet'!D65-SUM('Data Sheet'!D67:D69),0)</f>
        <v>1277.5</v>
      </c>
      <c r="F58" s="25">
        <f>IFERROR('Data Sheet'!E65-SUM('Data Sheet'!E67:E69),0)</f>
        <v>1825.8900000000012</v>
      </c>
      <c r="G58" s="25">
        <f>IFERROR('Data Sheet'!F65-SUM('Data Sheet'!F67:F69),0)</f>
        <v>2048.4299999999994</v>
      </c>
      <c r="H58" s="25">
        <f>IFERROR('Data Sheet'!G65-SUM('Data Sheet'!G67:G69),0)</f>
        <v>2369.8000000000002</v>
      </c>
      <c r="I58" s="25">
        <f>IFERROR('Data Sheet'!H65-SUM('Data Sheet'!H67:H69),0)</f>
        <v>2188.869999999999</v>
      </c>
      <c r="J58" s="25">
        <f>IFERROR('Data Sheet'!I65-SUM('Data Sheet'!I67:I69),0)</f>
        <v>2171.5300000000007</v>
      </c>
      <c r="K58" s="25">
        <f>IFERROR('Data Sheet'!J65-SUM('Data Sheet'!J67:J69),0)</f>
        <v>2144.7299999999996</v>
      </c>
      <c r="L58" s="25">
        <f>IFERROR('Data Sheet'!K65-SUM('Data Sheet'!K67:K69),0)</f>
        <v>3153.8899999999994</v>
      </c>
      <c r="M58" s="25">
        <f>IFERROR('Data Sheet'!L65-SUM('Data Sheet'!L67:L69),0)</f>
        <v>0</v>
      </c>
    </row>
    <row r="59" spans="2:13" x14ac:dyDescent="0.3">
      <c r="B59" s="19" t="s">
        <v>83</v>
      </c>
      <c r="C59" s="23">
        <f>IFERROR(SUM(C55:C58),0)</f>
        <v>7458.8499999999995</v>
      </c>
      <c r="D59" s="23">
        <f t="shared" ref="D59:M59" si="19">IFERROR(SUM(D55:D58),0)</f>
        <v>8690.4499999999989</v>
      </c>
      <c r="E59" s="23">
        <f t="shared" si="19"/>
        <v>9327.82</v>
      </c>
      <c r="F59" s="23">
        <f t="shared" si="19"/>
        <v>14013.77</v>
      </c>
      <c r="G59" s="23">
        <f t="shared" si="19"/>
        <v>14196.399999999998</v>
      </c>
      <c r="H59" s="23">
        <f t="shared" si="19"/>
        <v>14560.14</v>
      </c>
      <c r="I59" s="23">
        <f t="shared" si="19"/>
        <v>15027.55</v>
      </c>
      <c r="J59" s="23">
        <f t="shared" si="19"/>
        <v>14149.970000000001</v>
      </c>
      <c r="K59" s="23">
        <f t="shared" si="19"/>
        <v>15339.189999999999</v>
      </c>
      <c r="L59" s="23">
        <f t="shared" si="19"/>
        <v>16154</v>
      </c>
      <c r="M59" s="23">
        <f t="shared" si="19"/>
        <v>0</v>
      </c>
    </row>
    <row r="61" spans="2:13" x14ac:dyDescent="0.3">
      <c r="B61" t="s">
        <v>40</v>
      </c>
      <c r="C61" s="25">
        <f>IFERROR('Data Sheet'!B67,0)</f>
        <v>1668.84</v>
      </c>
      <c r="D61" s="25">
        <f>IFERROR('Data Sheet'!C67,0)</f>
        <v>1638.89</v>
      </c>
      <c r="E61" s="25">
        <f>IFERROR('Data Sheet'!D67,0)</f>
        <v>1997.72</v>
      </c>
      <c r="F61" s="25">
        <f>IFERROR('Data Sheet'!E67,0)</f>
        <v>2356.27</v>
      </c>
      <c r="G61" s="25">
        <f>IFERROR('Data Sheet'!F67,0)</f>
        <v>2563.0500000000002</v>
      </c>
      <c r="H61" s="25">
        <f>IFERROR('Data Sheet'!G67,0)</f>
        <v>3102.45</v>
      </c>
      <c r="I61" s="25">
        <f>IFERROR('Data Sheet'!H67,0)</f>
        <v>4150.72</v>
      </c>
      <c r="J61" s="25">
        <f>IFERROR('Data Sheet'!I67,0)</f>
        <v>3891.31</v>
      </c>
      <c r="K61" s="25">
        <f>IFERROR('Data Sheet'!J67,0)</f>
        <v>3445.68</v>
      </c>
      <c r="L61" s="25">
        <f>IFERROR('Data Sheet'!K67,0)</f>
        <v>3424.44</v>
      </c>
      <c r="M61" s="25">
        <f>IFERROR('Data Sheet'!L67,0)</f>
        <v>0</v>
      </c>
    </row>
    <row r="62" spans="2:13" x14ac:dyDescent="0.3">
      <c r="B62" t="s">
        <v>41</v>
      </c>
      <c r="C62" s="25">
        <f>IFERROR('Data Sheet'!B68,0)</f>
        <v>2387.0700000000002</v>
      </c>
      <c r="D62" s="25">
        <f>IFERROR('Data Sheet'!C68,0)</f>
        <v>2895.26</v>
      </c>
      <c r="E62" s="25">
        <f>IFERROR('Data Sheet'!D68,0)</f>
        <v>3780.62</v>
      </c>
      <c r="F62" s="25">
        <f>IFERROR('Data Sheet'!E68,0)</f>
        <v>3808.05</v>
      </c>
      <c r="G62" s="25">
        <f>IFERROR('Data Sheet'!F68,0)</f>
        <v>3485.28</v>
      </c>
      <c r="H62" s="25">
        <f>IFERROR('Data Sheet'!G68,0)</f>
        <v>4044.7</v>
      </c>
      <c r="I62" s="25">
        <f>IFERROR('Data Sheet'!H68,0)</f>
        <v>3964.83</v>
      </c>
      <c r="J62" s="25">
        <f>IFERROR('Data Sheet'!I68,0)</f>
        <v>4377.6000000000004</v>
      </c>
      <c r="K62" s="25">
        <f>IFERROR('Data Sheet'!J68,0)</f>
        <v>4669.18</v>
      </c>
      <c r="L62" s="25">
        <f>IFERROR('Data Sheet'!K68,0)</f>
        <v>5350.24</v>
      </c>
      <c r="M62" s="25">
        <f>IFERROR('Data Sheet'!L68,0)</f>
        <v>0</v>
      </c>
    </row>
    <row r="63" spans="2:13" x14ac:dyDescent="0.3">
      <c r="B63" t="s">
        <v>42</v>
      </c>
      <c r="C63" s="25">
        <f>IFERROR('Data Sheet'!B69,0)</f>
        <v>143.01</v>
      </c>
      <c r="D63" s="25">
        <f>IFERROR('Data Sheet'!C69,0)</f>
        <v>175.76</v>
      </c>
      <c r="E63" s="25">
        <f>IFERROR('Data Sheet'!D69,0)</f>
        <v>564.26</v>
      </c>
      <c r="F63" s="25">
        <f>IFERROR('Data Sheet'!E69,0)</f>
        <v>871.4</v>
      </c>
      <c r="G63" s="25">
        <f>IFERROR('Data Sheet'!F69,0)</f>
        <v>624.21</v>
      </c>
      <c r="H63" s="25">
        <f>IFERROR('Data Sheet'!G69,0)</f>
        <v>965.61</v>
      </c>
      <c r="I63" s="25">
        <f>IFERROR('Data Sheet'!H69,0)</f>
        <v>618.80999999999995</v>
      </c>
      <c r="J63" s="25">
        <f>IFERROR('Data Sheet'!I69,0)</f>
        <v>1003.91</v>
      </c>
      <c r="K63" s="25">
        <f>IFERROR('Data Sheet'!J69,0)</f>
        <v>1401.23</v>
      </c>
      <c r="L63" s="25">
        <f>IFERROR('Data Sheet'!K69,0)</f>
        <v>1928.48</v>
      </c>
      <c r="M63" s="25">
        <f>IFERROR('Data Sheet'!L69,0)</f>
        <v>0</v>
      </c>
    </row>
    <row r="64" spans="2:13" x14ac:dyDescent="0.3">
      <c r="B64" s="19" t="s">
        <v>84</v>
      </c>
      <c r="C64" s="23">
        <f>IFERROR(SUM(C61:C63),0)</f>
        <v>4198.92</v>
      </c>
      <c r="D64" s="23">
        <f t="shared" ref="D64:M64" si="20">IFERROR(SUM(D61:D63),0)</f>
        <v>4709.9100000000008</v>
      </c>
      <c r="E64" s="23">
        <f t="shared" si="20"/>
        <v>6342.6</v>
      </c>
      <c r="F64" s="23">
        <f t="shared" si="20"/>
        <v>7035.7199999999993</v>
      </c>
      <c r="G64" s="23">
        <f t="shared" si="20"/>
        <v>6672.54</v>
      </c>
      <c r="H64" s="23">
        <f t="shared" si="20"/>
        <v>8112.7599999999993</v>
      </c>
      <c r="I64" s="23">
        <f t="shared" si="20"/>
        <v>8734.36</v>
      </c>
      <c r="J64" s="23">
        <f t="shared" si="20"/>
        <v>9272.82</v>
      </c>
      <c r="K64" s="23">
        <f t="shared" si="20"/>
        <v>9516.09</v>
      </c>
      <c r="L64" s="23">
        <f t="shared" si="20"/>
        <v>10703.16</v>
      </c>
      <c r="M64" s="23">
        <f t="shared" si="20"/>
        <v>0</v>
      </c>
    </row>
    <row r="66" spans="1:13" x14ac:dyDescent="0.3">
      <c r="B66" s="19" t="s">
        <v>85</v>
      </c>
      <c r="C66" s="23">
        <f>IFERROR(SUM(C59,C64),0)</f>
        <v>11657.77</v>
      </c>
      <c r="D66" s="23">
        <f t="shared" ref="D66:M66" si="21">IFERROR(SUM(D59,D64),0)</f>
        <v>13400.36</v>
      </c>
      <c r="E66" s="23">
        <f t="shared" si="21"/>
        <v>15670.42</v>
      </c>
      <c r="F66" s="23">
        <f t="shared" si="21"/>
        <v>21049.489999999998</v>
      </c>
      <c r="G66" s="23">
        <f t="shared" si="21"/>
        <v>20868.939999999999</v>
      </c>
      <c r="H66" s="23">
        <f t="shared" si="21"/>
        <v>22672.899999999998</v>
      </c>
      <c r="I66" s="23">
        <f t="shared" si="21"/>
        <v>23761.91</v>
      </c>
      <c r="J66" s="23">
        <f t="shared" si="21"/>
        <v>23422.79</v>
      </c>
      <c r="K66" s="23">
        <f t="shared" si="21"/>
        <v>24855.279999999999</v>
      </c>
      <c r="L66" s="23">
        <f t="shared" si="21"/>
        <v>26857.16</v>
      </c>
      <c r="M66" s="23">
        <f t="shared" si="21"/>
        <v>0</v>
      </c>
    </row>
    <row r="68" spans="1:13" x14ac:dyDescent="0.3">
      <c r="B68" s="10" t="s">
        <v>86</v>
      </c>
      <c r="C68" s="16" t="b">
        <f>C66=C53</f>
        <v>1</v>
      </c>
      <c r="D68" s="16" t="b">
        <f t="shared" ref="D68:M68" si="22">D66=D53</f>
        <v>1</v>
      </c>
      <c r="E68" s="16" t="b">
        <f t="shared" si="22"/>
        <v>1</v>
      </c>
      <c r="F68" s="16" t="b">
        <f t="shared" si="22"/>
        <v>1</v>
      </c>
      <c r="G68" s="16" t="b">
        <f t="shared" si="22"/>
        <v>1</v>
      </c>
      <c r="H68" s="16" t="b">
        <f t="shared" si="22"/>
        <v>1</v>
      </c>
      <c r="I68" s="16" t="b">
        <f t="shared" si="22"/>
        <v>1</v>
      </c>
      <c r="J68" s="16" t="b">
        <f t="shared" si="22"/>
        <v>1</v>
      </c>
      <c r="K68" s="16" t="b">
        <f t="shared" si="22"/>
        <v>1</v>
      </c>
      <c r="L68" s="16" t="b">
        <f t="shared" si="22"/>
        <v>1</v>
      </c>
      <c r="M68" s="16" t="b">
        <f t="shared" si="22"/>
        <v>1</v>
      </c>
    </row>
    <row r="71" spans="1:13" x14ac:dyDescent="0.3">
      <c r="A71" t="s">
        <v>57</v>
      </c>
      <c r="B71" s="21" t="s">
        <v>108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</row>
    <row r="73" spans="1:13" x14ac:dyDescent="0.3">
      <c r="B73" s="10" t="s">
        <v>109</v>
      </c>
    </row>
    <row r="74" spans="1:13" x14ac:dyDescent="0.3">
      <c r="B74" t="str">
        <f>'Raw CF Data'!B4</f>
        <v>Profit from operations</v>
      </c>
      <c r="C74" s="25">
        <f>IFERROR('Raw CF Data'!C4,0)</f>
        <v>2379</v>
      </c>
      <c r="D74" s="25">
        <f>IFERROR('Raw CF Data'!D4,0)</f>
        <v>2433</v>
      </c>
      <c r="E74" s="25">
        <f>IFERROR('Raw CF Data'!E4,0)</f>
        <v>2284</v>
      </c>
      <c r="F74" s="25">
        <f>IFERROR('Raw CF Data'!F4,0)</f>
        <v>2678</v>
      </c>
      <c r="G74" s="25">
        <f>IFERROR('Raw CF Data'!G4,0)</f>
        <v>2597</v>
      </c>
      <c r="H74" s="25">
        <f>IFERROR('Raw CF Data'!H4,0)</f>
        <v>2963</v>
      </c>
      <c r="I74" s="25">
        <f>IFERROR('Raw CF Data'!I4,0)</f>
        <v>3348</v>
      </c>
      <c r="J74" s="25">
        <f>IFERROR('Raw CF Data'!J4,0)</f>
        <v>3544</v>
      </c>
      <c r="K74" s="25">
        <f>IFERROR('Raw CF Data'!K4,0)</f>
        <v>4421</v>
      </c>
      <c r="L74" s="25">
        <f>IFERROR('Raw CF Data'!L4,0)</f>
        <v>4643</v>
      </c>
      <c r="M74" s="25">
        <f>IFERROR('Raw CF Data'!M4,0)</f>
        <v>0</v>
      </c>
    </row>
    <row r="75" spans="1:13" x14ac:dyDescent="0.3">
      <c r="B75" t="str">
        <f>'Raw CF Data'!B5</f>
        <v>Receivables</v>
      </c>
      <c r="C75" s="25">
        <f>IFERROR('Raw CF Data'!C5,0)</f>
        <v>-166</v>
      </c>
      <c r="D75" s="25">
        <f>IFERROR('Raw CF Data'!D5,0)</f>
        <v>-251</v>
      </c>
      <c r="E75" s="25">
        <f>IFERROR('Raw CF Data'!E5,0)</f>
        <v>-443</v>
      </c>
      <c r="F75" s="25">
        <f>IFERROR('Raw CF Data'!F5,0)</f>
        <v>77</v>
      </c>
      <c r="G75" s="25">
        <f>IFERROR('Raw CF Data'!G5,0)</f>
        <v>-288</v>
      </c>
      <c r="H75" s="25">
        <f>IFERROR('Raw CF Data'!H5,0)</f>
        <v>-855</v>
      </c>
      <c r="I75" s="25">
        <f>IFERROR('Raw CF Data'!I5,0)</f>
        <v>-1015</v>
      </c>
      <c r="J75" s="25">
        <f>IFERROR('Raw CF Data'!J5,0)</f>
        <v>217</v>
      </c>
      <c r="K75" s="25">
        <f>IFERROR('Raw CF Data'!K5,0)</f>
        <v>423</v>
      </c>
      <c r="L75" s="25">
        <f>IFERROR('Raw CF Data'!L5,0)</f>
        <v>81</v>
      </c>
      <c r="M75" s="25">
        <f>IFERROR('Raw CF Data'!M5,0)</f>
        <v>0</v>
      </c>
    </row>
    <row r="76" spans="1:13" x14ac:dyDescent="0.3">
      <c r="B76" t="str">
        <f>'Raw CF Data'!B6</f>
        <v>Inventory</v>
      </c>
      <c r="C76" s="25">
        <f>IFERROR('Raw CF Data'!C6,0)</f>
        <v>-537</v>
      </c>
      <c r="D76" s="25">
        <f>IFERROR('Raw CF Data'!D6,0)</f>
        <v>-175</v>
      </c>
      <c r="E76" s="25">
        <f>IFERROR('Raw CF Data'!E6,0)</f>
        <v>-833</v>
      </c>
      <c r="F76" s="25">
        <f>IFERROR('Raw CF Data'!F6,0)</f>
        <v>-65</v>
      </c>
      <c r="G76" s="25">
        <f>IFERROR('Raw CF Data'!G6,0)</f>
        <v>323</v>
      </c>
      <c r="H76" s="25">
        <f>IFERROR('Raw CF Data'!H6,0)</f>
        <v>-559</v>
      </c>
      <c r="I76" s="25">
        <f>IFERROR('Raw CF Data'!I6,0)</f>
        <v>104</v>
      </c>
      <c r="J76" s="25">
        <f>IFERROR('Raw CF Data'!J6,0)</f>
        <v>-332</v>
      </c>
      <c r="K76" s="25">
        <f>IFERROR('Raw CF Data'!K6,0)</f>
        <v>-254</v>
      </c>
      <c r="L76" s="25">
        <f>IFERROR('Raw CF Data'!L6,0)</f>
        <v>-621</v>
      </c>
      <c r="M76" s="25">
        <f>IFERROR('Raw CF Data'!M6,0)</f>
        <v>0</v>
      </c>
    </row>
    <row r="77" spans="1:13" x14ac:dyDescent="0.3">
      <c r="B77" t="str">
        <f>'Raw CF Data'!B7</f>
        <v>Payables</v>
      </c>
      <c r="C77" s="25">
        <f>IFERROR('Raw CF Data'!C7,0)</f>
        <v>183</v>
      </c>
      <c r="D77" s="25">
        <f>IFERROR('Raw CF Data'!D7,0)</f>
        <v>-135</v>
      </c>
      <c r="E77" s="25">
        <f>IFERROR('Raw CF Data'!E7,0)</f>
        <v>557</v>
      </c>
      <c r="F77" s="25">
        <f>IFERROR('Raw CF Data'!F7,0)</f>
        <v>-441</v>
      </c>
      <c r="G77" s="25">
        <f>IFERROR('Raw CF Data'!G7,0)</f>
        <v>201</v>
      </c>
      <c r="H77" s="25">
        <f>IFERROR('Raw CF Data'!H7,0)</f>
        <v>636</v>
      </c>
      <c r="I77" s="25">
        <f>IFERROR('Raw CF Data'!I7,0)</f>
        <v>-153</v>
      </c>
      <c r="J77" s="25">
        <f>IFERROR('Raw CF Data'!J7,0)</f>
        <v>487</v>
      </c>
      <c r="K77" s="25">
        <f>IFERROR('Raw CF Data'!K7,0)</f>
        <v>203</v>
      </c>
      <c r="L77" s="25">
        <f>IFERROR('Raw CF Data'!L7,0)</f>
        <v>362</v>
      </c>
      <c r="M77" s="25">
        <f>IFERROR('Raw CF Data'!M7,0)</f>
        <v>0</v>
      </c>
    </row>
    <row r="78" spans="1:13" x14ac:dyDescent="0.3">
      <c r="B78" t="str">
        <f>'Raw CF Data'!B8</f>
        <v>Working capital changes</v>
      </c>
      <c r="C78" s="25">
        <f>IFERROR('Raw CF Data'!C8,0)</f>
        <v>-520</v>
      </c>
      <c r="D78" s="25">
        <f>IFERROR('Raw CF Data'!D8,0)</f>
        <v>-561</v>
      </c>
      <c r="E78" s="25">
        <f>IFERROR('Raw CF Data'!E8,0)</f>
        <v>-719</v>
      </c>
      <c r="F78" s="25">
        <f>IFERROR('Raw CF Data'!F8,0)</f>
        <v>-429</v>
      </c>
      <c r="G78" s="25">
        <f>IFERROR('Raw CF Data'!G8,0)</f>
        <v>235</v>
      </c>
      <c r="H78" s="25">
        <f>IFERROR('Raw CF Data'!H8,0)</f>
        <v>-778</v>
      </c>
      <c r="I78" s="25">
        <f>IFERROR('Raw CF Data'!I8,0)</f>
        <v>-1064</v>
      </c>
      <c r="J78" s="25">
        <f>IFERROR('Raw CF Data'!J8,0)</f>
        <v>373</v>
      </c>
      <c r="K78" s="25">
        <f>IFERROR('Raw CF Data'!K8,0)</f>
        <v>372</v>
      </c>
      <c r="L78" s="25">
        <f>IFERROR('Raw CF Data'!L8,0)</f>
        <v>-177</v>
      </c>
      <c r="M78" s="25">
        <f>IFERROR('Raw CF Data'!M8,0)</f>
        <v>0</v>
      </c>
    </row>
    <row r="79" spans="1:13" x14ac:dyDescent="0.3">
      <c r="B79" t="str">
        <f>'Raw CF Data'!B9</f>
        <v>Direct taxes</v>
      </c>
      <c r="C79" s="25">
        <f>IFERROR('Raw CF Data'!C9,0)</f>
        <v>-462</v>
      </c>
      <c r="D79" s="25">
        <f>IFERROR('Raw CF Data'!D9,0)</f>
        <v>-308</v>
      </c>
      <c r="E79" s="25">
        <f>IFERROR('Raw CF Data'!E9,0)</f>
        <v>-392</v>
      </c>
      <c r="F79" s="25">
        <f>IFERROR('Raw CF Data'!F9,0)</f>
        <v>-508</v>
      </c>
      <c r="G79" s="25">
        <f>IFERROR('Raw CF Data'!G9,0)</f>
        <v>-450</v>
      </c>
      <c r="H79" s="25">
        <f>IFERROR('Raw CF Data'!H9,0)</f>
        <v>-722</v>
      </c>
      <c r="I79" s="25">
        <f>IFERROR('Raw CF Data'!I9,0)</f>
        <v>-593</v>
      </c>
      <c r="J79" s="25">
        <f>IFERROR('Raw CF Data'!J9,0)</f>
        <v>-848</v>
      </c>
      <c r="K79" s="25">
        <f>IFERROR('Raw CF Data'!K9,0)</f>
        <v>-1037</v>
      </c>
      <c r="L79" s="25">
        <f>IFERROR('Raw CF Data'!L9,0)</f>
        <v>-1140</v>
      </c>
      <c r="M79" s="25">
        <f>IFERROR('Raw CF Data'!M9,0)</f>
        <v>0</v>
      </c>
    </row>
    <row r="80" spans="1:13" ht="15" thickBot="1" x14ac:dyDescent="0.35">
      <c r="B80" s="27" t="s">
        <v>109</v>
      </c>
      <c r="C80" s="28">
        <f>IFERROR(SUM(C74:C79),0)</f>
        <v>877</v>
      </c>
      <c r="D80" s="28">
        <f t="shared" ref="D80:M80" si="23">IFERROR(SUM(D74:D79),0)</f>
        <v>1003</v>
      </c>
      <c r="E80" s="28">
        <f t="shared" si="23"/>
        <v>454</v>
      </c>
      <c r="F80" s="28">
        <f t="shared" si="23"/>
        <v>1312</v>
      </c>
      <c r="G80" s="28">
        <f t="shared" si="23"/>
        <v>2618</v>
      </c>
      <c r="H80" s="28">
        <f t="shared" si="23"/>
        <v>685</v>
      </c>
      <c r="I80" s="28">
        <f t="shared" si="23"/>
        <v>627</v>
      </c>
      <c r="J80" s="28">
        <f t="shared" si="23"/>
        <v>3441</v>
      </c>
      <c r="K80" s="28">
        <f t="shared" si="23"/>
        <v>4128</v>
      </c>
      <c r="L80" s="28">
        <f t="shared" si="23"/>
        <v>3148</v>
      </c>
      <c r="M80" s="28">
        <f t="shared" si="23"/>
        <v>0</v>
      </c>
    </row>
    <row r="81" spans="2:13" ht="15" thickTop="1" x14ac:dyDescent="0.3"/>
    <row r="82" spans="2:13" x14ac:dyDescent="0.3">
      <c r="B82" s="10" t="s">
        <v>110</v>
      </c>
    </row>
    <row r="83" spans="2:13" x14ac:dyDescent="0.3">
      <c r="B83" t="str">
        <f>'Raw CF Data'!B11</f>
        <v>Fixed assets purchased</v>
      </c>
      <c r="C83" s="25">
        <f>IFERROR('Raw CF Data'!C11,0)</f>
        <v>-757</v>
      </c>
      <c r="D83" s="25">
        <f>IFERROR('Raw CF Data'!D11,0)</f>
        <v>-570</v>
      </c>
      <c r="E83" s="25">
        <f>IFERROR('Raw CF Data'!E11,0)</f>
        <v>-646</v>
      </c>
      <c r="F83" s="25">
        <f>IFERROR('Raw CF Data'!F11,0)</f>
        <v>-1077</v>
      </c>
      <c r="G83" s="25">
        <f>IFERROR('Raw CF Data'!G11,0)</f>
        <v>-1136</v>
      </c>
      <c r="H83" s="25">
        <f>IFERROR('Raw CF Data'!H11,0)</f>
        <v>-816</v>
      </c>
      <c r="I83" s="25">
        <f>IFERROR('Raw CF Data'!I11,0)</f>
        <v>-527</v>
      </c>
      <c r="J83" s="25">
        <f>IFERROR('Raw CF Data'!J11,0)</f>
        <v>-1000</v>
      </c>
      <c r="K83" s="25">
        <f>IFERROR('Raw CF Data'!K11,0)</f>
        <v>-819</v>
      </c>
      <c r="L83" s="25">
        <f>IFERROR('Raw CF Data'!L11,0)</f>
        <v>-701</v>
      </c>
      <c r="M83" s="25">
        <f>IFERROR('Raw CF Data'!M11,0)</f>
        <v>0</v>
      </c>
    </row>
    <row r="84" spans="2:13" x14ac:dyDescent="0.3">
      <c r="B84" t="str">
        <f>'Raw CF Data'!B12</f>
        <v>Fixed assets sold</v>
      </c>
      <c r="C84" s="25">
        <f>IFERROR('Raw CF Data'!C12,0)</f>
        <v>5</v>
      </c>
      <c r="D84" s="25">
        <f>IFERROR('Raw CF Data'!D12,0)</f>
        <v>3</v>
      </c>
      <c r="E84" s="25">
        <f>IFERROR('Raw CF Data'!E12,0)</f>
        <v>21</v>
      </c>
      <c r="F84" s="25">
        <f>IFERROR('Raw CF Data'!F12,0)</f>
        <v>24</v>
      </c>
      <c r="G84" s="25">
        <f>IFERROR('Raw CF Data'!G12,0)</f>
        <v>38</v>
      </c>
      <c r="H84" s="25">
        <f>IFERROR('Raw CF Data'!H12,0)</f>
        <v>77</v>
      </c>
      <c r="I84" s="25">
        <f>IFERROR('Raw CF Data'!I12,0)</f>
        <v>23</v>
      </c>
      <c r="J84" s="25">
        <f>IFERROR('Raw CF Data'!J12,0)</f>
        <v>14</v>
      </c>
      <c r="K84" s="25">
        <f>IFERROR('Raw CF Data'!K12,0)</f>
        <v>28</v>
      </c>
      <c r="L84" s="25">
        <f>IFERROR('Raw CF Data'!L12,0)</f>
        <v>20</v>
      </c>
      <c r="M84" s="25">
        <f>IFERROR('Raw CF Data'!M12,0)</f>
        <v>0</v>
      </c>
    </row>
    <row r="85" spans="2:13" x14ac:dyDescent="0.3">
      <c r="B85" t="str">
        <f>'Raw CF Data'!B13</f>
        <v>Investments purchased</v>
      </c>
      <c r="C85" s="25">
        <f>IFERROR('Raw CF Data'!C13,0)</f>
        <v>-18720</v>
      </c>
      <c r="D85" s="25">
        <f>IFERROR('Raw CF Data'!D13,0)</f>
        <v>-18029</v>
      </c>
      <c r="E85" s="25">
        <f>IFERROR('Raw CF Data'!E13,0)</f>
        <v>-20564</v>
      </c>
      <c r="F85" s="25">
        <f>IFERROR('Raw CF Data'!F13,0)</f>
        <v>-15940</v>
      </c>
      <c r="G85" s="25">
        <f>IFERROR('Raw CF Data'!G13,0)</f>
        <v>-198</v>
      </c>
      <c r="H85" s="25">
        <f>IFERROR('Raw CF Data'!H13,0)</f>
        <v>-190</v>
      </c>
      <c r="I85" s="25">
        <f>IFERROR('Raw CF Data'!I13,0)</f>
        <v>-910</v>
      </c>
      <c r="J85" s="25">
        <f>IFERROR('Raw CF Data'!J13,0)</f>
        <v>0</v>
      </c>
      <c r="K85" s="25">
        <f>IFERROR('Raw CF Data'!K13,0)</f>
        <v>-1245</v>
      </c>
      <c r="L85" s="25">
        <f>IFERROR('Raw CF Data'!L13,0)</f>
        <v>0</v>
      </c>
      <c r="M85" s="25">
        <f>IFERROR('Raw CF Data'!M13,0)</f>
        <v>0</v>
      </c>
    </row>
    <row r="86" spans="2:13" x14ac:dyDescent="0.3">
      <c r="B86" t="str">
        <f>'Raw CF Data'!B14</f>
        <v>Investments sold</v>
      </c>
      <c r="C86" s="25">
        <f>IFERROR('Raw CF Data'!C14,0)</f>
        <v>17341</v>
      </c>
      <c r="D86" s="25">
        <f>IFERROR('Raw CF Data'!D14,0)</f>
        <v>19842</v>
      </c>
      <c r="E86" s="25">
        <f>IFERROR('Raw CF Data'!E14,0)</f>
        <v>20525</v>
      </c>
      <c r="F86" s="25">
        <f>IFERROR('Raw CF Data'!F14,0)</f>
        <v>15950</v>
      </c>
      <c r="G86" s="25">
        <f>IFERROR('Raw CF Data'!G14,0)</f>
        <v>137</v>
      </c>
      <c r="H86" s="25">
        <f>IFERROR('Raw CF Data'!H14,0)</f>
        <v>10</v>
      </c>
      <c r="I86" s="25">
        <f>IFERROR('Raw CF Data'!I14,0)</f>
        <v>84</v>
      </c>
      <c r="J86" s="25">
        <f>IFERROR('Raw CF Data'!J14,0)</f>
        <v>1210</v>
      </c>
      <c r="K86" s="25">
        <f>IFERROR('Raw CF Data'!K14,0)</f>
        <v>0</v>
      </c>
      <c r="L86" s="25">
        <f>IFERROR('Raw CF Data'!L14,0)</f>
        <v>171</v>
      </c>
      <c r="M86" s="25">
        <f>IFERROR('Raw CF Data'!M14,0)</f>
        <v>0</v>
      </c>
    </row>
    <row r="87" spans="2:13" x14ac:dyDescent="0.3">
      <c r="B87" t="str">
        <f>'Raw CF Data'!B15</f>
        <v>Investment income</v>
      </c>
      <c r="C87" s="25">
        <f>IFERROR('Raw CF Data'!C15,0)</f>
        <v>0</v>
      </c>
      <c r="D87" s="25">
        <f>IFERROR('Raw CF Data'!D15,0)</f>
        <v>0</v>
      </c>
      <c r="E87" s="25">
        <f>IFERROR('Raw CF Data'!E15,0)</f>
        <v>0</v>
      </c>
      <c r="F87" s="25">
        <f>IFERROR('Raw CF Data'!F15,0)</f>
        <v>0</v>
      </c>
      <c r="G87" s="25">
        <f>IFERROR('Raw CF Data'!G15,0)</f>
        <v>0</v>
      </c>
      <c r="H87" s="25">
        <f>IFERROR('Raw CF Data'!H15,0)</f>
        <v>0</v>
      </c>
      <c r="I87" s="25">
        <f>IFERROR('Raw CF Data'!I15,0)</f>
        <v>0</v>
      </c>
      <c r="J87" s="25">
        <f>IFERROR('Raw CF Data'!J15,0)</f>
        <v>0</v>
      </c>
      <c r="K87" s="25">
        <f>IFERROR('Raw CF Data'!K15,0)</f>
        <v>0</v>
      </c>
      <c r="L87" s="25">
        <f>IFERROR('Raw CF Data'!L15,0)</f>
        <v>0</v>
      </c>
      <c r="M87" s="25">
        <f>IFERROR('Raw CF Data'!M15,0)</f>
        <v>0</v>
      </c>
    </row>
    <row r="88" spans="2:13" x14ac:dyDescent="0.3">
      <c r="B88" t="str">
        <f>'Raw CF Data'!B16</f>
        <v>Interest received</v>
      </c>
      <c r="C88" s="25">
        <f>IFERROR('Raw CF Data'!C16,0)</f>
        <v>2</v>
      </c>
      <c r="D88" s="25">
        <f>IFERROR('Raw CF Data'!D16,0)</f>
        <v>19</v>
      </c>
      <c r="E88" s="25">
        <f>IFERROR('Raw CF Data'!E16,0)</f>
        <v>10</v>
      </c>
      <c r="F88" s="25">
        <f>IFERROR('Raw CF Data'!F16,0)</f>
        <v>9</v>
      </c>
      <c r="G88" s="25">
        <f>IFERROR('Raw CF Data'!G16,0)</f>
        <v>12</v>
      </c>
      <c r="H88" s="25">
        <f>IFERROR('Raw CF Data'!H16,0)</f>
        <v>30</v>
      </c>
      <c r="I88" s="25">
        <f>IFERROR('Raw CF Data'!I16,0)</f>
        <v>38</v>
      </c>
      <c r="J88" s="25">
        <f>IFERROR('Raw CF Data'!J16,0)</f>
        <v>50</v>
      </c>
      <c r="K88" s="25">
        <f>IFERROR('Raw CF Data'!K16,0)</f>
        <v>41</v>
      </c>
      <c r="L88" s="25">
        <f>IFERROR('Raw CF Data'!L16,0)</f>
        <v>47</v>
      </c>
      <c r="M88" s="25">
        <f>IFERROR('Raw CF Data'!M16,0)</f>
        <v>0</v>
      </c>
    </row>
    <row r="89" spans="2:13" x14ac:dyDescent="0.3">
      <c r="B89" t="str">
        <f>'Raw CF Data'!B17</f>
        <v>Dividends received</v>
      </c>
      <c r="C89" s="25">
        <f>IFERROR('Raw CF Data'!C17,0)</f>
        <v>92</v>
      </c>
      <c r="D89" s="25">
        <f>IFERROR('Raw CF Data'!D17,0)</f>
        <v>74</v>
      </c>
      <c r="E89" s="25">
        <f>IFERROR('Raw CF Data'!E17,0)</f>
        <v>22</v>
      </c>
      <c r="F89" s="25">
        <f>IFERROR('Raw CF Data'!F17,0)</f>
        <v>0</v>
      </c>
      <c r="G89" s="25">
        <f>IFERROR('Raw CF Data'!G17,0)</f>
        <v>0</v>
      </c>
      <c r="H89" s="25">
        <f>IFERROR('Raw CF Data'!H17,0)</f>
        <v>4</v>
      </c>
      <c r="I89" s="25">
        <f>IFERROR('Raw CF Data'!I17,0)</f>
        <v>34</v>
      </c>
      <c r="J89" s="25">
        <f>IFERROR('Raw CF Data'!J17,0)</f>
        <v>0</v>
      </c>
      <c r="K89" s="25">
        <f>IFERROR('Raw CF Data'!K17,0)</f>
        <v>22</v>
      </c>
      <c r="L89" s="25">
        <f>IFERROR('Raw CF Data'!L17,0)</f>
        <v>0</v>
      </c>
      <c r="M89" s="25">
        <f>IFERROR('Raw CF Data'!M17,0)</f>
        <v>0</v>
      </c>
    </row>
    <row r="90" spans="2:13" x14ac:dyDescent="0.3">
      <c r="B90" t="str">
        <f>'Raw CF Data'!B18</f>
        <v>Investment in group cos</v>
      </c>
      <c r="C90" s="25">
        <f>IFERROR('Raw CF Data'!C18,0)</f>
        <v>-21</v>
      </c>
      <c r="D90" s="25">
        <f>IFERROR('Raw CF Data'!D18,0)</f>
        <v>-11</v>
      </c>
      <c r="E90" s="25">
        <f>IFERROR('Raw CF Data'!E18,0)</f>
        <v>0</v>
      </c>
      <c r="F90" s="25">
        <f>IFERROR('Raw CF Data'!F18,0)</f>
        <v>-13</v>
      </c>
      <c r="G90" s="25">
        <f>IFERROR('Raw CF Data'!G18,0)</f>
        <v>-3</v>
      </c>
      <c r="H90" s="25">
        <f>IFERROR('Raw CF Data'!H18,0)</f>
        <v>0</v>
      </c>
      <c r="I90" s="25">
        <f>IFERROR('Raw CF Data'!I18,0)</f>
        <v>0</v>
      </c>
      <c r="J90" s="25">
        <f>IFERROR('Raw CF Data'!J18,0)</f>
        <v>0</v>
      </c>
      <c r="K90" s="25">
        <f>IFERROR('Raw CF Data'!K18,0)</f>
        <v>0</v>
      </c>
      <c r="L90" s="25">
        <f>IFERROR('Raw CF Data'!L18,0)</f>
        <v>0</v>
      </c>
      <c r="M90" s="25">
        <f>IFERROR('Raw CF Data'!M18,0)</f>
        <v>0</v>
      </c>
    </row>
    <row r="91" spans="2:13" x14ac:dyDescent="0.3">
      <c r="B91" t="str">
        <f>'Raw CF Data'!B19</f>
        <v>Redemp n Canc of Shares</v>
      </c>
      <c r="C91" s="25">
        <f>IFERROR('Raw CF Data'!C19,0)</f>
        <v>0</v>
      </c>
      <c r="D91" s="25">
        <f>IFERROR('Raw CF Data'!D19,0)</f>
        <v>0</v>
      </c>
      <c r="E91" s="25">
        <f>IFERROR('Raw CF Data'!E19,0)</f>
        <v>0</v>
      </c>
      <c r="F91" s="25">
        <f>IFERROR('Raw CF Data'!F19,0)</f>
        <v>0</v>
      </c>
      <c r="G91" s="25">
        <f>IFERROR('Raw CF Data'!G19,0)</f>
        <v>21</v>
      </c>
      <c r="H91" s="25">
        <f>IFERROR('Raw CF Data'!H19,0)</f>
        <v>143</v>
      </c>
      <c r="I91" s="25">
        <f>IFERROR('Raw CF Data'!I19,0)</f>
        <v>0</v>
      </c>
      <c r="J91" s="25">
        <f>IFERROR('Raw CF Data'!J19,0)</f>
        <v>1</v>
      </c>
      <c r="K91" s="25">
        <f>IFERROR('Raw CF Data'!K19,0)</f>
        <v>3</v>
      </c>
      <c r="L91" s="25">
        <f>IFERROR('Raw CF Data'!L19,0)</f>
        <v>0</v>
      </c>
      <c r="M91" s="25">
        <f>IFERROR('Raw CF Data'!M19,0)</f>
        <v>0</v>
      </c>
    </row>
    <row r="92" spans="2:13" x14ac:dyDescent="0.3">
      <c r="B92" t="str">
        <f>'Raw CF Data'!B20</f>
        <v>Acquisition of companies</v>
      </c>
      <c r="C92" s="25">
        <f>IFERROR('Raw CF Data'!C20,0)</f>
        <v>0</v>
      </c>
      <c r="D92" s="25">
        <f>IFERROR('Raw CF Data'!D20,0)</f>
        <v>-2578</v>
      </c>
      <c r="E92" s="25">
        <f>IFERROR('Raw CF Data'!E20,0)</f>
        <v>-314</v>
      </c>
      <c r="F92" s="25">
        <f>IFERROR('Raw CF Data'!F20,0)</f>
        <v>-3482</v>
      </c>
      <c r="G92" s="25">
        <f>IFERROR('Raw CF Data'!G20,0)</f>
        <v>-188</v>
      </c>
      <c r="H92" s="25">
        <f>IFERROR('Raw CF Data'!H20,0)</f>
        <v>-14</v>
      </c>
      <c r="I92" s="25">
        <f>IFERROR('Raw CF Data'!I20,0)</f>
        <v>-421</v>
      </c>
      <c r="J92" s="25">
        <f>IFERROR('Raw CF Data'!J20,0)</f>
        <v>-33</v>
      </c>
      <c r="K92" s="25">
        <f>IFERROR('Raw CF Data'!K20,0)</f>
        <v>-14</v>
      </c>
      <c r="L92" s="25">
        <f>IFERROR('Raw CF Data'!L20,0)</f>
        <v>-18</v>
      </c>
      <c r="M92" s="25">
        <f>IFERROR('Raw CF Data'!M20,0)</f>
        <v>0</v>
      </c>
    </row>
    <row r="93" spans="2:13" x14ac:dyDescent="0.3">
      <c r="B93" t="str">
        <f>'Raw CF Data'!B21</f>
        <v>Inter corporate deposits</v>
      </c>
      <c r="C93" s="25">
        <f>IFERROR('Raw CF Data'!C21,0)</f>
        <v>0</v>
      </c>
      <c r="D93" s="25">
        <f>IFERROR('Raw CF Data'!D21,0)</f>
        <v>0</v>
      </c>
      <c r="E93" s="25">
        <f>IFERROR('Raw CF Data'!E21,0)</f>
        <v>0</v>
      </c>
      <c r="F93" s="25">
        <f>IFERROR('Raw CF Data'!F21,0)</f>
        <v>1</v>
      </c>
      <c r="G93" s="25">
        <f>IFERROR('Raw CF Data'!G21,0)</f>
        <v>0</v>
      </c>
      <c r="H93" s="25">
        <f>IFERROR('Raw CF Data'!H21,0)</f>
        <v>0</v>
      </c>
      <c r="I93" s="25">
        <f>IFERROR('Raw CF Data'!I21,0)</f>
        <v>0</v>
      </c>
      <c r="J93" s="25">
        <f>IFERROR('Raw CF Data'!J21,0)</f>
        <v>0</v>
      </c>
      <c r="K93" s="25">
        <f>IFERROR('Raw CF Data'!K21,0)</f>
        <v>0</v>
      </c>
      <c r="L93" s="25">
        <f>IFERROR('Raw CF Data'!L21,0)</f>
        <v>0</v>
      </c>
      <c r="M93" s="25">
        <f>IFERROR('Raw CF Data'!M21,0)</f>
        <v>0</v>
      </c>
    </row>
    <row r="94" spans="2:13" x14ac:dyDescent="0.3">
      <c r="B94" t="str">
        <f>'Raw CF Data'!B22</f>
        <v>Other investing items</v>
      </c>
      <c r="C94" s="25">
        <f>IFERROR('Raw CF Data'!C22,0)</f>
        <v>-5</v>
      </c>
      <c r="D94" s="25">
        <f>IFERROR('Raw CF Data'!D22,0)</f>
        <v>-15</v>
      </c>
      <c r="E94" s="25">
        <f>IFERROR('Raw CF Data'!E22,0)</f>
        <v>-3</v>
      </c>
      <c r="F94" s="25">
        <f>IFERROR('Raw CF Data'!F22,0)</f>
        <v>-4</v>
      </c>
      <c r="G94" s="25">
        <f>IFERROR('Raw CF Data'!G22,0)</f>
        <v>13</v>
      </c>
      <c r="H94" s="25">
        <f>IFERROR('Raw CF Data'!H22,0)</f>
        <v>-77</v>
      </c>
      <c r="I94" s="25">
        <f>IFERROR('Raw CF Data'!I22,0)</f>
        <v>-8</v>
      </c>
      <c r="J94" s="25">
        <f>IFERROR('Raw CF Data'!J22,0)</f>
        <v>-128</v>
      </c>
      <c r="K94" s="25">
        <f>IFERROR('Raw CF Data'!K22,0)</f>
        <v>-389</v>
      </c>
      <c r="L94" s="25">
        <f>IFERROR('Raw CF Data'!L22,0)</f>
        <v>-1377</v>
      </c>
      <c r="M94" s="25">
        <f>IFERROR('Raw CF Data'!M22,0)</f>
        <v>0</v>
      </c>
    </row>
    <row r="95" spans="2:13" ht="15" thickBot="1" x14ac:dyDescent="0.35">
      <c r="B95" s="27" t="s">
        <v>111</v>
      </c>
      <c r="C95" s="28">
        <f>SUM(C83:C94)</f>
        <v>-2063</v>
      </c>
      <c r="D95" s="28">
        <f t="shared" ref="D95:M95" si="24">SUM(D83:D94)</f>
        <v>-1265</v>
      </c>
      <c r="E95" s="28">
        <f t="shared" si="24"/>
        <v>-949</v>
      </c>
      <c r="F95" s="28">
        <f t="shared" si="24"/>
        <v>-4532</v>
      </c>
      <c r="G95" s="28">
        <f t="shared" si="24"/>
        <v>-1304</v>
      </c>
      <c r="H95" s="28">
        <f t="shared" si="24"/>
        <v>-833</v>
      </c>
      <c r="I95" s="28">
        <f t="shared" si="24"/>
        <v>-1687</v>
      </c>
      <c r="J95" s="28">
        <f t="shared" si="24"/>
        <v>114</v>
      </c>
      <c r="K95" s="28">
        <f t="shared" si="24"/>
        <v>-2373</v>
      </c>
      <c r="L95" s="28">
        <f t="shared" si="24"/>
        <v>-1858</v>
      </c>
      <c r="M95" s="28">
        <f t="shared" si="24"/>
        <v>0</v>
      </c>
    </row>
    <row r="96" spans="2:13" ht="15" thickTop="1" x14ac:dyDescent="0.3"/>
    <row r="97" spans="2:13" x14ac:dyDescent="0.3">
      <c r="B97" s="10" t="s">
        <v>112</v>
      </c>
    </row>
    <row r="98" spans="2:13" x14ac:dyDescent="0.3">
      <c r="B98" t="str">
        <f>'Raw CF Data'!B24</f>
        <v>Proceeds from shares</v>
      </c>
      <c r="C98" s="25">
        <f>IFERROR('Raw CF Data'!C24,0)</f>
        <v>0</v>
      </c>
      <c r="D98" s="25">
        <f>IFERROR('Raw CF Data'!D24,0)</f>
        <v>0</v>
      </c>
      <c r="E98" s="25">
        <f>IFERROR('Raw CF Data'!E24,0)</f>
        <v>0</v>
      </c>
      <c r="F98" s="25">
        <f>IFERROR('Raw CF Data'!F24,0)</f>
        <v>3</v>
      </c>
      <c r="G98" s="25">
        <f>IFERROR('Raw CF Data'!G24,0)</f>
        <v>12</v>
      </c>
      <c r="H98" s="25">
        <f>IFERROR('Raw CF Data'!H24,0)</f>
        <v>0</v>
      </c>
      <c r="I98" s="25">
        <f>IFERROR('Raw CF Data'!I24,0)</f>
        <v>0</v>
      </c>
      <c r="J98" s="25">
        <f>IFERROR('Raw CF Data'!J24,0)</f>
        <v>0</v>
      </c>
      <c r="K98" s="25">
        <f>IFERROR('Raw CF Data'!K24,0)</f>
        <v>0</v>
      </c>
      <c r="L98" s="25">
        <f>IFERROR('Raw CF Data'!L24,0)</f>
        <v>0</v>
      </c>
      <c r="M98" s="25">
        <f>IFERROR('Raw CF Data'!M24,0)</f>
        <v>0</v>
      </c>
    </row>
    <row r="99" spans="2:13" x14ac:dyDescent="0.3">
      <c r="B99" t="str">
        <f>'Raw CF Data'!B25</f>
        <v>Proceeds from borrowings</v>
      </c>
      <c r="C99" s="25">
        <f>IFERROR('Raw CF Data'!C25,0)</f>
        <v>956</v>
      </c>
      <c r="D99" s="25">
        <f>IFERROR('Raw CF Data'!D25,0)</f>
        <v>156</v>
      </c>
      <c r="E99" s="25">
        <f>IFERROR('Raw CF Data'!E25,0)</f>
        <v>508</v>
      </c>
      <c r="F99" s="25">
        <f>IFERROR('Raw CF Data'!F25,0)</f>
        <v>3508</v>
      </c>
      <c r="G99" s="25">
        <f>IFERROR('Raw CF Data'!G25,0)</f>
        <v>3652</v>
      </c>
      <c r="H99" s="25">
        <f>IFERROR('Raw CF Data'!H25,0)</f>
        <v>0</v>
      </c>
      <c r="I99" s="25">
        <f>IFERROR('Raw CF Data'!I25,0)</f>
        <v>48</v>
      </c>
      <c r="J99" s="25">
        <f>IFERROR('Raw CF Data'!J25,0)</f>
        <v>264</v>
      </c>
      <c r="K99" s="25">
        <f>IFERROR('Raw CF Data'!K25,0)</f>
        <v>70</v>
      </c>
      <c r="L99" s="25">
        <f>IFERROR('Raw CF Data'!L25,0)</f>
        <v>35</v>
      </c>
      <c r="M99" s="25">
        <f>IFERROR('Raw CF Data'!M25,0)</f>
        <v>0</v>
      </c>
    </row>
    <row r="100" spans="2:13" x14ac:dyDescent="0.3">
      <c r="B100" t="str">
        <f>'Raw CF Data'!B26</f>
        <v>Repayment of borrowings</v>
      </c>
      <c r="C100" s="25">
        <f>IFERROR('Raw CF Data'!C26,0)</f>
        <v>-18</v>
      </c>
      <c r="D100" s="25">
        <f>IFERROR('Raw CF Data'!D26,0)</f>
        <v>-112</v>
      </c>
      <c r="E100" s="25">
        <f>IFERROR('Raw CF Data'!E26,0)</f>
        <v>0</v>
      </c>
      <c r="F100" s="25">
        <f>IFERROR('Raw CF Data'!F26,0)</f>
        <v>-66</v>
      </c>
      <c r="G100" s="25">
        <f>IFERROR('Raw CF Data'!G26,0)</f>
        <v>-4733</v>
      </c>
      <c r="H100" s="25">
        <f>IFERROR('Raw CF Data'!H26,0)</f>
        <v>-34</v>
      </c>
      <c r="I100" s="25">
        <f>IFERROR('Raw CF Data'!I26,0)</f>
        <v>-108</v>
      </c>
      <c r="J100" s="25">
        <f>IFERROR('Raw CF Data'!J26,0)</f>
        <v>-1948</v>
      </c>
      <c r="K100" s="25">
        <f>IFERROR('Raw CF Data'!K26,0)</f>
        <v>-1064</v>
      </c>
      <c r="L100" s="25">
        <f>IFERROR('Raw CF Data'!L26,0)</f>
        <v>-1041</v>
      </c>
      <c r="M100" s="25">
        <f>IFERROR('Raw CF Data'!M26,0)</f>
        <v>0</v>
      </c>
    </row>
    <row r="101" spans="2:13" x14ac:dyDescent="0.3">
      <c r="B101" t="str">
        <f>'Raw CF Data'!B27</f>
        <v>Interest paid fin</v>
      </c>
      <c r="C101" s="25">
        <f>IFERROR('Raw CF Data'!C27,0)</f>
        <v>-33</v>
      </c>
      <c r="D101" s="25">
        <f>IFERROR('Raw CF Data'!D27,0)</f>
        <v>-121</v>
      </c>
      <c r="E101" s="25">
        <f>IFERROR('Raw CF Data'!E27,0)</f>
        <v>-167</v>
      </c>
      <c r="F101" s="25">
        <f>IFERROR('Raw CF Data'!F27,0)</f>
        <v>-161</v>
      </c>
      <c r="G101" s="25">
        <f>IFERROR('Raw CF Data'!G27,0)</f>
        <v>-159</v>
      </c>
      <c r="H101" s="25">
        <f>IFERROR('Raw CF Data'!H27,0)</f>
        <v>-118</v>
      </c>
      <c r="I101" s="25">
        <f>IFERROR('Raw CF Data'!I27,0)</f>
        <v>-159</v>
      </c>
      <c r="J101" s="25">
        <f>IFERROR('Raw CF Data'!J27,0)</f>
        <v>-164</v>
      </c>
      <c r="K101" s="25">
        <f>IFERROR('Raw CF Data'!K27,0)</f>
        <v>-121</v>
      </c>
      <c r="L101" s="25">
        <f>IFERROR('Raw CF Data'!L27,0)</f>
        <v>-76</v>
      </c>
      <c r="M101" s="25">
        <f>IFERROR('Raw CF Data'!M27,0)</f>
        <v>0</v>
      </c>
    </row>
    <row r="102" spans="2:13" x14ac:dyDescent="0.3">
      <c r="B102" t="str">
        <f>'Raw CF Data'!B28</f>
        <v>Dividends paid</v>
      </c>
      <c r="C102" s="25">
        <f>IFERROR('Raw CF Data'!C28,0)</f>
        <v>-161</v>
      </c>
      <c r="D102" s="25">
        <f>IFERROR('Raw CF Data'!D28,0)</f>
        <v>-161</v>
      </c>
      <c r="E102" s="25">
        <f>IFERROR('Raw CF Data'!E28,0)</f>
        <v>-161</v>
      </c>
      <c r="F102" s="25">
        <f>IFERROR('Raw CF Data'!F28,0)</f>
        <v>-159</v>
      </c>
      <c r="G102" s="25">
        <f>IFERROR('Raw CF Data'!G28,0)</f>
        <v>-161</v>
      </c>
      <c r="H102" s="25">
        <f>IFERROR('Raw CF Data'!H28,0)</f>
        <v>-161</v>
      </c>
      <c r="I102" s="25">
        <f>IFERROR('Raw CF Data'!I28,0)</f>
        <v>-242</v>
      </c>
      <c r="J102" s="25">
        <f>IFERROR('Raw CF Data'!J28,0)</f>
        <v>-564</v>
      </c>
      <c r="K102" s="25">
        <f>IFERROR('Raw CF Data'!K28,0)</f>
        <v>0</v>
      </c>
      <c r="L102" s="25">
        <f>IFERROR('Raw CF Data'!L28,0)</f>
        <v>-403</v>
      </c>
      <c r="M102" s="25">
        <f>IFERROR('Raw CF Data'!M28,0)</f>
        <v>0</v>
      </c>
    </row>
    <row r="103" spans="2:13" x14ac:dyDescent="0.3">
      <c r="B103" t="str">
        <f>'Raw CF Data'!B29</f>
        <v>Financial liabilities</v>
      </c>
      <c r="C103" s="25">
        <f>IFERROR('Raw CF Data'!C29,0)</f>
        <v>0</v>
      </c>
      <c r="D103" s="25">
        <f>IFERROR('Raw CF Data'!D29,0)</f>
        <v>0</v>
      </c>
      <c r="E103" s="25">
        <f>IFERROR('Raw CF Data'!E29,0)</f>
        <v>0</v>
      </c>
      <c r="F103" s="25">
        <f>IFERROR('Raw CF Data'!F29,0)</f>
        <v>0</v>
      </c>
      <c r="G103" s="25">
        <f>IFERROR('Raw CF Data'!G29,0)</f>
        <v>0</v>
      </c>
      <c r="H103" s="25">
        <f>IFERROR('Raw CF Data'!H29,0)</f>
        <v>0</v>
      </c>
      <c r="I103" s="25">
        <f>IFERROR('Raw CF Data'!I29,0)</f>
        <v>0</v>
      </c>
      <c r="J103" s="25">
        <f>IFERROR('Raw CF Data'!J29,0)</f>
        <v>-76</v>
      </c>
      <c r="K103" s="25">
        <f>IFERROR('Raw CF Data'!K29,0)</f>
        <v>-84</v>
      </c>
      <c r="L103" s="25">
        <f>IFERROR('Raw CF Data'!L29,0)</f>
        <v>-92</v>
      </c>
      <c r="M103" s="25">
        <f>IFERROR('Raw CF Data'!M29,0)</f>
        <v>0</v>
      </c>
    </row>
    <row r="104" spans="2:13" x14ac:dyDescent="0.3">
      <c r="B104" t="str">
        <f>'Raw CF Data'!B30</f>
        <v>Share application money</v>
      </c>
      <c r="C104" s="25">
        <f>IFERROR('Raw CF Data'!C30,0)</f>
        <v>0</v>
      </c>
      <c r="D104" s="25">
        <f>IFERROR('Raw CF Data'!D30,0)</f>
        <v>0</v>
      </c>
      <c r="E104" s="25">
        <f>IFERROR('Raw CF Data'!E30,0)</f>
        <v>12</v>
      </c>
      <c r="F104" s="25">
        <f>IFERROR('Raw CF Data'!F30,0)</f>
        <v>0</v>
      </c>
      <c r="G104" s="25">
        <f>IFERROR('Raw CF Data'!G30,0)</f>
        <v>0</v>
      </c>
      <c r="H104" s="25">
        <f>IFERROR('Raw CF Data'!H30,0)</f>
        <v>0</v>
      </c>
      <c r="I104" s="25">
        <f>IFERROR('Raw CF Data'!I30,0)</f>
        <v>0</v>
      </c>
      <c r="J104" s="25">
        <f>IFERROR('Raw CF Data'!J30,0)</f>
        <v>0</v>
      </c>
      <c r="K104" s="25">
        <f>IFERROR('Raw CF Data'!K30,0)</f>
        <v>0</v>
      </c>
      <c r="L104" s="25">
        <f>IFERROR('Raw CF Data'!L30,0)</f>
        <v>0</v>
      </c>
      <c r="M104" s="25">
        <f>IFERROR('Raw CF Data'!M30,0)</f>
        <v>0</v>
      </c>
    </row>
    <row r="105" spans="2:13" x14ac:dyDescent="0.3">
      <c r="B105" t="str">
        <f>'Raw CF Data'!B31</f>
        <v>Other financing items</v>
      </c>
      <c r="C105" s="25">
        <f>IFERROR('Raw CF Data'!C31,0)</f>
        <v>-26</v>
      </c>
      <c r="D105" s="25">
        <f>IFERROR('Raw CF Data'!D31,0)</f>
        <v>-27</v>
      </c>
      <c r="E105" s="25">
        <f>IFERROR('Raw CF Data'!E31,0)</f>
        <v>-27</v>
      </c>
      <c r="F105" s="25">
        <f>IFERROR('Raw CF Data'!F31,0)</f>
        <v>-20</v>
      </c>
      <c r="G105" s="25">
        <f>IFERROR('Raw CF Data'!G31,0)</f>
        <v>63</v>
      </c>
      <c r="H105" s="25">
        <f>IFERROR('Raw CF Data'!H31,0)</f>
        <v>-72</v>
      </c>
      <c r="I105" s="25">
        <f>IFERROR('Raw CF Data'!I31,0)</f>
        <v>112</v>
      </c>
      <c r="J105" s="25">
        <f>IFERROR('Raw CF Data'!J31,0)</f>
        <v>-461</v>
      </c>
      <c r="K105" s="25">
        <f>IFERROR('Raw CF Data'!K31,0)</f>
        <v>-41</v>
      </c>
      <c r="L105" s="25">
        <f>IFERROR('Raw CF Data'!L31,0)</f>
        <v>-23</v>
      </c>
      <c r="M105" s="25">
        <f>IFERROR('Raw CF Data'!M31,0)</f>
        <v>0</v>
      </c>
    </row>
    <row r="106" spans="2:13" ht="15" thickBot="1" x14ac:dyDescent="0.35">
      <c r="B106" s="27" t="s">
        <v>113</v>
      </c>
      <c r="C106" s="28">
        <f>IFERROR(SUM(C98:C105),0)</f>
        <v>718</v>
      </c>
      <c r="D106" s="28">
        <f t="shared" ref="D106:M106" si="25">IFERROR(SUM(D98:D105),0)</f>
        <v>-265</v>
      </c>
      <c r="E106" s="28">
        <f t="shared" si="25"/>
        <v>165</v>
      </c>
      <c r="F106" s="28">
        <f t="shared" si="25"/>
        <v>3105</v>
      </c>
      <c r="G106" s="28">
        <f t="shared" si="25"/>
        <v>-1326</v>
      </c>
      <c r="H106" s="28">
        <f t="shared" si="25"/>
        <v>-385</v>
      </c>
      <c r="I106" s="28">
        <f t="shared" si="25"/>
        <v>-349</v>
      </c>
      <c r="J106" s="28">
        <f t="shared" si="25"/>
        <v>-2949</v>
      </c>
      <c r="K106" s="28">
        <f t="shared" si="25"/>
        <v>-1240</v>
      </c>
      <c r="L106" s="28">
        <f t="shared" si="25"/>
        <v>-1600</v>
      </c>
      <c r="M106" s="28">
        <f t="shared" si="25"/>
        <v>0</v>
      </c>
    </row>
    <row r="107" spans="2:13" ht="15" thickTop="1" x14ac:dyDescent="0.3"/>
    <row r="108" spans="2:13" x14ac:dyDescent="0.3">
      <c r="B108" s="19" t="s">
        <v>50</v>
      </c>
      <c r="C108" s="26">
        <f>IFERROR(SUM(C80,C95,C106),0)</f>
        <v>-468</v>
      </c>
      <c r="D108" s="26">
        <f t="shared" ref="D108:M108" si="26">IFERROR(SUM(D80,D95,D106),0)</f>
        <v>-527</v>
      </c>
      <c r="E108" s="26">
        <f t="shared" si="26"/>
        <v>-330</v>
      </c>
      <c r="F108" s="26">
        <f t="shared" si="26"/>
        <v>-115</v>
      </c>
      <c r="G108" s="26">
        <f t="shared" si="26"/>
        <v>-12</v>
      </c>
      <c r="H108" s="26">
        <f t="shared" si="26"/>
        <v>-533</v>
      </c>
      <c r="I108" s="26">
        <f t="shared" si="26"/>
        <v>-1409</v>
      </c>
      <c r="J108" s="26">
        <f t="shared" si="26"/>
        <v>606</v>
      </c>
      <c r="K108" s="26">
        <f t="shared" si="26"/>
        <v>515</v>
      </c>
      <c r="L108" s="26">
        <f t="shared" si="26"/>
        <v>-310</v>
      </c>
      <c r="M108" s="26">
        <f t="shared" si="26"/>
        <v>0</v>
      </c>
    </row>
  </sheetData>
  <mergeCells count="1">
    <mergeCell ref="B2:M2"/>
  </mergeCells>
  <pageMargins left="0.70866141732283472" right="0.70866141732283472" top="0.74803149606299213" bottom="0.74803149606299213" header="0.31496062992125984" footer="0.31496062992125984"/>
  <pageSetup paperSize="9" scale="30" orientation="landscape" r:id="rId1"/>
  <ignoredErrors>
    <ignoredError sqref="M6 M9 C15:E15 F15:M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C465-452A-45A6-BCCA-A1507D5A7C2F}">
  <sheetPr>
    <pageSetUpPr fitToPage="1"/>
  </sheetPr>
  <dimension ref="B2:O41"/>
  <sheetViews>
    <sheetView showGridLines="0" tabSelected="1" topLeftCell="A14" zoomScale="69" zoomScaleNormal="69" zoomScalePageLayoutView="50" workbookViewId="0">
      <selection activeCell="E34" sqref="E34"/>
    </sheetView>
  </sheetViews>
  <sheetFormatPr defaultRowHeight="14.4" x14ac:dyDescent="0.3"/>
  <cols>
    <col min="1" max="1" width="1.88671875" customWidth="1"/>
    <col min="2" max="2" width="26.44140625" bestFit="1" customWidth="1"/>
    <col min="3" max="12" width="11.77734375" customWidth="1"/>
    <col min="13" max="13" width="15.77734375" customWidth="1"/>
    <col min="14" max="15" width="12.77734375" customWidth="1"/>
  </cols>
  <sheetData>
    <row r="2" spans="2:15" x14ac:dyDescent="0.3">
      <c r="B2" s="166" t="str">
        <f>"Ratio Analysis"&amp;" - "&amp;'Data Sheet'!B1</f>
        <v>Ratio Analysis - CIPLA LTD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</row>
    <row r="3" spans="2:15" x14ac:dyDescent="0.3">
      <c r="B3" s="11" t="s">
        <v>54</v>
      </c>
      <c r="C3" s="12">
        <f>'Data Sheet'!B16</f>
        <v>41364</v>
      </c>
      <c r="D3" s="12">
        <f>'Data Sheet'!C16</f>
        <v>41729</v>
      </c>
      <c r="E3" s="12">
        <f>'Data Sheet'!D16</f>
        <v>42094</v>
      </c>
      <c r="F3" s="12">
        <f>'Data Sheet'!E16</f>
        <v>42460</v>
      </c>
      <c r="G3" s="12">
        <f>'Data Sheet'!F16</f>
        <v>42825</v>
      </c>
      <c r="H3" s="12">
        <f>'Data Sheet'!G16</f>
        <v>43190</v>
      </c>
      <c r="I3" s="12">
        <f>'Data Sheet'!H16</f>
        <v>43555</v>
      </c>
      <c r="J3" s="12">
        <f>'Data Sheet'!I16</f>
        <v>43921</v>
      </c>
      <c r="K3" s="12">
        <f>'Data Sheet'!J16</f>
        <v>44286</v>
      </c>
      <c r="L3" s="12">
        <f>'Data Sheet'!K16</f>
        <v>44651</v>
      </c>
      <c r="M3" s="13" t="s">
        <v>143</v>
      </c>
      <c r="N3" s="13" t="s">
        <v>141</v>
      </c>
      <c r="O3" s="13" t="s">
        <v>142</v>
      </c>
    </row>
    <row r="5" spans="2:15" x14ac:dyDescent="0.3">
      <c r="B5" s="31" t="s">
        <v>58</v>
      </c>
      <c r="C5" s="31"/>
      <c r="D5" s="32">
        <f>IFERROR(HistoricalFS!D7,0)</f>
        <v>0.22876971928887957</v>
      </c>
      <c r="E5" s="32">
        <f>IFERROR(HistoricalFS!E7,0)</f>
        <v>0.11520741856942496</v>
      </c>
      <c r="F5" s="32">
        <f>IFERROR(HistoricalFS!F7,0)</f>
        <v>0.21547511599373848</v>
      </c>
      <c r="G5" s="32">
        <f>IFERROR(HistoricalFS!G7,0)</f>
        <v>4.3813315349417348E-2</v>
      </c>
      <c r="H5" s="32">
        <f>IFERROR(HistoricalFS!H7,0)</f>
        <v>5.2897364163150717E-2</v>
      </c>
      <c r="I5" s="32">
        <f>IFERROR(HistoricalFS!I7,0)</f>
        <v>7.9620156363509276E-2</v>
      </c>
      <c r="J5" s="32">
        <f>IFERROR(HistoricalFS!J7,0)</f>
        <v>4.7033413781955247E-2</v>
      </c>
      <c r="K5" s="32">
        <f>IFERROR(HistoricalFS!K7,0)</f>
        <v>0.11835169177661187</v>
      </c>
      <c r="L5" s="32">
        <f>IFERROR(HistoricalFS!L7,0)</f>
        <v>0.13589800199273583</v>
      </c>
      <c r="M5" s="31"/>
      <c r="N5" s="41">
        <f>IFERROR(AVERAGE(D5:L5),0)</f>
        <v>0.11522957747549148</v>
      </c>
      <c r="O5" s="41">
        <f>MEDIAN(D5:L5)</f>
        <v>0.11520741856942496</v>
      </c>
    </row>
    <row r="6" spans="2:15" x14ac:dyDescent="0.3">
      <c r="B6" t="s">
        <v>114</v>
      </c>
      <c r="D6" s="30">
        <f>IFERROR(HistoricalFS!D18/HistoricalFS!C18-1,0)</f>
        <v>-3.0481747078268451E-2</v>
      </c>
      <c r="E6" s="30">
        <f>IFERROR(HistoricalFS!E18/HistoricalFS!D18-1,0)</f>
        <v>7.4198626882917562E-3</v>
      </c>
      <c r="F6" s="30">
        <f>IFERROR(HistoricalFS!F18/HistoricalFS!E18-1,0)</f>
        <v>0.14647204871305264</v>
      </c>
      <c r="G6" s="30">
        <f>IFERROR(HistoricalFS!G18/HistoricalFS!F18-1,0)</f>
        <v>6.7105703581531451E-3</v>
      </c>
      <c r="H6" s="30">
        <f>IFERROR(HistoricalFS!H18/HistoricalFS!G18-1,0)</f>
        <v>0.13222316138620527</v>
      </c>
      <c r="I6" s="30">
        <f>IFERROR(HistoricalFS!I18/HistoricalFS!H18-1,0)</f>
        <v>9.5857598765912044E-2</v>
      </c>
      <c r="J6" s="30">
        <f>IFERROR(HistoricalFS!J18/HistoricalFS!I18-1,0)</f>
        <v>3.5088512289697116E-2</v>
      </c>
      <c r="K6" s="30">
        <f>IFERROR(HistoricalFS!K18/HistoricalFS!J18-1,0)</f>
        <v>0.32640151716006471</v>
      </c>
      <c r="L6" s="30">
        <f>IFERROR(HistoricalFS!L18/HistoricalFS!K18-1,0)</f>
        <v>7.063020437726264E-2</v>
      </c>
      <c r="N6" s="14">
        <f t="shared" ref="N6:N9" si="0">IFERROR(AVERAGE(D6:L6),0)</f>
        <v>8.7813525406707879E-2</v>
      </c>
      <c r="O6" s="14">
        <f t="shared" ref="O6:O9" si="1">MEDIAN(D6:L6)</f>
        <v>7.063020437726264E-2</v>
      </c>
    </row>
    <row r="7" spans="2:15" x14ac:dyDescent="0.3">
      <c r="B7" t="s">
        <v>115</v>
      </c>
      <c r="D7" s="30">
        <f>IFERROR(HistoricalFS!D27/HistoricalFS!C27-1,0)</f>
        <v>-0.11972108861922703</v>
      </c>
      <c r="E7" s="30">
        <f>IFERROR(HistoricalFS!E27/HistoricalFS!D27-1,0)</f>
        <v>-8.5161123937711025E-2</v>
      </c>
      <c r="F7" s="30">
        <f>IFERROR(HistoricalFS!F27/HistoricalFS!E27-1,0)</f>
        <v>1.943122554316834E-2</v>
      </c>
      <c r="G7" s="30">
        <f>IFERROR(HistoricalFS!G27/HistoricalFS!F27-1,0)</f>
        <v>-0.33237645013892236</v>
      </c>
      <c r="H7" s="30">
        <f>IFERROR(HistoricalFS!H27/HistoricalFS!G27-1,0)</f>
        <v>0.37014792899408011</v>
      </c>
      <c r="I7" s="30">
        <f>IFERROR(HistoricalFS!I27/HistoricalFS!H27-1,0)</f>
        <v>0.15348405346461846</v>
      </c>
      <c r="J7" s="30">
        <f>IFERROR(HistoricalFS!J27/HistoricalFS!I27-1,0)</f>
        <v>0.14439930861054528</v>
      </c>
      <c r="K7" s="30">
        <f>IFERROR(HistoricalFS!K27/HistoricalFS!J27-1,0)</f>
        <v>0.64891111135344759</v>
      </c>
      <c r="L7" s="30">
        <f>IFERROR(HistoricalFS!L27/HistoricalFS!K27-1,0)</f>
        <v>0.12248724401220978</v>
      </c>
      <c r="N7" s="14">
        <f t="shared" si="0"/>
        <v>0.10240024547580101</v>
      </c>
      <c r="O7" s="14">
        <f t="shared" si="1"/>
        <v>0.12248724401220978</v>
      </c>
    </row>
    <row r="8" spans="2:15" x14ac:dyDescent="0.3">
      <c r="B8" t="s">
        <v>116</v>
      </c>
      <c r="D8" s="30">
        <f>IFERROR(HistoricalFS!D33/HistoricalFS!C33-1,0)</f>
        <v>-0.10764777061283348</v>
      </c>
      <c r="E8" s="30">
        <f>IFERROR(HistoricalFS!E33/HistoricalFS!D33-1,0)</f>
        <v>-6.4659537582174909E-2</v>
      </c>
      <c r="F8" s="30">
        <f>IFERROR(HistoricalFS!F33/HistoricalFS!E33-1,0)</f>
        <v>8.936174117301654E-2</v>
      </c>
      <c r="G8" s="30">
        <f>IFERROR(HistoricalFS!G33/HistoricalFS!F33-1,0)</f>
        <v>-0.29732233855276402</v>
      </c>
      <c r="H8" s="30">
        <f>IFERROR(HistoricalFS!H33/HistoricalFS!G33-1,0)</f>
        <v>0.36557825086305784</v>
      </c>
      <c r="I8" s="30">
        <f>IFERROR(HistoricalFS!I33/HistoricalFS!H33-1,0)</f>
        <v>-9.3204122118643928E-2</v>
      </c>
      <c r="J8" s="30">
        <f>IFERROR(HistoricalFS!J33/HistoricalFS!I33-1,0)</f>
        <v>0.16431115929683404</v>
      </c>
      <c r="K8" s="30">
        <f>IFERROR(HistoricalFS!K33/HistoricalFS!J33-1,0)</f>
        <v>0.77531219341857716</v>
      </c>
      <c r="L8" s="30">
        <f>IFERROR(HistoricalFS!L33/HistoricalFS!K33-1,0)</f>
        <v>0.15237600161100873</v>
      </c>
      <c r="N8" s="14">
        <f t="shared" si="0"/>
        <v>0.10934506416623088</v>
      </c>
      <c r="O8" s="14">
        <f t="shared" si="1"/>
        <v>8.936174117301654E-2</v>
      </c>
    </row>
    <row r="9" spans="2:15" x14ac:dyDescent="0.3">
      <c r="B9" s="33" t="s">
        <v>78</v>
      </c>
      <c r="C9" s="33"/>
      <c r="D9" s="34">
        <f>IFERROR(HistoricalFS!D41/HistoricalFS!C41-1,0)</f>
        <v>0</v>
      </c>
      <c r="E9" s="34">
        <f>IFERROR(HistoricalFS!E41/HistoricalFS!D41-1,0)</f>
        <v>-6.2266500622576437E-5</v>
      </c>
      <c r="F9" s="34">
        <f>IFERROR(HistoricalFS!F41/HistoricalFS!E41-1,0)</f>
        <v>6.2270377981121783E-5</v>
      </c>
      <c r="G9" s="34">
        <f>IFERROR(HistoricalFS!G41/HistoricalFS!F41-1,0)</f>
        <v>0</v>
      </c>
      <c r="H9" s="34">
        <f>IFERROR(HistoricalFS!H41/HistoricalFS!G41-1,0)</f>
        <v>0.5</v>
      </c>
      <c r="I9" s="34">
        <f>IFERROR(HistoricalFS!I41/HistoricalFS!H41-1,0)</f>
        <v>2.2204460492503131E-16</v>
      </c>
      <c r="J9" s="34">
        <f>IFERROR(HistoricalFS!J41/HistoricalFS!I41-1,0)</f>
        <v>0.33341602580004936</v>
      </c>
      <c r="K9" s="34">
        <f>IFERROR(HistoricalFS!K41/HistoricalFS!J41-1,0)</f>
        <v>0.24982949196691617</v>
      </c>
      <c r="L9" s="34">
        <f>IFERROR(HistoricalFS!L41/HistoricalFS!K41-1,0)</f>
        <v>7.4401071375129746E-5</v>
      </c>
      <c r="M9" s="33"/>
      <c r="N9" s="42">
        <f t="shared" si="0"/>
        <v>0.12036888030174439</v>
      </c>
      <c r="O9" s="42">
        <f t="shared" si="1"/>
        <v>6.2270377981121783E-5</v>
      </c>
    </row>
    <row r="10" spans="2:15" x14ac:dyDescent="0.3">
      <c r="C10" s="29"/>
      <c r="D10" s="29"/>
      <c r="E10" s="29"/>
      <c r="F10" s="29"/>
      <c r="G10" s="29"/>
      <c r="H10" s="29"/>
      <c r="I10" s="29"/>
      <c r="J10" s="29"/>
      <c r="K10" s="29"/>
      <c r="L10" s="29"/>
      <c r="N10" s="14"/>
    </row>
    <row r="11" spans="2:15" x14ac:dyDescent="0.3">
      <c r="B11" s="31" t="s">
        <v>117</v>
      </c>
      <c r="C11" s="32">
        <f>IFERROR(HistoricalFS!C13,0)</f>
        <v>0.42987898779249051</v>
      </c>
      <c r="D11" s="32">
        <f>IFERROR(HistoricalFS!D13,0)</f>
        <v>0.39301157234707401</v>
      </c>
      <c r="E11" s="32">
        <f>IFERROR(HistoricalFS!E13,0)</f>
        <v>0.37438301202950264</v>
      </c>
      <c r="F11" s="32">
        <f>IFERROR(HistoricalFS!F13,0)</f>
        <v>0.36387553389750626</v>
      </c>
      <c r="G11" s="32">
        <f>IFERROR(HistoricalFS!G13,0)</f>
        <v>0.36626467856351391</v>
      </c>
      <c r="H11" s="32">
        <f>IFERROR(HistoricalFS!H13,0)</f>
        <v>0.3805252277854354</v>
      </c>
      <c r="I11" s="32">
        <f>IFERROR(HistoricalFS!I13,0)</f>
        <v>0.3941130921422944</v>
      </c>
      <c r="J11" s="32">
        <f>IFERROR(HistoricalFS!J13,0)</f>
        <v>0.39453793750755167</v>
      </c>
      <c r="K11" s="32">
        <f>IFERROR(HistoricalFS!K13,0)</f>
        <v>0.37391144591298653</v>
      </c>
      <c r="L11" s="32">
        <f>IFERROR(HistoricalFS!L13,0)</f>
        <v>0.377098827661563</v>
      </c>
      <c r="M11" s="31"/>
      <c r="N11" s="41">
        <f>IFERROR(AVERAGE(C11:L11),0)</f>
        <v>0.38476003156399191</v>
      </c>
      <c r="O11" s="41">
        <f>MEDIAN(C11:L11)</f>
        <v>0.3788120277234992</v>
      </c>
    </row>
    <row r="12" spans="2:15" x14ac:dyDescent="0.3">
      <c r="B12" t="s">
        <v>118</v>
      </c>
      <c r="C12" s="30">
        <f>IFERROR(HistoricalFS!C19,0)</f>
        <v>0.26746608723169635</v>
      </c>
      <c r="D12" s="30">
        <f>IFERROR(HistoricalFS!D19,0)</f>
        <v>0.21103486645061278</v>
      </c>
      <c r="E12" s="30">
        <f>IFERROR(HistoricalFS!E19,0)</f>
        <v>0.19063782453567255</v>
      </c>
      <c r="F12" s="30">
        <f>IFERROR(HistoricalFS!F19,0)</f>
        <v>0.17981522976628167</v>
      </c>
      <c r="G12" s="30">
        <f>IFERROR(HistoricalFS!G19,0)</f>
        <v>0.17342362839709374</v>
      </c>
      <c r="H12" s="30">
        <f>IFERROR(HistoricalFS!H19,0)</f>
        <v>0.18648944853127972</v>
      </c>
      <c r="I12" s="30">
        <f>IFERROR(HistoricalFS!I19,0)</f>
        <v>0.18929424210736678</v>
      </c>
      <c r="J12" s="30">
        <f>IFERROR(HistoricalFS!J19,0)</f>
        <v>0.18713471114564045</v>
      </c>
      <c r="K12" s="30">
        <f>IFERROR(HistoricalFS!K19,0)</f>
        <v>0.22194786005337261</v>
      </c>
      <c r="L12" s="30">
        <f>IFERROR(HistoricalFS!L19,0)</f>
        <v>0.20919491217800212</v>
      </c>
      <c r="N12" s="14">
        <f t="shared" ref="N12:N19" si="2">IFERROR(AVERAGE(C12:L12),0)</f>
        <v>0.20164388103970193</v>
      </c>
      <c r="O12" s="14">
        <f t="shared" ref="O12:O15" si="3">MEDIAN(C12:L12)</f>
        <v>0.18996603332151968</v>
      </c>
    </row>
    <row r="13" spans="2:15" x14ac:dyDescent="0.3">
      <c r="B13" t="s">
        <v>119</v>
      </c>
      <c r="C13" s="30">
        <f>IFERROR(((HistoricalFS!C18-HistoricalFS!C24)/HistoricalFS!C6),0)</f>
        <v>0.22754981381343667</v>
      </c>
      <c r="D13" s="30">
        <f>IFERROR(((HistoricalFS!D18-HistoricalFS!D24)/HistoricalFS!D6),0)</f>
        <v>0.17440597480289263</v>
      </c>
      <c r="E13" s="30">
        <f>IFERROR(((HistoricalFS!E18-HistoricalFS!E24)/HistoricalFS!E6),0)</f>
        <v>0.14615211045142371</v>
      </c>
      <c r="F13" s="30">
        <f>IFERROR(((HistoricalFS!F18-HistoricalFS!F24)/HistoricalFS!F6),0)</f>
        <v>0.12512237039615381</v>
      </c>
      <c r="G13" s="30">
        <f>IFERROR(((HistoricalFS!G18-HistoricalFS!G24)/HistoricalFS!G6),0)</f>
        <v>8.1517045995321932E-2</v>
      </c>
      <c r="H13" s="30">
        <f>IFERROR(((HistoricalFS!H18-HistoricalFS!H24)/HistoricalFS!H6),0)</f>
        <v>9.9207493413373649E-2</v>
      </c>
      <c r="I13" s="30">
        <f>IFERROR(((HistoricalFS!I18-HistoricalFS!I24)/HistoricalFS!I6),0)</f>
        <v>0.108235889456382</v>
      </c>
      <c r="J13" s="30">
        <f>IFERROR(((HistoricalFS!J18-HistoricalFS!J24)/HistoricalFS!J6),0)</f>
        <v>0.11856999683049084</v>
      </c>
      <c r="K13" s="30">
        <f>IFERROR(((HistoricalFS!K18-HistoricalFS!K24)/HistoricalFS!K6),0)</f>
        <v>0.16622328557135083</v>
      </c>
      <c r="L13" s="30">
        <f>IFERROR(((HistoricalFS!L18-HistoricalFS!L24)/HistoricalFS!L6),0)</f>
        <v>0.16085904093765024</v>
      </c>
      <c r="N13" s="14">
        <f t="shared" si="2"/>
        <v>0.14078430216684762</v>
      </c>
      <c r="O13" s="14">
        <f t="shared" si="3"/>
        <v>0.13563724042378877</v>
      </c>
    </row>
    <row r="14" spans="2:15" x14ac:dyDescent="0.3">
      <c r="B14" t="s">
        <v>120</v>
      </c>
      <c r="C14" s="30">
        <f>IFERROR(HistoricalFS!C28,0)</f>
        <v>0.22345407176667684</v>
      </c>
      <c r="D14" s="30">
        <f>IFERROR(HistoricalFS!D28,0)</f>
        <v>0.16008036652482599</v>
      </c>
      <c r="E14" s="30">
        <f>IFERROR(HistoricalFS!E28,0)</f>
        <v>0.13131883822927984</v>
      </c>
      <c r="F14" s="30">
        <f>IFERROR(HistoricalFS!F28,0)</f>
        <v>0.11013843264370825</v>
      </c>
      <c r="G14" s="30">
        <f>IFERROR(HistoricalFS!G28,0)</f>
        <v>7.0444599907324545E-2</v>
      </c>
      <c r="H14" s="30">
        <f>IFERROR(HistoricalFS!H28,0)</f>
        <v>9.1670400133019248E-2</v>
      </c>
      <c r="I14" s="30">
        <f>IFERROR(HistoricalFS!I28,0)</f>
        <v>9.794217355511807E-2</v>
      </c>
      <c r="J14" s="30">
        <f>IFERROR(HistoricalFS!J28,0)</f>
        <v>0.10705002746324278</v>
      </c>
      <c r="K14" s="30">
        <f>IFERROR(HistoricalFS!K28,0)</f>
        <v>0.15783584095484285</v>
      </c>
      <c r="L14" s="30">
        <f>IFERROR(HistoricalFS!L28,0)</f>
        <v>0.15597238291549001</v>
      </c>
      <c r="N14" s="14">
        <f t="shared" si="2"/>
        <v>0.13059071340935285</v>
      </c>
      <c r="O14" s="14">
        <f t="shared" si="3"/>
        <v>0.12072863543649404</v>
      </c>
    </row>
    <row r="15" spans="2:15" x14ac:dyDescent="0.3">
      <c r="B15" s="33" t="s">
        <v>74</v>
      </c>
      <c r="C15" s="34">
        <f>IFERROR(HistoricalFS!C34,0)</f>
        <v>0.15771082925792312</v>
      </c>
      <c r="D15" s="34">
        <f>IFERROR(HistoricalFS!D34,0)</f>
        <v>0.11453212744227828</v>
      </c>
      <c r="E15" s="34">
        <f>IFERROR(HistoricalFS!E34,0)</f>
        <v>9.6059738538126396E-2</v>
      </c>
      <c r="F15" s="34">
        <f>IFERROR(HistoricalFS!F34,0)</f>
        <v>8.6092921733707597E-2</v>
      </c>
      <c r="G15" s="34">
        <f>IFERROR(HistoricalFS!G34,0)</f>
        <v>5.7956314621978762E-2</v>
      </c>
      <c r="H15" s="34">
        <f>IFERROR(HistoricalFS!H34,0)</f>
        <v>7.5167709068067495E-2</v>
      </c>
      <c r="I15" s="34">
        <f>IFERROR(HistoricalFS!I34,0)</f>
        <v>6.3134953836262483E-2</v>
      </c>
      <c r="J15" s="34">
        <f>IFERROR(HistoricalFS!J34,0)</f>
        <v>7.0206671846061122E-2</v>
      </c>
      <c r="K15" s="34">
        <f>IFERROR(HistoricalFS!K34,0)</f>
        <v>0.11144862703220673</v>
      </c>
      <c r="L15" s="34">
        <f>IFERROR(HistoricalFS!L34,0)</f>
        <v>0.1130653658859348</v>
      </c>
      <c r="M15" s="33"/>
      <c r="N15" s="42">
        <f t="shared" si="2"/>
        <v>9.4537525926254667E-2</v>
      </c>
      <c r="O15" s="42">
        <f t="shared" si="3"/>
        <v>9.1076330135916997E-2</v>
      </c>
    </row>
    <row r="16" spans="2:15" x14ac:dyDescent="0.3">
      <c r="N16" s="14"/>
    </row>
    <row r="17" spans="2:15" x14ac:dyDescent="0.3">
      <c r="B17" s="31" t="s">
        <v>121</v>
      </c>
      <c r="C17" s="32">
        <f>IFERROR(HistoricalFS!C16,0)</f>
        <v>0.16241290056079419</v>
      </c>
      <c r="D17" s="32">
        <f>IFERROR(HistoricalFS!D16,0)</f>
        <v>0.18197670589646125</v>
      </c>
      <c r="E17" s="32">
        <f>IFERROR(HistoricalFS!E16,0)</f>
        <v>0.18374518749383012</v>
      </c>
      <c r="F17" s="32">
        <f>IFERROR(HistoricalFS!F16,0)</f>
        <v>0.18406030413122457</v>
      </c>
      <c r="G17" s="32">
        <f>IFERROR(HistoricalFS!G16,0)</f>
        <v>0.19284105016642014</v>
      </c>
      <c r="H17" s="32">
        <f>IFERROR(HistoricalFS!H16,0)</f>
        <v>0.19403577925415572</v>
      </c>
      <c r="I17" s="32">
        <f>IFERROR(HistoricalFS!I16,0)</f>
        <v>0.20481885003492761</v>
      </c>
      <c r="J17" s="32">
        <f>IFERROR(HistoricalFS!J16,0)</f>
        <v>0.20740322636191125</v>
      </c>
      <c r="K17" s="32">
        <f>IFERROR(HistoricalFS!K16,0)</f>
        <v>0.15196358585961392</v>
      </c>
      <c r="L17" s="32">
        <f>IFERROR(HistoricalFS!L16,0)</f>
        <v>0.1679039154835609</v>
      </c>
      <c r="M17" s="31"/>
      <c r="N17" s="41">
        <f t="shared" si="2"/>
        <v>0.18311615052428998</v>
      </c>
      <c r="O17" s="41">
        <f>MEDIAN(C17:L17)</f>
        <v>0.18390274581252736</v>
      </c>
    </row>
    <row r="18" spans="2:15" x14ac:dyDescent="0.3">
      <c r="B18" t="s">
        <v>69</v>
      </c>
      <c r="C18" s="30">
        <f>IFERROR(HistoricalFS!C25,0)</f>
        <v>3.9916273418259693E-2</v>
      </c>
      <c r="D18" s="30">
        <f>IFERROR(HistoricalFS!D25,0)</f>
        <v>3.662889164772018E-2</v>
      </c>
      <c r="E18" s="30">
        <f>IFERROR(HistoricalFS!E25,0)</f>
        <v>4.4485714084248819E-2</v>
      </c>
      <c r="F18" s="30">
        <f>IFERROR(HistoricalFS!F25,0)</f>
        <v>5.4692859370127848E-2</v>
      </c>
      <c r="G18" s="30">
        <f>IFERROR(HistoricalFS!G25,0)</f>
        <v>9.1906582401771811E-2</v>
      </c>
      <c r="H18" s="30">
        <f>IFERROR(HistoricalFS!H25,0)</f>
        <v>8.7281955117906054E-2</v>
      </c>
      <c r="I18" s="30">
        <f>IFERROR(HistoricalFS!I25,0)</f>
        <v>8.105835265098478E-2</v>
      </c>
      <c r="J18" s="30">
        <f>IFERROR(HistoricalFS!J25,0)</f>
        <v>6.8564714315149614E-2</v>
      </c>
      <c r="K18" s="30">
        <f>IFERROR(HistoricalFS!K25,0)</f>
        <v>5.5724574482021803E-2</v>
      </c>
      <c r="L18" s="30">
        <f>IFERROR(HistoricalFS!L25,0)</f>
        <v>4.8335871240351894E-2</v>
      </c>
      <c r="N18" s="14">
        <f t="shared" si="2"/>
        <v>6.0859578872854245E-2</v>
      </c>
      <c r="O18" s="14">
        <f t="shared" ref="O18:O19" si="4">MEDIAN(C18:L18)</f>
        <v>5.5208716926074826E-2</v>
      </c>
    </row>
    <row r="19" spans="2:15" x14ac:dyDescent="0.3">
      <c r="B19" s="33" t="s">
        <v>122</v>
      </c>
      <c r="C19" s="34">
        <f>C13</f>
        <v>0.22754981381343667</v>
      </c>
      <c r="D19" s="34">
        <f t="shared" ref="D19:L19" si="5">D13</f>
        <v>0.17440597480289263</v>
      </c>
      <c r="E19" s="34">
        <f t="shared" si="5"/>
        <v>0.14615211045142371</v>
      </c>
      <c r="F19" s="34">
        <f t="shared" si="5"/>
        <v>0.12512237039615381</v>
      </c>
      <c r="G19" s="34">
        <f t="shared" si="5"/>
        <v>8.1517045995321932E-2</v>
      </c>
      <c r="H19" s="34">
        <f t="shared" si="5"/>
        <v>9.9207493413373649E-2</v>
      </c>
      <c r="I19" s="34">
        <f t="shared" si="5"/>
        <v>0.108235889456382</v>
      </c>
      <c r="J19" s="34">
        <f t="shared" si="5"/>
        <v>0.11856999683049084</v>
      </c>
      <c r="K19" s="34">
        <f t="shared" si="5"/>
        <v>0.16622328557135083</v>
      </c>
      <c r="L19" s="34">
        <f t="shared" si="5"/>
        <v>0.16085904093765024</v>
      </c>
      <c r="M19" s="33"/>
      <c r="N19" s="42">
        <f t="shared" si="2"/>
        <v>0.14078430216684762</v>
      </c>
      <c r="O19" s="42">
        <f t="shared" si="4"/>
        <v>0.13563724042378877</v>
      </c>
    </row>
    <row r="20" spans="2:15" x14ac:dyDescent="0.3">
      <c r="N20" s="14"/>
      <c r="O20" s="14"/>
    </row>
    <row r="21" spans="2:15" x14ac:dyDescent="0.3">
      <c r="B21" s="31" t="s">
        <v>123</v>
      </c>
      <c r="C21" s="32">
        <f>IFERROR(((HistoricalFS!C18-HistoricalFS!C24)/SUM(HistoricalFS!C49:C51)),0)</f>
        <v>0.18866484740755582</v>
      </c>
      <c r="D21" s="32">
        <f>IFERROR(((HistoricalFS!D18-HistoricalFS!D24)/SUM(HistoricalFS!D49:D51)),0)</f>
        <v>0.15704188078518283</v>
      </c>
      <c r="E21" s="32">
        <f>IFERROR(((HistoricalFS!E18-HistoricalFS!E24)/SUM(HistoricalFS!E49:E51)),0)</f>
        <v>0.13260166879651214</v>
      </c>
      <c r="F21" s="32">
        <f>IFERROR(((HistoricalFS!F18-HistoricalFS!F24)/SUM(HistoricalFS!F49:F51)),0)</f>
        <v>0.10320825163564852</v>
      </c>
      <c r="G21" s="32">
        <f>IFERROR(((HistoricalFS!G18-HistoricalFS!G24)/SUM(HistoricalFS!G49:G51)),0)</f>
        <v>7.0446533207815576E-2</v>
      </c>
      <c r="H21" s="32">
        <f>IFERROR(((HistoricalFS!H18-HistoricalFS!H24)/SUM(HistoricalFS!H49:H51)),0)</f>
        <v>8.2039630626324578E-2</v>
      </c>
      <c r="I21" s="32">
        <f>IFERROR(((HistoricalFS!I18-HistoricalFS!I24)/SUM(HistoricalFS!I49:I51)),0)</f>
        <v>9.1626307459809347E-2</v>
      </c>
      <c r="J21" s="32">
        <f>IFERROR(((HistoricalFS!J18-HistoricalFS!J24)/SUM(HistoricalFS!J49:J51)),0)</f>
        <v>0.10933274056308515</v>
      </c>
      <c r="K21" s="32">
        <f>IFERROR(((HistoricalFS!K18-HistoricalFS!K24)/SUM(HistoricalFS!K49:K51)),0)</f>
        <v>0.15656946040841757</v>
      </c>
      <c r="L21" s="32">
        <f>IFERROR(((HistoricalFS!L18-HistoricalFS!L24)/SUM(HistoricalFS!L49:L51)),0)</f>
        <v>0.15987372057137197</v>
      </c>
      <c r="M21" s="31"/>
      <c r="N21" s="41">
        <f t="shared" ref="N21:N25" si="6">IFERROR(AVERAGE(C21:L21),0)</f>
        <v>0.12514050414617234</v>
      </c>
      <c r="O21" s="41">
        <f>MEDIAN(C21:L21)</f>
        <v>0.12096720467979864</v>
      </c>
    </row>
    <row r="22" spans="2:15" x14ac:dyDescent="0.3">
      <c r="B22" t="s">
        <v>124</v>
      </c>
      <c r="C22" s="30">
        <f>HistoricalFS!C44</f>
        <v>0.87701992739749113</v>
      </c>
      <c r="D22" s="30">
        <f>HistoricalFS!D44</f>
        <v>0.86218438352872506</v>
      </c>
      <c r="E22" s="30">
        <f>HistoricalFS!E44</f>
        <v>0.8526480951332307</v>
      </c>
      <c r="F22" s="30">
        <f>HistoricalFS!F44</f>
        <v>0.86465975421780117</v>
      </c>
      <c r="G22" s="30">
        <f>HistoricalFS!G44</f>
        <v>0.8071298427311091</v>
      </c>
      <c r="H22" s="30">
        <f>HistoricalFS!H44</f>
        <v>0.78798651709064116</v>
      </c>
      <c r="I22" s="30">
        <f>HistoricalFS!I44</f>
        <v>0.76602067683729558</v>
      </c>
      <c r="J22" s="30">
        <f>HistoricalFS!J44</f>
        <v>0.73187116513410611</v>
      </c>
      <c r="K22" s="30">
        <f>HistoricalFS!K44</f>
        <v>0.81116559188127224</v>
      </c>
      <c r="L22" s="30">
        <f>HistoricalFS!L44</f>
        <v>0.83606157647479562</v>
      </c>
      <c r="N22" s="14">
        <f t="shared" si="6"/>
        <v>0.8196747530426467</v>
      </c>
      <c r="O22" s="14">
        <f t="shared" ref="O22:O25" si="7">MEDIAN(C22:L22)</f>
        <v>0.82361358417803388</v>
      </c>
    </row>
    <row r="23" spans="2:15" x14ac:dyDescent="0.3">
      <c r="B23" t="s">
        <v>125</v>
      </c>
      <c r="C23" s="30">
        <f>IFERROR(HistoricalFS!C33/(SUM(HistoricalFS!C49:C50)),0)</f>
        <v>0.14478171971951556</v>
      </c>
      <c r="D23" s="30">
        <f>IFERROR(HistoricalFS!D33/(SUM(HistoricalFS!D49:D50)),0)</f>
        <v>0.1159342709457879</v>
      </c>
      <c r="E23" s="30">
        <f>IFERROR(HistoricalFS!E33/(SUM(HistoricalFS!E49:E50)),0)</f>
        <v>0.10089719103568126</v>
      </c>
      <c r="F23" s="30">
        <f>IFERROR(HistoricalFS!F33/(SUM(HistoricalFS!F49:F50)),0)</f>
        <v>0.10309198678038463</v>
      </c>
      <c r="G23" s="30">
        <f>IFERROR(HistoricalFS!G33/(SUM(HistoricalFS!G49:G50)),0)</f>
        <v>6.6506904683322307E-2</v>
      </c>
      <c r="H23" s="30">
        <f>IFERROR(HistoricalFS!H33/(SUM(HistoricalFS!H49:H50)),0)</f>
        <v>8.0062182035660581E-2</v>
      </c>
      <c r="I23" s="30">
        <f>IFERROR(HistoricalFS!I33/(SUM(HistoricalFS!I49:I50)),0)</f>
        <v>6.8812998425289137E-2</v>
      </c>
      <c r="J23" s="30">
        <f>IFERROR(HistoricalFS!J33/(SUM(HistoricalFS!J49:J50)),0)</f>
        <v>7.6304003045105678E-2</v>
      </c>
      <c r="K23" s="30">
        <f>IFERROR(HistoricalFS!K33/(SUM(HistoricalFS!K49:K50)),0)</f>
        <v>0.11651469208846396</v>
      </c>
      <c r="L23" s="30">
        <f>IFERROR(HistoricalFS!L33/(SUM(HistoricalFS!L49:L50)),0)</f>
        <v>0.11806528165422286</v>
      </c>
      <c r="N23" s="14">
        <f t="shared" si="6"/>
        <v>9.9097123041343396E-2</v>
      </c>
      <c r="O23" s="14">
        <f t="shared" si="7"/>
        <v>0.10199458890803295</v>
      </c>
    </row>
    <row r="24" spans="2:15" x14ac:dyDescent="0.3">
      <c r="B24" t="s">
        <v>126</v>
      </c>
      <c r="C24" s="30">
        <f>IFERROR(C22*C23,0)</f>
        <v>0.12697645331689345</v>
      </c>
      <c r="D24" s="30">
        <f t="shared" ref="D24:L24" si="8">IFERROR(D22*D23,0)</f>
        <v>9.9956717925246324E-2</v>
      </c>
      <c r="E24" s="30">
        <f t="shared" si="8"/>
        <v>8.6029797740867303E-2</v>
      </c>
      <c r="F24" s="30">
        <f t="shared" si="8"/>
        <v>8.9139491951352179E-2</v>
      </c>
      <c r="G24" s="30">
        <f t="shared" si="8"/>
        <v>5.3679707517582796E-2</v>
      </c>
      <c r="H24" s="30">
        <f t="shared" si="8"/>
        <v>6.3087919972957082E-2</v>
      </c>
      <c r="I24" s="30">
        <f t="shared" si="8"/>
        <v>5.2712179628943742E-2</v>
      </c>
      <c r="J24" s="30">
        <f t="shared" si="8"/>
        <v>5.584469961301787E-2</v>
      </c>
      <c r="K24" s="30">
        <f t="shared" si="8"/>
        <v>9.4512709170803053E-2</v>
      </c>
      <c r="L24" s="30">
        <f t="shared" si="8"/>
        <v>9.8709845506770338E-2</v>
      </c>
      <c r="N24" s="14">
        <f t="shared" si="6"/>
        <v>8.2064952234443406E-2</v>
      </c>
      <c r="O24" s="14">
        <f t="shared" si="7"/>
        <v>8.7584644846109741E-2</v>
      </c>
    </row>
    <row r="25" spans="2:15" x14ac:dyDescent="0.3">
      <c r="B25" s="33" t="s">
        <v>127</v>
      </c>
      <c r="C25" s="35">
        <f>IFERROR((HistoricalFS!C18-HistoricalFS!C24)/HistoricalFS!C21,0)</f>
        <v>55.557652609849619</v>
      </c>
      <c r="D25" s="35">
        <f>IFERROR((HistoricalFS!D18-HistoricalFS!D24)/HistoricalFS!D21,0)</f>
        <v>12.174420200356797</v>
      </c>
      <c r="E25" s="35">
        <f>IFERROR((HistoricalFS!E18-HistoricalFS!E24)/HistoricalFS!E21,0)</f>
        <v>9.8529918592905155</v>
      </c>
      <c r="F25" s="35">
        <f>IFERROR((HistoricalFS!F18-HistoricalFS!F24)/HistoricalFS!F21,0)</f>
        <v>8.350433141363796</v>
      </c>
      <c r="G25" s="35">
        <f>IFERROR((HistoricalFS!G18-HistoricalFS!G24)/HistoricalFS!G21,0)</f>
        <v>7.3621533442088261</v>
      </c>
      <c r="H25" s="35">
        <f>IFERROR((HistoricalFS!H18-HistoricalFS!H24)/HistoricalFS!H21,0)</f>
        <v>13.162566751291264</v>
      </c>
      <c r="I25" s="35">
        <f>IFERROR((HistoricalFS!I18-HistoricalFS!I24)/HistoricalFS!I21,0)</f>
        <v>10.514753903698862</v>
      </c>
      <c r="J25" s="35">
        <f>IFERROR((HistoricalFS!J18-HistoricalFS!J24)/HistoricalFS!J21,0)</f>
        <v>10.292561815970819</v>
      </c>
      <c r="K25" s="35">
        <f>IFERROR((HistoricalFS!K18-HistoricalFS!K24)/HistoricalFS!K21,0)</f>
        <v>19.818108276291213</v>
      </c>
      <c r="L25" s="35">
        <f>IFERROR((HistoricalFS!L18-HistoricalFS!L24)/HistoricalFS!L21,0)</f>
        <v>32.918006582040441</v>
      </c>
      <c r="M25" s="33"/>
      <c r="N25" s="35">
        <f t="shared" si="6"/>
        <v>18.000364848436213</v>
      </c>
      <c r="O25" s="35">
        <f t="shared" si="7"/>
        <v>11.34458705202783</v>
      </c>
    </row>
    <row r="26" spans="2:15" x14ac:dyDescent="0.3">
      <c r="N26" s="37"/>
      <c r="O26" s="37"/>
    </row>
    <row r="27" spans="2:15" x14ac:dyDescent="0.3">
      <c r="B27" s="31" t="s">
        <v>128</v>
      </c>
      <c r="C27" s="36">
        <f>IFERROR(HistoricalFS!C6/HistoricalFS!C61,0)</f>
        <v>4.9611286881906</v>
      </c>
      <c r="D27" s="36">
        <f>IFERROR(HistoricalFS!D6/HistoricalFS!D61,0)</f>
        <v>6.2074879949233921</v>
      </c>
      <c r="E27" s="36">
        <f>IFERROR(HistoricalFS!E6/HistoricalFS!E61,0)</f>
        <v>5.6791942814808882</v>
      </c>
      <c r="F27" s="36">
        <f>IFERROR(HistoricalFS!F6/HistoricalFS!F61,0)</f>
        <v>5.8525126577174946</v>
      </c>
      <c r="G27" s="36">
        <f>IFERROR(HistoricalFS!G6/HistoricalFS!G61,0)</f>
        <v>5.6160785002243419</v>
      </c>
      <c r="H27" s="36">
        <f>IFERROR(HistoricalFS!H6/HistoricalFS!H61,0)</f>
        <v>4.8850779222872243</v>
      </c>
      <c r="I27" s="36">
        <f>IFERROR(HistoricalFS!I6/HistoricalFS!I61,0)</f>
        <v>3.9420654729781819</v>
      </c>
      <c r="J27" s="36">
        <f>IFERROR(HistoricalFS!J6/HistoricalFS!J61,0)</f>
        <v>4.4026279067974539</v>
      </c>
      <c r="K27" s="36">
        <f>IFERROR(HistoricalFS!K6/HistoricalFS!K61,0)</f>
        <v>5.560467019572334</v>
      </c>
      <c r="L27" s="36">
        <f>IFERROR(HistoricalFS!L6/HistoricalFS!L61,0)</f>
        <v>6.3552989685904846</v>
      </c>
      <c r="M27" s="31"/>
      <c r="N27" s="36">
        <f t="shared" ref="N27:N31" si="9">IFERROR(AVERAGE(C27:L27),0)</f>
        <v>5.3461939412762387</v>
      </c>
      <c r="O27" s="36">
        <f>MEDIAN(C27:L27)</f>
        <v>5.5882727598983379</v>
      </c>
    </row>
    <row r="28" spans="2:15" x14ac:dyDescent="0.3">
      <c r="B28" t="s">
        <v>129</v>
      </c>
      <c r="C28" s="37">
        <f>IFERROR(HistoricalFS!C6/HistoricalFS!C52,0)</f>
        <v>4.9516931615650535</v>
      </c>
      <c r="D28" s="37">
        <f>IFERROR(HistoricalFS!D6/HistoricalFS!D52,0)</f>
        <v>4.839631796774654</v>
      </c>
      <c r="E28" s="37">
        <f>IFERROR(HistoricalFS!E6/HistoricalFS!E52,0)</f>
        <v>3.5839777609299976</v>
      </c>
      <c r="F28" s="37">
        <f>IFERROR(HistoricalFS!F6/HistoricalFS!F52,0)</f>
        <v>3.1837879644914402</v>
      </c>
      <c r="G28" s="37">
        <f>IFERROR(HistoricalFS!G6/HistoricalFS!G52,0)</f>
        <v>3.4169447991985988</v>
      </c>
      <c r="H28" s="37">
        <f>IFERROR(HistoricalFS!H6/HistoricalFS!H52,0)</f>
        <v>3.4875507978074678</v>
      </c>
      <c r="I28" s="37">
        <f>IFERROR(HistoricalFS!I6/HistoricalFS!I52,0)</f>
        <v>3.6907136734785944</v>
      </c>
      <c r="J28" s="37">
        <f>IFERROR(HistoricalFS!J6/HistoricalFS!J52,0)</f>
        <v>3.5372117703412513</v>
      </c>
      <c r="K28" s="37">
        <f>IFERROR(HistoricalFS!K6/HistoricalFS!K52,0)</f>
        <v>4.2441619372931587</v>
      </c>
      <c r="L28" s="37">
        <f>IFERROR(HistoricalFS!L6/HistoricalFS!L52,0)</f>
        <v>4.3880444140662025</v>
      </c>
      <c r="N28" s="37">
        <f t="shared" si="9"/>
        <v>3.9323718075946417</v>
      </c>
      <c r="O28" s="37">
        <f t="shared" ref="O28:O31" si="10">MEDIAN(C28:L28)</f>
        <v>3.6373457172042958</v>
      </c>
    </row>
    <row r="29" spans="2:15" x14ac:dyDescent="0.3">
      <c r="B29" t="s">
        <v>130</v>
      </c>
      <c r="C29" s="37">
        <f>IFERROR(HistoricalFS!C6/HistoricalFS!C62,0)</f>
        <v>3.4684068753744128</v>
      </c>
      <c r="D29" s="37">
        <f>IFERROR(HistoricalFS!D6/HistoricalFS!D62,0)</f>
        <v>3.5138087771046465</v>
      </c>
      <c r="E29" s="37">
        <f>IFERROR(HistoricalFS!E6/HistoricalFS!E62,0)</f>
        <v>3.0009469346297699</v>
      </c>
      <c r="F29" s="37">
        <f>IFERROR(HistoricalFS!F6/HistoricalFS!F62,0)</f>
        <v>3.6213022413046048</v>
      </c>
      <c r="G29" s="37">
        <f>IFERROR(HistoricalFS!G6/HistoricalFS!G62,0)</f>
        <v>4.1300239865950514</v>
      </c>
      <c r="H29" s="37">
        <f>IFERROR(HistoricalFS!H6/HistoricalFS!H62,0)</f>
        <v>3.7470541696541151</v>
      </c>
      <c r="I29" s="37">
        <f>IFERROR(HistoricalFS!I6/HistoricalFS!I62,0)</f>
        <v>4.1268881641835842</v>
      </c>
      <c r="J29" s="37">
        <f>IFERROR(HistoricalFS!J6/HistoricalFS!J62,0)</f>
        <v>3.9135576571637429</v>
      </c>
      <c r="K29" s="37">
        <f>IFERROR(HistoricalFS!K6/HistoricalFS!K62,0)</f>
        <v>4.1034164457142364</v>
      </c>
      <c r="L29" s="37">
        <f>IFERROR(HistoricalFS!L6/HistoricalFS!L62,0)</f>
        <v>4.0677315410149824</v>
      </c>
      <c r="N29" s="37">
        <f t="shared" si="9"/>
        <v>3.7693136792739153</v>
      </c>
      <c r="O29" s="37">
        <f t="shared" si="10"/>
        <v>3.830305913408929</v>
      </c>
    </row>
    <row r="30" spans="2:15" x14ac:dyDescent="0.3">
      <c r="B30" t="s">
        <v>131</v>
      </c>
      <c r="C30" s="37">
        <f>IFERROR(HistoricalFS!C6/HistoricalFS!C55,0)</f>
        <v>2.293462272539661</v>
      </c>
      <c r="D30" s="37">
        <f>IFERROR(HistoricalFS!D6/HistoricalFS!D55,0)</f>
        <v>1.5659873746819426</v>
      </c>
      <c r="E30" s="37">
        <f>IFERROR(HistoricalFS!E6/HistoricalFS!E55,0)</f>
        <v>1.6612061543507417</v>
      </c>
      <c r="F30" s="37">
        <f>IFERROR(HistoricalFS!F6/HistoricalFS!F55,0)</f>
        <v>1.4719928439677552</v>
      </c>
      <c r="G30" s="37">
        <f>IFERROR(HistoricalFS!G6/HistoricalFS!G55,0)</f>
        <v>1.5164686398412135</v>
      </c>
      <c r="H30" s="37">
        <f>IFERROR(HistoricalFS!H6/HistoricalFS!H55,0)</f>
        <v>1.523160910818609</v>
      </c>
      <c r="I30" s="37">
        <f>IFERROR(HistoricalFS!I6/HistoricalFS!I55,0)</f>
        <v>1.7029347360007325</v>
      </c>
      <c r="J30" s="37">
        <f>IFERROR(HistoricalFS!J6/HistoricalFS!J55,0)</f>
        <v>1.7693054449652947</v>
      </c>
      <c r="K30" s="37">
        <f>IFERROR(HistoricalFS!K6/HistoricalFS!K55,0)</f>
        <v>2.0135095086763517</v>
      </c>
      <c r="L30" s="37">
        <f>IFERROR(HistoricalFS!L6/HistoricalFS!L55,0)</f>
        <v>2.2475057650622254</v>
      </c>
      <c r="N30" s="37">
        <f t="shared" si="9"/>
        <v>1.776553365090453</v>
      </c>
      <c r="O30" s="37">
        <f t="shared" si="10"/>
        <v>1.6820704451757371</v>
      </c>
    </row>
    <row r="31" spans="2:15" x14ac:dyDescent="0.3">
      <c r="B31" s="33" t="s">
        <v>132</v>
      </c>
      <c r="C31" s="35">
        <f>IFERROR(HistoricalFS!C6/SUM(HistoricalFS!C49:C50),0)</f>
        <v>0.91802015372537882</v>
      </c>
      <c r="D31" s="35">
        <f>IFERROR(HistoricalFS!D6/SUM(HistoricalFS!D49:D50),0)</f>
        <v>1.0122423597188157</v>
      </c>
      <c r="E31" s="35">
        <f>IFERROR(HistoricalFS!E6/SUM(HistoricalFS!E49:E50),0)</f>
        <v>1.0503587930924345</v>
      </c>
      <c r="F31" s="35">
        <f>IFERROR(HistoricalFS!F6/SUM(HistoricalFS!F49:F50),0)</f>
        <v>1.1974502050151872</v>
      </c>
      <c r="G31" s="35">
        <f>IFERROR(HistoricalFS!G6/SUM(HistoricalFS!G49:G50),0)</f>
        <v>1.1475350894396055</v>
      </c>
      <c r="H31" s="35">
        <f>IFERROR(HistoricalFS!H6/SUM(HistoricalFS!H49:H50),0)</f>
        <v>1.0651140367090466</v>
      </c>
      <c r="I31" s="35">
        <f>IFERROR(HistoricalFS!I6/SUM(HistoricalFS!I49:I50),0)</f>
        <v>1.0899350398473784</v>
      </c>
      <c r="J31" s="35">
        <f>IFERROR(HistoricalFS!J6/SUM(HistoricalFS!J49:J50),0)</f>
        <v>1.0868483156759501</v>
      </c>
      <c r="K31" s="35">
        <f>IFERROR(HistoricalFS!K6/SUM(HistoricalFS!K49:K50),0)</f>
        <v>1.0454565048593485</v>
      </c>
      <c r="L31" s="35">
        <f>IFERROR(HistoricalFS!L6/SUM(HistoricalFS!L49:L50),0)</f>
        <v>1.0442214618872077</v>
      </c>
      <c r="M31" s="33"/>
      <c r="N31" s="35">
        <f t="shared" si="9"/>
        <v>1.0657181959970354</v>
      </c>
      <c r="O31" s="35">
        <f t="shared" si="10"/>
        <v>1.0577364149007407</v>
      </c>
    </row>
    <row r="33" spans="2:15" x14ac:dyDescent="0.3">
      <c r="B33" s="38" t="s">
        <v>133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2:15" x14ac:dyDescent="0.3">
      <c r="B34" t="s">
        <v>134</v>
      </c>
      <c r="C34" s="39">
        <f>IFERROR(365/C27,0)</f>
        <v>73.571967780001515</v>
      </c>
      <c r="D34" s="39">
        <f t="shared" ref="D34:L34" si="11">IFERROR(365/D27,0)</f>
        <v>58.799952621495891</v>
      </c>
      <c r="E34" s="39">
        <f t="shared" si="11"/>
        <v>64.269680153436099</v>
      </c>
      <c r="F34" s="39">
        <f t="shared" si="11"/>
        <v>62.366375153189601</v>
      </c>
      <c r="G34" s="39">
        <f t="shared" si="11"/>
        <v>64.991969037722598</v>
      </c>
      <c r="H34" s="39">
        <f t="shared" si="11"/>
        <v>74.717334258837099</v>
      </c>
      <c r="I34" s="39">
        <f t="shared" si="11"/>
        <v>92.591054740713631</v>
      </c>
      <c r="J34" s="39">
        <f t="shared" si="11"/>
        <v>82.905030297122522</v>
      </c>
      <c r="K34" s="39">
        <f t="shared" si="11"/>
        <v>65.64196833022001</v>
      </c>
      <c r="L34" s="39">
        <f t="shared" si="11"/>
        <v>57.432388594765328</v>
      </c>
      <c r="N34" s="39">
        <f t="shared" ref="N34:N37" si="12">IFERROR(AVERAGE(C34:L34),0)</f>
        <v>69.728772096750419</v>
      </c>
      <c r="O34" s="39">
        <f>MEDIAN(C34:L34)</f>
        <v>65.316968683971311</v>
      </c>
    </row>
    <row r="35" spans="2:15" x14ac:dyDescent="0.3">
      <c r="B35" t="s">
        <v>135</v>
      </c>
      <c r="C35" s="39">
        <f>IFERROR(365/C28,0)</f>
        <v>73.712160283501191</v>
      </c>
      <c r="D35" s="39">
        <f t="shared" ref="D35:L35" si="13">IFERROR(365/D28,0)</f>
        <v>75.418960641438105</v>
      </c>
      <c r="E35" s="39">
        <f t="shared" si="13"/>
        <v>101.84214979762794</v>
      </c>
      <c r="F35" s="39">
        <f t="shared" si="13"/>
        <v>114.64331295639626</v>
      </c>
      <c r="G35" s="39">
        <f t="shared" si="13"/>
        <v>106.82057260205261</v>
      </c>
      <c r="H35" s="39">
        <f t="shared" si="13"/>
        <v>104.65797379337556</v>
      </c>
      <c r="I35" s="39">
        <f t="shared" si="13"/>
        <v>98.896861770362676</v>
      </c>
      <c r="J35" s="39">
        <f t="shared" si="13"/>
        <v>103.18861965247469</v>
      </c>
      <c r="K35" s="39">
        <f t="shared" si="13"/>
        <v>86.000488528199199</v>
      </c>
      <c r="L35" s="39">
        <f t="shared" si="13"/>
        <v>83.180561899046737</v>
      </c>
      <c r="N35" s="39">
        <f t="shared" si="12"/>
        <v>94.836166192447493</v>
      </c>
      <c r="O35" s="39">
        <f t="shared" ref="O35:O37" si="14">MEDIAN(C35:L35)</f>
        <v>100.36950578399531</v>
      </c>
    </row>
    <row r="36" spans="2:15" x14ac:dyDescent="0.3">
      <c r="C36" s="39">
        <f>IFERROR(365/C29,0)</f>
        <v>105.23563500911305</v>
      </c>
      <c r="D36" s="39">
        <f t="shared" ref="D36:L36" si="15">IFERROR(365/D29,0)</f>
        <v>103.87588601243048</v>
      </c>
      <c r="E36" s="39">
        <f t="shared" si="15"/>
        <v>121.62827532471195</v>
      </c>
      <c r="F36" s="39">
        <f t="shared" si="15"/>
        <v>100.79247068549176</v>
      </c>
      <c r="G36" s="39">
        <f t="shared" si="15"/>
        <v>88.377210685626025</v>
      </c>
      <c r="H36" s="39">
        <f t="shared" si="15"/>
        <v>97.409854107791716</v>
      </c>
      <c r="I36" s="39">
        <f t="shared" si="15"/>
        <v>88.444364247076066</v>
      </c>
      <c r="J36" s="39">
        <f t="shared" si="15"/>
        <v>93.265522569181968</v>
      </c>
      <c r="K36" s="39">
        <f t="shared" si="15"/>
        <v>88.950269812663009</v>
      </c>
      <c r="L36" s="39">
        <f t="shared" si="15"/>
        <v>89.730602012374945</v>
      </c>
      <c r="N36" s="39">
        <f t="shared" si="12"/>
        <v>97.7710090466461</v>
      </c>
      <c r="O36" s="39">
        <f t="shared" si="14"/>
        <v>95.337688338486842</v>
      </c>
    </row>
    <row r="37" spans="2:15" x14ac:dyDescent="0.3">
      <c r="B37" s="33" t="s">
        <v>136</v>
      </c>
      <c r="C37" s="40">
        <f>IFERROR(SUM(C34,C36)-C35,0)</f>
        <v>105.09544250561339</v>
      </c>
      <c r="D37" s="40">
        <f t="shared" ref="D37:L37" si="16">IFERROR(SUM(D34,D36)-D35,0)</f>
        <v>87.256877992488285</v>
      </c>
      <c r="E37" s="40">
        <f t="shared" si="16"/>
        <v>84.055805680520109</v>
      </c>
      <c r="F37" s="40">
        <f t="shared" si="16"/>
        <v>48.515532882285115</v>
      </c>
      <c r="G37" s="40">
        <f t="shared" si="16"/>
        <v>46.548607121296016</v>
      </c>
      <c r="H37" s="40">
        <f t="shared" si="16"/>
        <v>67.469214573253254</v>
      </c>
      <c r="I37" s="40">
        <f t="shared" si="16"/>
        <v>82.138557217427007</v>
      </c>
      <c r="J37" s="40">
        <f t="shared" si="16"/>
        <v>72.981933213829805</v>
      </c>
      <c r="K37" s="40">
        <f t="shared" si="16"/>
        <v>68.59174961468382</v>
      </c>
      <c r="L37" s="40">
        <f t="shared" si="16"/>
        <v>63.982428708093536</v>
      </c>
      <c r="M37" s="33"/>
      <c r="N37" s="40">
        <f t="shared" si="12"/>
        <v>72.663614950949039</v>
      </c>
      <c r="O37" s="40">
        <f t="shared" si="14"/>
        <v>70.786841414256813</v>
      </c>
    </row>
    <row r="39" spans="2:15" x14ac:dyDescent="0.3">
      <c r="B39" s="31" t="s">
        <v>137</v>
      </c>
      <c r="C39" s="41">
        <f>IFERROR(HistoricalFS!C80/HistoricalFS!C6,0)</f>
        <v>0.1059264457389668</v>
      </c>
      <c r="D39" s="41">
        <f>IFERROR(HistoricalFS!D80/HistoricalFS!D6,0)</f>
        <v>9.859053865034173E-2</v>
      </c>
      <c r="E39" s="41">
        <f>IFERROR(HistoricalFS!E80/HistoricalFS!E6,0)</f>
        <v>4.0016076943688389E-2</v>
      </c>
      <c r="F39" s="41">
        <f>IFERROR(HistoricalFS!F80/HistoricalFS!F6,0)</f>
        <v>9.5140716891103039E-2</v>
      </c>
      <c r="G39" s="41">
        <f>IFERROR(HistoricalFS!G80/HistoricalFS!G6,0)</f>
        <v>0.18187767510589267</v>
      </c>
      <c r="H39" s="41">
        <f>IFERROR(HistoricalFS!H80/HistoricalFS!H6,0)</f>
        <v>4.5197486623853325E-2</v>
      </c>
      <c r="I39" s="41">
        <f>IFERROR(HistoricalFS!I80/HistoricalFS!I6,0)</f>
        <v>3.8319538503191156E-2</v>
      </c>
      <c r="J39" s="41">
        <f>IFERROR(HistoricalFS!J80/HistoricalFS!J6,0)</f>
        <v>0.20085232363549124</v>
      </c>
      <c r="K39" s="41">
        <f>IFERROR(HistoricalFS!K80/HistoricalFS!K6,0)</f>
        <v>0.21545346220874245</v>
      </c>
      <c r="L39" s="41">
        <f>IFERROR(HistoricalFS!L80/HistoricalFS!L6,0)</f>
        <v>0.14464691540912378</v>
      </c>
      <c r="M39" s="31"/>
      <c r="N39" s="41">
        <f t="shared" ref="N39:N41" si="17">IFERROR(AVERAGE(C39:L39),0)</f>
        <v>0.11660211797103948</v>
      </c>
      <c r="O39" s="41">
        <f>MEDIAN(C39:L39)</f>
        <v>0.10225849219465427</v>
      </c>
    </row>
    <row r="40" spans="2:15" x14ac:dyDescent="0.3">
      <c r="B40" t="s">
        <v>138</v>
      </c>
      <c r="C40" s="14">
        <f>IFERROR(HistoricalFS!C80/HistoricalFS!C66,0)</f>
        <v>7.5228795901789103E-2</v>
      </c>
      <c r="D40" s="14">
        <f>IFERROR(HistoricalFS!D80/HistoricalFS!D66,0)</f>
        <v>7.4848735407108458E-2</v>
      </c>
      <c r="E40" s="14">
        <f>IFERROR(HistoricalFS!E80/HistoricalFS!E66,0)</f>
        <v>2.8971782504872236E-2</v>
      </c>
      <c r="F40" s="14">
        <f>IFERROR(HistoricalFS!F80/HistoricalFS!F66,0)</f>
        <v>6.2329301089955158E-2</v>
      </c>
      <c r="G40" s="14">
        <f>IFERROR(HistoricalFS!G80/HistoricalFS!G66,0)</f>
        <v>0.12544959159401484</v>
      </c>
      <c r="H40" s="14">
        <f>IFERROR(HistoricalFS!H80/HistoricalFS!H66,0)</f>
        <v>3.021227985833308E-2</v>
      </c>
      <c r="I40" s="14">
        <f>IFERROR(HistoricalFS!I80/HistoricalFS!I66,0)</f>
        <v>2.6386767730371845E-2</v>
      </c>
      <c r="J40" s="14">
        <f>IFERROR(HistoricalFS!J80/HistoricalFS!J66,0)</f>
        <v>0.1469082035060725</v>
      </c>
      <c r="K40" s="14">
        <f>IFERROR(HistoricalFS!K80/HistoricalFS!K66,0)</f>
        <v>0.16608141207823851</v>
      </c>
      <c r="L40" s="14">
        <f>IFERROR(HistoricalFS!L80/HistoricalFS!L66,0)</f>
        <v>0.11721269114083545</v>
      </c>
      <c r="N40" s="14">
        <f t="shared" si="17"/>
        <v>8.5362956081159125E-2</v>
      </c>
      <c r="O40" s="14">
        <f t="shared" ref="O40:O41" si="18">MEDIAN(C40:L40)</f>
        <v>7.503876565444878E-2</v>
      </c>
    </row>
    <row r="41" spans="2:15" x14ac:dyDescent="0.3">
      <c r="B41" s="33" t="s">
        <v>139</v>
      </c>
      <c r="C41" s="42">
        <f>IFERROR(HistoricalFS!C80/HistoricalFS!C51,0)</f>
        <v>0.9068629985419876</v>
      </c>
      <c r="D41" s="42">
        <f>IFERROR(HistoricalFS!D80/HistoricalFS!D51,0)</f>
        <v>0.80374385973347429</v>
      </c>
      <c r="E41" s="42">
        <f>IFERROR(HistoricalFS!E80/HistoricalFS!E51,0)</f>
        <v>0.26653672512079279</v>
      </c>
      <c r="F41" s="42">
        <f>IFERROR(HistoricalFS!F80/HistoricalFS!F51,0)</f>
        <v>0.25221456692913385</v>
      </c>
      <c r="G41" s="42">
        <f>IFERROR(HistoricalFS!G80/HistoricalFS!G51,0)</f>
        <v>0.63657097839354582</v>
      </c>
      <c r="H41" s="42">
        <f>IFERROR(HistoricalFS!H80/HistoricalFS!H51,0)</f>
        <v>0.16715267017239907</v>
      </c>
      <c r="I41" s="42">
        <f>IFERROR(HistoricalFS!I80/HistoricalFS!I51,0)</f>
        <v>0.14526566007835542</v>
      </c>
      <c r="J41" s="42">
        <f>IFERROR(HistoricalFS!J80/HistoricalFS!J51,0)</f>
        <v>1.2217594614458731</v>
      </c>
      <c r="K41" s="42">
        <f>IFERROR(HistoricalFS!K80/HistoricalFS!K51,0)</f>
        <v>2.0492352599520456</v>
      </c>
      <c r="L41" s="42">
        <f>IFERROR(HistoricalFS!L80/HistoricalFS!L51,0)</f>
        <v>2.9816817897668075</v>
      </c>
      <c r="M41" s="33"/>
      <c r="N41" s="42">
        <f t="shared" si="17"/>
        <v>0.94310239701344156</v>
      </c>
      <c r="O41" s="42">
        <f t="shared" si="18"/>
        <v>0.72015741906351005</v>
      </c>
    </row>
  </sheetData>
  <mergeCells count="1">
    <mergeCell ref="B2:O2"/>
  </mergeCells>
  <pageMargins left="0.70866141732283472" right="0.70866141732283472" top="0.74803149606299213" bottom="0.74803149606299213" header="0.31496062992125984" footer="0.31496062992125984"/>
  <pageSetup paperSize="9" scale="69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226ACD71-5F82-494B-A3C0-3A3A4B2A3E93}">
          <x14:colorSeries theme="1"/>
          <x14:colorNegative rgb="FFD00000"/>
          <x14:colorAxis rgb="FF000000"/>
          <x14:colorMarkers theme="4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 xr2:uid="{1750D5E6-CDF9-4458-B313-8DBDA5F11AD9}">
          <x14:colorSeries theme="1"/>
          <x14:colorNegative rgb="FFD00000"/>
          <x14:colorAxis rgb="FF000000"/>
          <x14:colorMarkers theme="4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</x14:sparklines>
        </x14:sparklineGroup>
        <x14:sparklineGroup displayEmptyCellsAs="gap" markers="1" xr2:uid="{61A9EFC3-3601-4473-886D-3BBA6AF89728}">
          <x14:colorSeries theme="1"/>
          <x14:colorNegative rgb="FFD00000"/>
          <x14:colorAxis rgb="FF000000"/>
          <x14:colorMarkers theme="4"/>
          <x14:colorFirst rgb="FFD00000"/>
          <x14:colorLast rgb="FFD00000"/>
          <x14:colorHigh rgb="FFD00000"/>
          <x14:colorLow rgb="FFD00000"/>
          <x14:sparklines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</x14:sparklines>
        </x14:sparklineGroup>
        <x14:sparklineGroup displayEmptyCellsAs="gap" markers="1" xr2:uid="{DA7FB370-4577-45E2-87CB-708307195088}">
          <x14:colorSeries theme="1"/>
          <x14:colorNegative rgb="FFD00000"/>
          <x14:colorAxis rgb="FF000000"/>
          <x14:colorMarkers theme="4"/>
          <x14:colorFirst rgb="FFD00000"/>
          <x14:colorLast rgb="FFD00000"/>
          <x14:colorHigh rgb="FFD00000"/>
          <x14:colorLow rgb="FFD00000"/>
          <x14:sparklines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</x14:sparklines>
        </x14:sparklineGroup>
        <x14:sparklineGroup displayEmptyCellsAs="gap" markers="1" xr2:uid="{5992B186-3BF6-4513-9405-2AEECAD6153D}">
          <x14:colorSeries theme="1"/>
          <x14:colorNegative rgb="FFD00000"/>
          <x14:colorAxis rgb="FF000000"/>
          <x14:colorMarkers theme="4"/>
          <x14:colorFirst rgb="FFD00000"/>
          <x14:colorLast rgb="FFD00000"/>
          <x14:colorHigh rgb="FFD00000"/>
          <x14:colorLow rgb="FFD00000"/>
          <x14:sparklines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</x14:sparklines>
        </x14:sparklineGroup>
        <x14:sparklineGroup displayEmptyCellsAs="gap" markers="1" xr2:uid="{AF368BF3-B496-463C-A4F8-5A06B9493BB2}">
          <x14:colorSeries theme="1"/>
          <x14:colorNegative rgb="FFD00000"/>
          <x14:colorAxis rgb="FF000000"/>
          <x14:colorMarkers theme="4"/>
          <x14:colorFirst rgb="FFD00000"/>
          <x14:colorLast rgb="FFD00000"/>
          <x14:colorHigh rgb="FFD00000"/>
          <x14:colorLow rgb="FFD00000"/>
          <x14:sparklines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</x14:sparklines>
        </x14:sparklineGroup>
        <x14:sparklineGroup displayEmptyCellsAs="gap" markers="1" xr2:uid="{D55EF876-6684-4A60-A022-0E025C64EFD7}">
          <x14:colorSeries theme="1"/>
          <x14:colorNegative rgb="FFD00000"/>
          <x14:colorAxis rgb="FF000000"/>
          <x14:colorMarkers theme="4"/>
          <x14:colorFirst rgb="FFD00000"/>
          <x14:colorLast rgb="FFD00000"/>
          <x14:colorHigh rgb="FFD00000"/>
          <x14:colorLow rgb="FFD00000"/>
          <x14:sparklines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9ED4-1360-425E-A1E4-E378BE032B63}">
  <sheetPr>
    <pageSetUpPr fitToPage="1"/>
  </sheetPr>
  <dimension ref="B3:O19"/>
  <sheetViews>
    <sheetView showGridLines="0" tabSelected="1" zoomScale="69" zoomScaleNormal="69" workbookViewId="0">
      <selection activeCell="E34" sqref="E34"/>
    </sheetView>
  </sheetViews>
  <sheetFormatPr defaultRowHeight="14.4" x14ac:dyDescent="0.3"/>
  <cols>
    <col min="1" max="1" width="1.88671875" customWidth="1"/>
    <col min="2" max="2" width="10.77734375" style="90" customWidth="1"/>
    <col min="3" max="3" width="10.77734375" style="146" customWidth="1"/>
    <col min="4" max="5" width="12.77734375" style="146" customWidth="1"/>
    <col min="6" max="6" width="2.77734375" customWidth="1"/>
    <col min="7" max="8" width="10.77734375" customWidth="1"/>
    <col min="9" max="9" width="12.77734375" customWidth="1"/>
    <col min="10" max="10" width="14.88671875" customWidth="1"/>
    <col min="11" max="11" width="2.77734375" customWidth="1"/>
    <col min="12" max="13" width="10.77734375" customWidth="1"/>
    <col min="14" max="14" width="12.77734375" customWidth="1"/>
    <col min="15" max="15" width="13.77734375" customWidth="1"/>
  </cols>
  <sheetData>
    <row r="3" spans="2:15" x14ac:dyDescent="0.3">
      <c r="B3" s="167" t="str">
        <f>'Data Sheet'!B1&amp;" - "&amp;'Data Sheet'!A17&amp;" Forecast"</f>
        <v>CIPLA LTD - Sales Forecast</v>
      </c>
      <c r="C3" s="167"/>
      <c r="D3" s="167"/>
      <c r="E3" s="167"/>
      <c r="F3" s="10"/>
      <c r="G3" s="167" t="str">
        <f>'Data Sheet'!$B$1&amp;" - "&amp;'Data Sheet'!A34&amp;" Forecast"</f>
        <v>CIPLA LTD - EBITDA Forecast</v>
      </c>
      <c r="H3" s="167"/>
      <c r="I3" s="167"/>
      <c r="J3" s="167"/>
      <c r="L3" s="167" t="str">
        <f>'Data Sheet'!$B$1&amp;" - "&amp;HistoricalFS!B38&amp;" Forecast"</f>
        <v>CIPLA LTD - Earning Per Share Forecast</v>
      </c>
      <c r="M3" s="167"/>
      <c r="N3" s="167"/>
      <c r="O3" s="167"/>
    </row>
    <row r="4" spans="2:15" x14ac:dyDescent="0.3">
      <c r="B4" s="129" t="s">
        <v>364</v>
      </c>
      <c r="C4" s="147" t="s">
        <v>239</v>
      </c>
      <c r="D4" s="147" t="s">
        <v>12</v>
      </c>
      <c r="E4" s="147" t="s">
        <v>58</v>
      </c>
      <c r="G4" s="129" t="s">
        <v>364</v>
      </c>
      <c r="H4" s="147" t="s">
        <v>239</v>
      </c>
      <c r="I4" s="147" t="s">
        <v>66</v>
      </c>
      <c r="J4" s="147" t="s">
        <v>114</v>
      </c>
      <c r="L4" s="129" t="s">
        <v>364</v>
      </c>
      <c r="M4" s="147" t="s">
        <v>239</v>
      </c>
      <c r="N4" s="147" t="s">
        <v>365</v>
      </c>
      <c r="O4" s="147" t="s">
        <v>366</v>
      </c>
    </row>
    <row r="5" spans="2:15" x14ac:dyDescent="0.3">
      <c r="B5" s="90">
        <v>1</v>
      </c>
      <c r="C5" s="160">
        <f>'Data Sheet'!$B$16</f>
        <v>41364</v>
      </c>
      <c r="D5" s="161">
        <f t="array" ref="D5:D14">TRANSPOSE('Data Sheet'!B17:K17)</f>
        <v>8279.33</v>
      </c>
      <c r="E5" s="92"/>
      <c r="G5" s="90">
        <v>1</v>
      </c>
      <c r="H5" s="160">
        <f>'Data Sheet'!$B$16</f>
        <v>41364</v>
      </c>
      <c r="I5" s="161">
        <f t="array" ref="I5:I14">TRANSPOSE('Data Sheet'!B34:K34)</f>
        <v>2453.5499999999997</v>
      </c>
      <c r="J5" s="92"/>
      <c r="L5" s="90">
        <v>1</v>
      </c>
      <c r="M5" s="160">
        <f>'Data Sheet'!$B$16</f>
        <v>41364</v>
      </c>
      <c r="N5" s="161">
        <f t="array" ref="N5:N14">TRANSPOSE(HistoricalFS!C38:M38)</f>
        <v>16.262797359571561</v>
      </c>
      <c r="O5" s="92"/>
    </row>
    <row r="6" spans="2:15" x14ac:dyDescent="0.3">
      <c r="B6" s="90">
        <v>2</v>
      </c>
      <c r="C6" s="160">
        <f>C5+365</f>
        <v>41729</v>
      </c>
      <c r="D6" s="161">
        <v>10173.39</v>
      </c>
      <c r="E6" s="92">
        <f>D6/D5-1</f>
        <v>0.22876971928887957</v>
      </c>
      <c r="G6" s="90">
        <v>2</v>
      </c>
      <c r="H6" s="160">
        <f>H5+365</f>
        <v>41729</v>
      </c>
      <c r="I6" s="161">
        <v>2370.17</v>
      </c>
      <c r="J6" s="92">
        <f>I6/I5-1</f>
        <v>-3.3983411791078111E-2</v>
      </c>
      <c r="L6" s="90">
        <v>2</v>
      </c>
      <c r="M6" s="160">
        <f>M5+365</f>
        <v>41729</v>
      </c>
      <c r="N6" s="161">
        <v>14.512143479885406</v>
      </c>
      <c r="O6" s="92">
        <f>N6/N5-1</f>
        <v>-0.10764777061283359</v>
      </c>
    </row>
    <row r="7" spans="2:15" x14ac:dyDescent="0.3">
      <c r="B7" s="90">
        <v>3</v>
      </c>
      <c r="C7" s="160">
        <f t="shared" ref="C7:C19" si="0">C6+365</f>
        <v>42094</v>
      </c>
      <c r="D7" s="161">
        <v>11345.44</v>
      </c>
      <c r="E7" s="92">
        <f t="shared" ref="E7:E19" si="1">D7/D6-1</f>
        <v>0.11520741856942496</v>
      </c>
      <c r="G7" s="90">
        <v>3</v>
      </c>
      <c r="H7" s="160">
        <f t="shared" ref="H7:H19" si="2">H6+365</f>
        <v>42094</v>
      </c>
      <c r="I7" s="161">
        <v>2253.7999999999997</v>
      </c>
      <c r="J7" s="92">
        <f t="shared" ref="J7:J19" si="3">I7/I6-1</f>
        <v>-4.9097744043676284E-2</v>
      </c>
      <c r="L7" s="90">
        <v>3</v>
      </c>
      <c r="M7" s="160">
        <f t="shared" ref="M7:M19" si="4">M6+365</f>
        <v>42094</v>
      </c>
      <c r="N7" s="161">
        <v>13.572104607721057</v>
      </c>
      <c r="O7" s="92">
        <f t="shared" ref="O7:O19" si="5">N7/N6-1</f>
        <v>-6.4776018337145858E-2</v>
      </c>
    </row>
    <row r="8" spans="2:15" x14ac:dyDescent="0.3">
      <c r="B8" s="90">
        <v>4</v>
      </c>
      <c r="C8" s="160">
        <f t="shared" si="0"/>
        <v>42459</v>
      </c>
      <c r="D8" s="161">
        <v>13790.1</v>
      </c>
      <c r="E8" s="92">
        <f t="shared" si="1"/>
        <v>0.21547511599373848</v>
      </c>
      <c r="G8" s="90">
        <v>4</v>
      </c>
      <c r="H8" s="160">
        <f t="shared" si="2"/>
        <v>42459</v>
      </c>
      <c r="I8" s="161">
        <v>2652.4300000000003</v>
      </c>
      <c r="J8" s="92">
        <f t="shared" si="3"/>
        <v>0.17687017481586675</v>
      </c>
      <c r="L8" s="90">
        <v>4</v>
      </c>
      <c r="M8" s="160">
        <f t="shared" si="4"/>
        <v>42459</v>
      </c>
      <c r="N8" s="161">
        <v>14.777570326114029</v>
      </c>
      <c r="O8" s="92">
        <f t="shared" si="5"/>
        <v>8.8819365399467332E-2</v>
      </c>
    </row>
    <row r="9" spans="2:15" x14ac:dyDescent="0.3">
      <c r="B9" s="90">
        <v>5</v>
      </c>
      <c r="C9" s="160">
        <f t="shared" si="0"/>
        <v>42824</v>
      </c>
      <c r="D9" s="161">
        <v>14394.29</v>
      </c>
      <c r="E9" s="92">
        <f t="shared" si="1"/>
        <v>4.3813315349417348E-2</v>
      </c>
      <c r="G9" s="90">
        <v>5</v>
      </c>
      <c r="H9" s="160">
        <f t="shared" si="2"/>
        <v>42824</v>
      </c>
      <c r="I9" s="161">
        <v>2668.46</v>
      </c>
      <c r="J9" s="92">
        <f t="shared" si="3"/>
        <v>6.0435148147168771E-3</v>
      </c>
      <c r="L9" s="90">
        <v>5</v>
      </c>
      <c r="M9" s="160">
        <f t="shared" si="4"/>
        <v>42824</v>
      </c>
      <c r="N9" s="161">
        <v>10.369670602858951</v>
      </c>
      <c r="O9" s="92">
        <f t="shared" si="5"/>
        <v>-0.29828311596431412</v>
      </c>
    </row>
    <row r="10" spans="2:15" x14ac:dyDescent="0.3">
      <c r="B10" s="90">
        <v>6</v>
      </c>
      <c r="C10" s="160">
        <f t="shared" si="0"/>
        <v>43189</v>
      </c>
      <c r="D10" s="161">
        <v>15155.71</v>
      </c>
      <c r="E10" s="92">
        <f t="shared" si="1"/>
        <v>5.2897364163150717E-2</v>
      </c>
      <c r="G10" s="90">
        <v>6</v>
      </c>
      <c r="H10" s="160">
        <f t="shared" si="2"/>
        <v>43189</v>
      </c>
      <c r="I10" s="161">
        <v>3097.6899999999996</v>
      </c>
      <c r="J10" s="92">
        <f t="shared" si="3"/>
        <v>0.16085307630618395</v>
      </c>
      <c r="L10" s="90">
        <v>6</v>
      </c>
      <c r="M10" s="160">
        <f t="shared" si="4"/>
        <v>43189</v>
      </c>
      <c r="N10" s="161">
        <v>14.150043472860528</v>
      </c>
      <c r="O10" s="92">
        <f t="shared" si="5"/>
        <v>0.36456055498612616</v>
      </c>
    </row>
    <row r="11" spans="2:15" x14ac:dyDescent="0.3">
      <c r="B11" s="90">
        <v>7</v>
      </c>
      <c r="C11" s="160">
        <f t="shared" si="0"/>
        <v>43554</v>
      </c>
      <c r="D11" s="161">
        <v>16362.41</v>
      </c>
      <c r="E11" s="92">
        <f t="shared" si="1"/>
        <v>7.9620156363509276E-2</v>
      </c>
      <c r="G11" s="90">
        <v>7</v>
      </c>
      <c r="H11" s="160">
        <f t="shared" si="2"/>
        <v>43554</v>
      </c>
      <c r="I11" s="161">
        <v>3591.97</v>
      </c>
      <c r="J11" s="92">
        <f t="shared" si="3"/>
        <v>0.15956406225284003</v>
      </c>
      <c r="L11" s="90">
        <v>7</v>
      </c>
      <c r="M11" s="160">
        <f t="shared" si="4"/>
        <v>43554</v>
      </c>
      <c r="N11" s="161">
        <v>12.821645773861233</v>
      </c>
      <c r="O11" s="92">
        <f t="shared" si="5"/>
        <v>-9.3879407617872834E-2</v>
      </c>
    </row>
    <row r="12" spans="2:15" x14ac:dyDescent="0.3">
      <c r="B12" s="90">
        <v>8</v>
      </c>
      <c r="C12" s="160">
        <f t="shared" si="0"/>
        <v>43919</v>
      </c>
      <c r="D12" s="161">
        <v>17131.990000000002</v>
      </c>
      <c r="E12" s="92">
        <f t="shared" si="1"/>
        <v>4.7033413781955247E-2</v>
      </c>
      <c r="G12" s="90">
        <v>8</v>
      </c>
      <c r="H12" s="160">
        <f t="shared" si="2"/>
        <v>43919</v>
      </c>
      <c r="I12" s="161">
        <v>3549.7300000000005</v>
      </c>
      <c r="J12" s="92">
        <f t="shared" si="3"/>
        <v>-1.175956369346054E-2</v>
      </c>
      <c r="L12" s="90">
        <v>8</v>
      </c>
      <c r="M12" s="160">
        <f t="shared" si="4"/>
        <v>43919</v>
      </c>
      <c r="N12" s="161">
        <v>14.919126767551486</v>
      </c>
      <c r="O12" s="92">
        <f t="shared" si="5"/>
        <v>0.16358906108342741</v>
      </c>
    </row>
    <row r="13" spans="2:15" x14ac:dyDescent="0.3">
      <c r="B13" s="90">
        <v>9</v>
      </c>
      <c r="C13" s="160">
        <f t="shared" si="0"/>
        <v>44284</v>
      </c>
      <c r="D13" s="161">
        <v>19159.59</v>
      </c>
      <c r="E13" s="92">
        <f t="shared" si="1"/>
        <v>0.11835169177661187</v>
      </c>
      <c r="G13" s="90">
        <v>9</v>
      </c>
      <c r="H13" s="160">
        <f t="shared" si="2"/>
        <v>44284</v>
      </c>
      <c r="I13" s="161">
        <v>4521.99</v>
      </c>
      <c r="J13" s="92">
        <f t="shared" si="3"/>
        <v>0.27389688793232136</v>
      </c>
      <c r="L13" s="90">
        <v>9</v>
      </c>
      <c r="M13" s="160">
        <f t="shared" si="4"/>
        <v>44284</v>
      </c>
      <c r="N13" s="161">
        <v>26.476255424674488</v>
      </c>
      <c r="O13" s="92">
        <f t="shared" si="5"/>
        <v>0.77465181690521612</v>
      </c>
    </row>
    <row r="14" spans="2:15" x14ac:dyDescent="0.3">
      <c r="B14" s="90">
        <v>10</v>
      </c>
      <c r="C14" s="160">
        <f t="shared" si="0"/>
        <v>44649</v>
      </c>
      <c r="D14" s="161">
        <v>21763.34</v>
      </c>
      <c r="E14" s="92">
        <f t="shared" si="1"/>
        <v>0.13589800199273583</v>
      </c>
      <c r="G14" s="90">
        <v>10</v>
      </c>
      <c r="H14" s="160">
        <f t="shared" si="2"/>
        <v>44649</v>
      </c>
      <c r="I14" s="161">
        <v>4608.8500000000004</v>
      </c>
      <c r="J14" s="92">
        <f t="shared" si="3"/>
        <v>1.9208357382479946E-2</v>
      </c>
      <c r="L14" s="90">
        <v>10</v>
      </c>
      <c r="M14" s="160">
        <f t="shared" si="4"/>
        <v>44649</v>
      </c>
      <c r="N14" s="161">
        <v>30.499256321269211</v>
      </c>
      <c r="O14" s="92">
        <f t="shared" si="5"/>
        <v>0.15194750284987424</v>
      </c>
    </row>
    <row r="15" spans="2:15" x14ac:dyDescent="0.3">
      <c r="B15" s="162">
        <v>11</v>
      </c>
      <c r="C15" s="163">
        <f t="shared" si="0"/>
        <v>45014</v>
      </c>
      <c r="D15" s="164">
        <f>FORECAST(B15,$D$5:$D$14,$B$5:$B$14)</f>
        <v>22144.578666666668</v>
      </c>
      <c r="E15" s="165">
        <f t="shared" si="1"/>
        <v>1.7517470510806987E-2</v>
      </c>
      <c r="G15" s="162">
        <v>11</v>
      </c>
      <c r="H15" s="163">
        <f t="shared" si="2"/>
        <v>45014</v>
      </c>
      <c r="I15" s="164">
        <f>FORECAST(G15,$I$5:$I$14,$G$5:$G$14)</f>
        <v>4649.7953333333335</v>
      </c>
      <c r="J15" s="165">
        <f t="shared" si="3"/>
        <v>8.8840672474332916E-3</v>
      </c>
      <c r="L15" s="162">
        <v>11</v>
      </c>
      <c r="M15" s="163">
        <f t="shared" si="4"/>
        <v>45014</v>
      </c>
      <c r="N15" s="164">
        <f>FORECAST(L15,$N$5:$N$14,$L$5:$L$14)</f>
        <v>24.053548889676719</v>
      </c>
      <c r="O15" s="165">
        <f t="shared" si="5"/>
        <v>-0.21133982296799347</v>
      </c>
    </row>
    <row r="16" spans="2:15" x14ac:dyDescent="0.3">
      <c r="B16" s="162">
        <v>12</v>
      </c>
      <c r="C16" s="163">
        <f t="shared" si="0"/>
        <v>45379</v>
      </c>
      <c r="D16" s="164">
        <f t="shared" ref="D16:D19" si="6">FORECAST(B16,$D$5:$D$14,$B$5:$B$14)</f>
        <v>23488.036787878795</v>
      </c>
      <c r="E16" s="165">
        <f t="shared" si="1"/>
        <v>6.0667585571830163E-2</v>
      </c>
      <c r="G16" s="162">
        <v>12</v>
      </c>
      <c r="H16" s="163">
        <f t="shared" si="2"/>
        <v>45379</v>
      </c>
      <c r="I16" s="164">
        <f t="shared" ref="I16:I19" si="7">FORECAST(G16,$I$5:$I$14,$G$5:$G$14)</f>
        <v>4917.6010303030307</v>
      </c>
      <c r="J16" s="165">
        <f t="shared" si="3"/>
        <v>5.7595158016925829E-2</v>
      </c>
      <c r="L16" s="162">
        <v>12</v>
      </c>
      <c r="M16" s="163">
        <f t="shared" si="4"/>
        <v>45379</v>
      </c>
      <c r="N16" s="164">
        <f t="shared" ref="N16:N19" si="8">FORECAST(L16,$N$5:$N$14,$L$5:$L$14)</f>
        <v>25.365819339865798</v>
      </c>
      <c r="O16" s="165">
        <f t="shared" si="5"/>
        <v>5.455620940626682E-2</v>
      </c>
    </row>
    <row r="17" spans="2:15" x14ac:dyDescent="0.3">
      <c r="B17" s="162">
        <v>13</v>
      </c>
      <c r="C17" s="163">
        <f t="shared" si="0"/>
        <v>45744</v>
      </c>
      <c r="D17" s="164">
        <f t="shared" si="6"/>
        <v>24831.494909090914</v>
      </c>
      <c r="E17" s="165">
        <f t="shared" si="1"/>
        <v>5.7197548409214871E-2</v>
      </c>
      <c r="G17" s="162">
        <v>13</v>
      </c>
      <c r="H17" s="163">
        <f t="shared" si="2"/>
        <v>45744</v>
      </c>
      <c r="I17" s="164">
        <f t="shared" si="7"/>
        <v>5185.4067272727279</v>
      </c>
      <c r="J17" s="165">
        <f t="shared" si="3"/>
        <v>5.4458605999030185E-2</v>
      </c>
      <c r="L17" s="162">
        <v>13</v>
      </c>
      <c r="M17" s="163">
        <f t="shared" si="4"/>
        <v>45744</v>
      </c>
      <c r="N17" s="164">
        <f t="shared" si="8"/>
        <v>26.678089790054877</v>
      </c>
      <c r="O17" s="165">
        <f t="shared" si="5"/>
        <v>5.1733808894817379E-2</v>
      </c>
    </row>
    <row r="18" spans="2:15" x14ac:dyDescent="0.3">
      <c r="B18" s="162">
        <v>14</v>
      </c>
      <c r="C18" s="163">
        <f t="shared" si="0"/>
        <v>46109</v>
      </c>
      <c r="D18" s="164">
        <f t="shared" si="6"/>
        <v>26174.953030303033</v>
      </c>
      <c r="E18" s="165">
        <f t="shared" si="1"/>
        <v>5.4102990018545905E-2</v>
      </c>
      <c r="G18" s="162">
        <v>14</v>
      </c>
      <c r="H18" s="163">
        <f t="shared" si="2"/>
        <v>46109</v>
      </c>
      <c r="I18" s="164">
        <f t="shared" si="7"/>
        <v>5453.2124242424252</v>
      </c>
      <c r="J18" s="165">
        <f t="shared" si="3"/>
        <v>5.1646034931294604E-2</v>
      </c>
      <c r="L18" s="162">
        <v>14</v>
      </c>
      <c r="M18" s="163">
        <f t="shared" si="4"/>
        <v>46109</v>
      </c>
      <c r="N18" s="164">
        <f t="shared" si="8"/>
        <v>27.990360240243952</v>
      </c>
      <c r="O18" s="165">
        <f t="shared" si="5"/>
        <v>4.9189070901105802E-2</v>
      </c>
    </row>
    <row r="19" spans="2:15" x14ac:dyDescent="0.3">
      <c r="B19" s="162">
        <v>15</v>
      </c>
      <c r="C19" s="163">
        <f t="shared" si="0"/>
        <v>46474</v>
      </c>
      <c r="D19" s="164">
        <f t="shared" si="6"/>
        <v>27518.411151515153</v>
      </c>
      <c r="E19" s="165">
        <f t="shared" si="1"/>
        <v>5.132609482266437E-2</v>
      </c>
      <c r="G19" s="162">
        <v>15</v>
      </c>
      <c r="H19" s="163">
        <f t="shared" si="2"/>
        <v>46474</v>
      </c>
      <c r="I19" s="164">
        <f t="shared" si="7"/>
        <v>5721.0181212121215</v>
      </c>
      <c r="J19" s="165">
        <f t="shared" si="3"/>
        <v>4.9109712979299669E-2</v>
      </c>
      <c r="L19" s="162">
        <v>15</v>
      </c>
      <c r="M19" s="163">
        <f t="shared" si="4"/>
        <v>46474</v>
      </c>
      <c r="N19" s="164">
        <f t="shared" si="8"/>
        <v>29.302630690433027</v>
      </c>
      <c r="O19" s="165">
        <f t="shared" si="5"/>
        <v>4.6882942517557202E-2</v>
      </c>
    </row>
  </sheetData>
  <mergeCells count="3">
    <mergeCell ref="B3:E3"/>
    <mergeCell ref="G3:J3"/>
    <mergeCell ref="L3:O3"/>
  </mergeCells>
  <pageMargins left="0.70866141732283472" right="0.70866141732283472" top="0.74803149606299213" bottom="0.74803149606299213" header="0.31496062992125984" footer="0.31496062992125984"/>
  <pageSetup paperSize="9" scale="8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CC13-9460-44A0-8BA2-DCB5DFA193EA}">
  <sheetPr>
    <pageSetUpPr fitToPage="1"/>
  </sheetPr>
  <dimension ref="B2:L46"/>
  <sheetViews>
    <sheetView showGridLines="0" tabSelected="1" topLeftCell="B1" zoomScale="69" zoomScaleNormal="69" workbookViewId="0">
      <selection activeCell="E34" sqref="E34"/>
    </sheetView>
  </sheetViews>
  <sheetFormatPr defaultRowHeight="14.4" x14ac:dyDescent="0.3"/>
  <cols>
    <col min="1" max="1" width="1.88671875" customWidth="1"/>
    <col min="2" max="2" width="22.33203125" customWidth="1"/>
    <col min="3" max="12" width="10.77734375" customWidth="1"/>
  </cols>
  <sheetData>
    <row r="2" spans="2:12" x14ac:dyDescent="0.3">
      <c r="B2" s="168" t="str">
        <f>"Common Size Income Statement"&amp;" - "&amp;'Data Sheet'!B1</f>
        <v>Common Size Income Statement - CIPLA LTD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</row>
    <row r="4" spans="2:12" x14ac:dyDescent="0.3">
      <c r="B4" s="52" t="s">
        <v>254</v>
      </c>
      <c r="C4" s="102">
        <f>'Data Sheet'!B$16</f>
        <v>41364</v>
      </c>
      <c r="D4" s="102">
        <f>'Data Sheet'!C$16</f>
        <v>41729</v>
      </c>
      <c r="E4" s="102">
        <f>'Data Sheet'!D$16</f>
        <v>42094</v>
      </c>
      <c r="F4" s="102">
        <f>'Data Sheet'!E$16</f>
        <v>42460</v>
      </c>
      <c r="G4" s="102">
        <f>'Data Sheet'!F$16</f>
        <v>42825</v>
      </c>
      <c r="H4" s="102">
        <f>'Data Sheet'!G$16</f>
        <v>43190</v>
      </c>
      <c r="I4" s="102">
        <f>'Data Sheet'!H$16</f>
        <v>43555</v>
      </c>
      <c r="J4" s="102">
        <f>'Data Sheet'!I$16</f>
        <v>43921</v>
      </c>
      <c r="K4" s="102">
        <f>'Data Sheet'!J$16</f>
        <v>44286</v>
      </c>
      <c r="L4" s="102">
        <f>'Data Sheet'!K$16</f>
        <v>44651</v>
      </c>
    </row>
    <row r="6" spans="2:12" x14ac:dyDescent="0.3">
      <c r="B6" s="103" t="str">
        <f>'Data Sheet'!A17</f>
        <v>Sales</v>
      </c>
      <c r="C6" s="93">
        <f>'Data Sheet'!B17/'Data Sheet'!B$17</f>
        <v>1</v>
      </c>
      <c r="D6" s="93">
        <f>'Data Sheet'!C17/'Data Sheet'!C$17</f>
        <v>1</v>
      </c>
      <c r="E6" s="93">
        <f>'Data Sheet'!D17/'Data Sheet'!D$17</f>
        <v>1</v>
      </c>
      <c r="F6" s="93">
        <f>'Data Sheet'!E17/'Data Sheet'!E$17</f>
        <v>1</v>
      </c>
      <c r="G6" s="93">
        <f>'Data Sheet'!F17/'Data Sheet'!F$17</f>
        <v>1</v>
      </c>
      <c r="H6" s="93">
        <f>'Data Sheet'!G17/'Data Sheet'!G$17</f>
        <v>1</v>
      </c>
      <c r="I6" s="93">
        <f>'Data Sheet'!H17/'Data Sheet'!H$17</f>
        <v>1</v>
      </c>
      <c r="J6" s="93">
        <f>'Data Sheet'!I17/'Data Sheet'!I$17</f>
        <v>1</v>
      </c>
      <c r="K6" s="93">
        <f>'Data Sheet'!J17/'Data Sheet'!J$17</f>
        <v>1</v>
      </c>
      <c r="L6" s="93">
        <f>'Data Sheet'!K17/'Data Sheet'!K$17</f>
        <v>1</v>
      </c>
    </row>
    <row r="7" spans="2:12" x14ac:dyDescent="0.3">
      <c r="B7" s="15" t="str">
        <f>'Data Sheet'!A18</f>
        <v>Raw Material Cost</v>
      </c>
      <c r="C7" s="14">
        <f>'Data Sheet'!B18/'Data Sheet'!B$17</f>
        <v>0.39172372643680103</v>
      </c>
      <c r="D7" s="14">
        <f>'Data Sheet'!C18/'Data Sheet'!C$17</f>
        <v>0.38719443567974887</v>
      </c>
      <c r="E7" s="14">
        <f>'Data Sheet'!D18/'Data Sheet'!D$17</f>
        <v>0.39962487131393759</v>
      </c>
      <c r="F7" s="14">
        <f>'Data Sheet'!E18/'Data Sheet'!E$17</f>
        <v>0.36448684200984766</v>
      </c>
      <c r="G7" s="14">
        <f>'Data Sheet'!F18/'Data Sheet'!F$17</f>
        <v>0.36168230596993667</v>
      </c>
      <c r="H7" s="14">
        <f>'Data Sheet'!G18/'Data Sheet'!G$17</f>
        <v>0.37420615728329454</v>
      </c>
      <c r="I7" s="14">
        <f>'Data Sheet'!H18/'Data Sheet'!H$17</f>
        <v>0.35064822358075615</v>
      </c>
      <c r="J7" s="14">
        <f>'Data Sheet'!I18/'Data Sheet'!I$17</f>
        <v>0.36400791735227489</v>
      </c>
      <c r="K7" s="14">
        <f>'Data Sheet'!J18/'Data Sheet'!J$17</f>
        <v>0.39377669355137557</v>
      </c>
      <c r="L7" s="14">
        <f>'Data Sheet'!K18/'Data Sheet'!K$17</f>
        <v>0.42366153356975539</v>
      </c>
    </row>
    <row r="8" spans="2:12" x14ac:dyDescent="0.3">
      <c r="B8" s="15" t="str">
        <f>'Data Sheet'!A19</f>
        <v>Change in Inventory</v>
      </c>
      <c r="C8" s="14">
        <f>'Data Sheet'!B19/'Data Sheet'!B$17</f>
        <v>3.5099458531064713E-2</v>
      </c>
      <c r="D8" s="14">
        <f>'Data Sheet'!C19/'Data Sheet'!C$17</f>
        <v>6.3154956214201956E-3</v>
      </c>
      <c r="E8" s="14">
        <f>'Data Sheet'!D19/'Data Sheet'!D$17</f>
        <v>3.033994274351634E-2</v>
      </c>
      <c r="F8" s="14">
        <f>'Data Sheet'!E19/'Data Sheet'!E$17</f>
        <v>-4.6083784744128031E-3</v>
      </c>
      <c r="G8" s="14">
        <f>'Data Sheet'!F19/'Data Sheet'!F$17</f>
        <v>-7.7086122344346255E-3</v>
      </c>
      <c r="H8" s="14">
        <f>'Data Sheet'!G19/'Data Sheet'!G$17</f>
        <v>1.5369784721402033E-2</v>
      </c>
      <c r="I8" s="14">
        <f>'Data Sheet'!H19/'Data Sheet'!H$17</f>
        <v>-2.8748821231102265E-3</v>
      </c>
      <c r="J8" s="14">
        <f>'Data Sheet'!I19/'Data Sheet'!I$17</f>
        <v>1.4286723258652378E-2</v>
      </c>
      <c r="K8" s="14">
        <f>'Data Sheet'!J19/'Data Sheet'!J$17</f>
        <v>1.0058148425931871E-2</v>
      </c>
      <c r="L8" s="14">
        <f>'Data Sheet'!K19/'Data Sheet'!K$17</f>
        <v>3.3298657283303022E-2</v>
      </c>
    </row>
    <row r="9" spans="2:12" x14ac:dyDescent="0.3">
      <c r="B9" s="15" t="str">
        <f>'Data Sheet'!A20</f>
        <v>Power and Fuel</v>
      </c>
      <c r="C9" s="14">
        <f>'Data Sheet'!B20/'Data Sheet'!B$17</f>
        <v>2.8156867765869946E-2</v>
      </c>
      <c r="D9" s="14">
        <f>'Data Sheet'!C20/'Data Sheet'!C$17</f>
        <v>2.149037833013381E-2</v>
      </c>
      <c r="E9" s="14">
        <f>'Data Sheet'!D20/'Data Sheet'!D$17</f>
        <v>2.0120859129306574E-2</v>
      </c>
      <c r="F9" s="14">
        <f>'Data Sheet'!E20/'Data Sheet'!E$17</f>
        <v>1.783308315385675E-2</v>
      </c>
      <c r="G9" s="14">
        <f>'Data Sheet'!F20/'Data Sheet'!F$17</f>
        <v>1.7488184550957356E-2</v>
      </c>
      <c r="H9" s="14">
        <f>'Data Sheet'!G20/'Data Sheet'!G$17</f>
        <v>1.9716661245167664E-2</v>
      </c>
      <c r="I9" s="14">
        <f>'Data Sheet'!H20/'Data Sheet'!H$17</f>
        <v>2.0480479342590733E-2</v>
      </c>
      <c r="J9" s="14">
        <f>'Data Sheet'!I20/'Data Sheet'!I$17</f>
        <v>1.9112198874736676E-2</v>
      </c>
      <c r="K9" s="14">
        <f>'Data Sheet'!J20/'Data Sheet'!J$17</f>
        <v>1.6089070799531723E-2</v>
      </c>
      <c r="L9" s="14">
        <f>'Data Sheet'!K20/'Data Sheet'!K$17</f>
        <v>1.5210441044435273E-2</v>
      </c>
    </row>
    <row r="10" spans="2:12" x14ac:dyDescent="0.3">
      <c r="B10" s="15" t="str">
        <f>'Data Sheet'!A21</f>
        <v>Other Mfr. Exp</v>
      </c>
      <c r="C10" s="14">
        <f>'Data Sheet'!B21/'Data Sheet'!B$17</f>
        <v>6.0194484336292917E-2</v>
      </c>
      <c r="D10" s="14">
        <f>'Data Sheet'!C21/'Data Sheet'!C$17</f>
        <v>5.294007209003096E-2</v>
      </c>
      <c r="E10" s="14">
        <f>'Data Sheet'!D21/'Data Sheet'!D$17</f>
        <v>6.2232932349913263E-2</v>
      </c>
      <c r="F10" s="14">
        <f>'Data Sheet'!E21/'Data Sheet'!E$17</f>
        <v>7.2516515471243867E-2</v>
      </c>
      <c r="G10" s="14">
        <f>'Data Sheet'!F21/'Data Sheet'!F$17</f>
        <v>6.3393192717390023E-2</v>
      </c>
      <c r="H10" s="14">
        <f>'Data Sheet'!G21/'Data Sheet'!G$17</f>
        <v>6.2815928781957436E-2</v>
      </c>
      <c r="I10" s="14">
        <f>'Data Sheet'!H21/'Data Sheet'!H$17</f>
        <v>5.6720250867690031E-2</v>
      </c>
      <c r="J10" s="14">
        <f>'Data Sheet'!I21/'Data Sheet'!I$17</f>
        <v>5.9392399832126908E-2</v>
      </c>
      <c r="K10" s="14">
        <f>'Data Sheet'!J21/'Data Sheet'!J$17</f>
        <v>5.6034601993048903E-2</v>
      </c>
      <c r="L10" s="14">
        <f>'Data Sheet'!K21/'Data Sheet'!K$17</f>
        <v>5.4566073038421488E-2</v>
      </c>
    </row>
    <row r="11" spans="2:12" x14ac:dyDescent="0.3">
      <c r="B11" s="15" t="str">
        <f>'Data Sheet'!A22</f>
        <v>Employee Cost</v>
      </c>
      <c r="C11" s="14">
        <f>'Data Sheet'!B22/'Data Sheet'!B$17</f>
        <v>0.12514539219961035</v>
      </c>
      <c r="D11" s="14">
        <f>'Data Sheet'!C22/'Data Sheet'!C$17</f>
        <v>0.15167903717443251</v>
      </c>
      <c r="E11" s="14">
        <f>'Data Sheet'!D22/'Data Sheet'!D$17</f>
        <v>0.1739782679208563</v>
      </c>
      <c r="F11" s="14">
        <f>'Data Sheet'!E22/'Data Sheet'!E$17</f>
        <v>0.17667964699313274</v>
      </c>
      <c r="G11" s="14">
        <f>'Data Sheet'!F22/'Data Sheet'!F$17</f>
        <v>0.18346302596376757</v>
      </c>
      <c r="H11" s="14">
        <f>'Data Sheet'!G22/'Data Sheet'!G$17</f>
        <v>0.17810580962554709</v>
      </c>
      <c r="I11" s="14">
        <f>'Data Sheet'!H22/'Data Sheet'!H$17</f>
        <v>0.17516307194355846</v>
      </c>
      <c r="J11" s="14">
        <f>'Data Sheet'!I22/'Data Sheet'!I$17</f>
        <v>0.17723626969196221</v>
      </c>
      <c r="K11" s="14">
        <f>'Data Sheet'!J22/'Data Sheet'!J$17</f>
        <v>0.17024633616898899</v>
      </c>
      <c r="L11" s="14">
        <f>'Data Sheet'!K22/'Data Sheet'!K$17</f>
        <v>0.16276178196912788</v>
      </c>
    </row>
    <row r="12" spans="2:12" x14ac:dyDescent="0.3">
      <c r="B12" s="15" t="str">
        <f>'Data Sheet'!A23</f>
        <v>Selling and admin</v>
      </c>
      <c r="C12" s="14">
        <f>'Data Sheet'!B23/'Data Sheet'!B$17</f>
        <v>0.12152432624379025</v>
      </c>
      <c r="D12" s="14">
        <f>'Data Sheet'!C23/'Data Sheet'!C$17</f>
        <v>0.14096481113964962</v>
      </c>
      <c r="E12" s="14">
        <f>'Data Sheet'!D23/'Data Sheet'!D$17</f>
        <v>0.14111043732107348</v>
      </c>
      <c r="F12" s="14">
        <f>'Data Sheet'!E23/'Data Sheet'!E$17</f>
        <v>0.13789457654404247</v>
      </c>
      <c r="G12" s="14">
        <f>'Data Sheet'!F23/'Data Sheet'!F$17</f>
        <v>0.1494196657146688</v>
      </c>
      <c r="H12" s="14">
        <f>'Data Sheet'!G23/'Data Sheet'!G$17</f>
        <v>0.15471132662211143</v>
      </c>
      <c r="I12" s="14">
        <f>'Data Sheet'!H23/'Data Sheet'!H$17</f>
        <v>0.16654575945719488</v>
      </c>
      <c r="J12" s="14">
        <f>'Data Sheet'!I23/'Data Sheet'!I$17</f>
        <v>0.16847371496247662</v>
      </c>
      <c r="K12" s="14">
        <f>'Data Sheet'!J23/'Data Sheet'!J$17</f>
        <v>0.12564673878720786</v>
      </c>
      <c r="L12" s="14">
        <f>'Data Sheet'!K23/'Data Sheet'!K$17</f>
        <v>0.14379318615616904</v>
      </c>
    </row>
    <row r="13" spans="2:12" x14ac:dyDescent="0.3">
      <c r="B13" s="15" t="str">
        <f>'Data Sheet'!A24</f>
        <v>Other Expenses</v>
      </c>
      <c r="C13" s="14">
        <f>'Data Sheet'!B24/'Data Sheet'!B$17</f>
        <v>4.0888574317003906E-2</v>
      </c>
      <c r="D13" s="14">
        <f>'Data Sheet'!C24/'Data Sheet'!C$17</f>
        <v>4.1011894756811648E-2</v>
      </c>
      <c r="E13" s="14">
        <f>'Data Sheet'!D24/'Data Sheet'!D$17</f>
        <v>4.2634750172756627E-2</v>
      </c>
      <c r="F13" s="14">
        <f>'Data Sheet'!E24/'Data Sheet'!E$17</f>
        <v>4.6165727587182105E-2</v>
      </c>
      <c r="G13" s="14">
        <f>'Data Sheet'!F24/'Data Sheet'!F$17</f>
        <v>4.3421384451751352E-2</v>
      </c>
      <c r="H13" s="14">
        <f>'Data Sheet'!G24/'Data Sheet'!G$17</f>
        <v>3.9324452632044295E-2</v>
      </c>
      <c r="I13" s="14">
        <f>'Data Sheet'!H24/'Data Sheet'!H$17</f>
        <v>3.8273090577732746E-2</v>
      </c>
      <c r="J13" s="14">
        <f>'Data Sheet'!I24/'Data Sheet'!I$17</f>
        <v>3.8929511399434624E-2</v>
      </c>
      <c r="K13" s="14">
        <f>'Data Sheet'!J24/'Data Sheet'!J$17</f>
        <v>2.631684707240604E-2</v>
      </c>
      <c r="L13" s="14">
        <f>'Data Sheet'!K24/'Data Sheet'!K$17</f>
        <v>2.4110729327391844E-2</v>
      </c>
    </row>
    <row r="14" spans="2:12" x14ac:dyDescent="0.3">
      <c r="B14" s="15" t="str">
        <f>'Data Sheet'!A25</f>
        <v>Other Income</v>
      </c>
      <c r="C14" s="14">
        <f>'Data Sheet'!B25/'Data Sheet'!B$17</f>
        <v>2.9630416954028887E-2</v>
      </c>
      <c r="D14" s="14">
        <f>'Data Sheet'!C25/'Data Sheet'!C$17</f>
        <v>2.471939048832297E-2</v>
      </c>
      <c r="E14" s="14">
        <f>'Data Sheet'!D25/'Data Sheet'!D$17</f>
        <v>1.4488640370051755E-2</v>
      </c>
      <c r="F14" s="14">
        <f>'Data Sheet'!E25/'Data Sheet'!E$17</f>
        <v>1.5098512701140673E-2</v>
      </c>
      <c r="G14" s="14">
        <f>'Data Sheet'!F25/'Data Sheet'!F$17</f>
        <v>1.446198457860721E-2</v>
      </c>
      <c r="H14" s="14">
        <f>'Data Sheet'!G25/'Data Sheet'!G$17</f>
        <v>1.8483462668525592E-2</v>
      </c>
      <c r="I14" s="14">
        <f>'Data Sheet'!H25/'Data Sheet'!H$17</f>
        <v>2.9125905046994912E-2</v>
      </c>
      <c r="J14" s="14">
        <f>'Data Sheet'!I25/'Data Sheet'!I$17</f>
        <v>2.0091069397075292E-2</v>
      </c>
      <c r="K14" s="14">
        <f>'Data Sheet'!J25/'Data Sheet'!J$17</f>
        <v>1.3882864925606446E-2</v>
      </c>
      <c r="L14" s="14">
        <f>'Data Sheet'!K25/'Data Sheet'!K$17</f>
        <v>4.5392848707964863E-3</v>
      </c>
    </row>
    <row r="15" spans="2:12" x14ac:dyDescent="0.3">
      <c r="B15" s="15" t="str">
        <f>'Data Sheet'!A26</f>
        <v>Depreciation</v>
      </c>
      <c r="C15" s="14">
        <f>'Data Sheet'!B26/'Data Sheet'!B$17</f>
        <v>3.9916273418259693E-2</v>
      </c>
      <c r="D15" s="14">
        <f>'Data Sheet'!C26/'Data Sheet'!C$17</f>
        <v>3.662889164772018E-2</v>
      </c>
      <c r="E15" s="14">
        <f>'Data Sheet'!D26/'Data Sheet'!D$17</f>
        <v>4.4485714084248819E-2</v>
      </c>
      <c r="F15" s="14">
        <f>'Data Sheet'!E26/'Data Sheet'!E$17</f>
        <v>5.4692859370127848E-2</v>
      </c>
      <c r="G15" s="14">
        <f>'Data Sheet'!F26/'Data Sheet'!F$17</f>
        <v>9.1906582401771811E-2</v>
      </c>
      <c r="H15" s="14">
        <f>'Data Sheet'!G26/'Data Sheet'!G$17</f>
        <v>8.7281955117906054E-2</v>
      </c>
      <c r="I15" s="14">
        <f>'Data Sheet'!H26/'Data Sheet'!H$17</f>
        <v>8.105835265098478E-2</v>
      </c>
      <c r="J15" s="14">
        <f>'Data Sheet'!I26/'Data Sheet'!I$17</f>
        <v>6.8564714315149614E-2</v>
      </c>
      <c r="K15" s="14">
        <f>'Data Sheet'!J26/'Data Sheet'!J$17</f>
        <v>5.5724574482021803E-2</v>
      </c>
      <c r="L15" s="14">
        <f>'Data Sheet'!K26/'Data Sheet'!K$17</f>
        <v>4.8335871240351894E-2</v>
      </c>
    </row>
    <row r="16" spans="2:12" x14ac:dyDescent="0.3">
      <c r="B16" s="15" t="str">
        <f>'Data Sheet'!A27</f>
        <v>Interest</v>
      </c>
      <c r="C16" s="14">
        <f>'Data Sheet'!B27/'Data Sheet'!B$17</f>
        <v>4.095742046759822E-3</v>
      </c>
      <c r="D16" s="14">
        <f>'Data Sheet'!C27/'Data Sheet'!C$17</f>
        <v>1.4325608278066605E-2</v>
      </c>
      <c r="E16" s="14">
        <f>'Data Sheet'!D27/'Data Sheet'!D$17</f>
        <v>1.4833272222143873E-2</v>
      </c>
      <c r="F16" s="14">
        <f>'Data Sheet'!E27/'Data Sheet'!E$17</f>
        <v>1.4983937752445595E-2</v>
      </c>
      <c r="G16" s="14">
        <f>'Data Sheet'!F27/'Data Sheet'!F$17</f>
        <v>1.1072446087997392E-2</v>
      </c>
      <c r="H16" s="14">
        <f>'Data Sheet'!G27/'Data Sheet'!G$17</f>
        <v>7.5370932803544019E-3</v>
      </c>
      <c r="I16" s="14">
        <f>'Data Sheet'!H27/'Data Sheet'!H$17</f>
        <v>1.0293715901263933E-2</v>
      </c>
      <c r="J16" s="14">
        <f>'Data Sheet'!I27/'Data Sheet'!I$17</f>
        <v>1.1519969367248055E-2</v>
      </c>
      <c r="K16" s="14">
        <f>'Data Sheet'!J27/'Data Sheet'!J$17</f>
        <v>8.3874446165079723E-3</v>
      </c>
      <c r="L16" s="14">
        <f>'Data Sheet'!K27/'Data Sheet'!K$17</f>
        <v>4.8866580221602011E-3</v>
      </c>
    </row>
    <row r="17" spans="2:12" x14ac:dyDescent="0.3">
      <c r="B17" s="15" t="str">
        <f>'Data Sheet'!A28</f>
        <v>Profit before tax</v>
      </c>
      <c r="C17" s="14">
        <f>'Data Sheet'!B28/'Data Sheet'!B$17</f>
        <v>0.25308448872070566</v>
      </c>
      <c r="D17" s="14">
        <f>'Data Sheet'!C28/'Data Sheet'!C$17</f>
        <v>0.18479975701314902</v>
      </c>
      <c r="E17" s="14">
        <f>'Data Sheet'!D28/'Data Sheet'!D$17</f>
        <v>0.14580747859933152</v>
      </c>
      <c r="F17" s="14">
        <f>'Data Sheet'!E28/'Data Sheet'!E$17</f>
        <v>0.12523694534484883</v>
      </c>
      <c r="G17" s="14">
        <f>'Data Sheet'!F28/'Data Sheet'!F$17</f>
        <v>8.490658448593158E-2</v>
      </c>
      <c r="H17" s="14">
        <f>'Data Sheet'!G28/'Data Sheet'!G$17</f>
        <v>0.11015386280154477</v>
      </c>
      <c r="I17" s="14">
        <f>'Data Sheet'!H28/'Data Sheet'!H$17</f>
        <v>0.127068078602113</v>
      </c>
      <c r="J17" s="14">
        <f>'Data Sheet'!I28/'Data Sheet'!I$17</f>
        <v>0.12714109686031802</v>
      </c>
      <c r="K17" s="14">
        <f>'Data Sheet'!J28/'Data Sheet'!J$17</f>
        <v>0.17171870588044941</v>
      </c>
      <c r="L17" s="14">
        <f>'Data Sheet'!K28/'Data Sheet'!K$17</f>
        <v>0.16051166778628648</v>
      </c>
    </row>
    <row r="18" spans="2:12" x14ac:dyDescent="0.3">
      <c r="B18" s="15" t="str">
        <f>'Data Sheet'!A29</f>
        <v>Tax</v>
      </c>
      <c r="C18" s="14">
        <f>'Data Sheet'!B29/'Data Sheet'!B$17</f>
        <v>6.5743242508753727E-2</v>
      </c>
      <c r="D18" s="14">
        <f>'Data Sheet'!C29/'Data Sheet'!C$17</f>
        <v>4.5548239082547709E-2</v>
      </c>
      <c r="E18" s="14">
        <f>'Data Sheet'!D29/'Data Sheet'!D$17</f>
        <v>3.5259099691153449E-2</v>
      </c>
      <c r="F18" s="14">
        <f>'Data Sheet'!E29/'Data Sheet'!E$17</f>
        <v>2.404551091000065E-2</v>
      </c>
      <c r="G18" s="14">
        <f>'Data Sheet'!F29/'Data Sheet'!F$17</f>
        <v>1.2488285285345785E-2</v>
      </c>
      <c r="H18" s="14">
        <f>'Data Sheet'!G29/'Data Sheet'!G$17</f>
        <v>1.6502691064951759E-2</v>
      </c>
      <c r="I18" s="14">
        <f>'Data Sheet'!H29/'Data Sheet'!H$17</f>
        <v>3.4807219718855593E-2</v>
      </c>
      <c r="J18" s="14">
        <f>'Data Sheet'!I29/'Data Sheet'!I$17</f>
        <v>3.6843355617181654E-2</v>
      </c>
      <c r="K18" s="14">
        <f>'Data Sheet'!J29/'Data Sheet'!J$17</f>
        <v>4.6387213922636131E-2</v>
      </c>
      <c r="L18" s="14">
        <f>'Data Sheet'!K29/'Data Sheet'!K$17</f>
        <v>4.2907017029555204E-2</v>
      </c>
    </row>
    <row r="19" spans="2:12" x14ac:dyDescent="0.3">
      <c r="B19" s="15" t="str">
        <f>'Data Sheet'!A30</f>
        <v>Net profit</v>
      </c>
      <c r="C19" s="14">
        <f>'Data Sheet'!B30/'Data Sheet'!B$17</f>
        <v>0.18659118551863496</v>
      </c>
      <c r="D19" s="14">
        <f>'Data Sheet'!C30/'Data Sheet'!C$17</f>
        <v>0.13647466577021033</v>
      </c>
      <c r="E19" s="14">
        <f>'Data Sheet'!D30/'Data Sheet'!D$17</f>
        <v>0.10407441227488752</v>
      </c>
      <c r="F19" s="14">
        <f>'Data Sheet'!E30/'Data Sheet'!E$17</f>
        <v>9.8620749668240262E-2</v>
      </c>
      <c r="G19" s="14">
        <f>'Data Sheet'!F30/'Data Sheet'!F$17</f>
        <v>6.9915918048059328E-2</v>
      </c>
      <c r="H19" s="14">
        <f>'Data Sheet'!G30/'Data Sheet'!G$17</f>
        <v>9.3069212857728206E-2</v>
      </c>
      <c r="I19" s="14">
        <f>'Data Sheet'!H30/'Data Sheet'!H$17</f>
        <v>9.3366441740550449E-2</v>
      </c>
      <c r="J19" s="14">
        <f>'Data Sheet'!I30/'Data Sheet'!I$17</f>
        <v>9.0270890888915989E-2</v>
      </c>
      <c r="K19" s="14">
        <f>'Data Sheet'!J30/'Data Sheet'!J$17</f>
        <v>0.12551782162353162</v>
      </c>
      <c r="L19" s="14">
        <f>'Data Sheet'!K30/'Data Sheet'!K$17</f>
        <v>0.11564171675854901</v>
      </c>
    </row>
    <row r="20" spans="2:12" x14ac:dyDescent="0.3">
      <c r="B20" s="15" t="str">
        <f>'Data Sheet'!A31</f>
        <v>Dividend Amount</v>
      </c>
      <c r="C20" s="14">
        <f>'Data Sheet'!B31/'Data Sheet'!B$17</f>
        <v>1.9395289232341267E-2</v>
      </c>
      <c r="D20" s="14">
        <f>'Data Sheet'!C31/'Data Sheet'!C$17</f>
        <v>1.5784315749224204E-2</v>
      </c>
      <c r="E20" s="14">
        <f>'Data Sheet'!D31/'Data Sheet'!D$17</f>
        <v>1.4154585454596736E-2</v>
      </c>
      <c r="F20" s="14">
        <f>'Data Sheet'!E31/'Data Sheet'!E$17</f>
        <v>1.1651837187547589E-2</v>
      </c>
      <c r="G20" s="14">
        <f>'Data Sheet'!F31/'Data Sheet'!F$17</f>
        <v>1.117804351586636E-2</v>
      </c>
      <c r="H20" s="14">
        <f>'Data Sheet'!G31/'Data Sheet'!G$17</f>
        <v>1.5936567801838383E-2</v>
      </c>
      <c r="I20" s="14">
        <f>'Data Sheet'!H31/'Data Sheet'!H$17</f>
        <v>1.4772273766517281E-2</v>
      </c>
      <c r="J20" s="14">
        <f>'Data Sheet'!I31/'Data Sheet'!I$17</f>
        <v>1.8824433121896522E-2</v>
      </c>
      <c r="K20" s="14">
        <f>'Data Sheet'!J31/'Data Sheet'!J$17</f>
        <v>2.1045335521271594E-2</v>
      </c>
      <c r="L20" s="14">
        <f>'Data Sheet'!K31/'Data Sheet'!K$17</f>
        <v>1.8535757838640574E-2</v>
      </c>
    </row>
    <row r="21" spans="2:12" x14ac:dyDescent="0.3">
      <c r="B21" s="15" t="s">
        <v>66</v>
      </c>
      <c r="C21" s="14">
        <f>'Data Sheet'!B34/'Data Sheet'!B$17</f>
        <v>0.29634644349240818</v>
      </c>
      <c r="D21" s="14">
        <f>'Data Sheet'!C34/'Data Sheet'!C$17</f>
        <v>0.23297740477854484</v>
      </c>
      <c r="E21" s="14">
        <f>'Data Sheet'!D34/'Data Sheet'!D$17</f>
        <v>0.19865249827243364</v>
      </c>
      <c r="F21" s="14">
        <f>'Data Sheet'!E34/'Data Sheet'!E$17</f>
        <v>0.19234305770081436</v>
      </c>
      <c r="G21" s="14">
        <f>'Data Sheet'!F34/'Data Sheet'!F$17</f>
        <v>0.18538323182317432</v>
      </c>
      <c r="H21" s="14">
        <f>'Data Sheet'!G34/'Data Sheet'!G$17</f>
        <v>0.2043909523209404</v>
      </c>
      <c r="I21" s="14">
        <f>'Data Sheet'!H34/'Data Sheet'!H$17</f>
        <v>0.21952573001165476</v>
      </c>
      <c r="J21" s="14">
        <f>'Data Sheet'!I34/'Data Sheet'!I$17</f>
        <v>0.20719893018849533</v>
      </c>
      <c r="K21" s="14">
        <f>'Data Sheet'!J34/'Data Sheet'!J$17</f>
        <v>0.23601705464469749</v>
      </c>
      <c r="L21" s="14">
        <f>'Data Sheet'!K34/'Data Sheet'!K$17</f>
        <v>0.21177126305061633</v>
      </c>
    </row>
    <row r="24" spans="2:12" x14ac:dyDescent="0.3">
      <c r="B24" s="168" t="str">
        <f>"Common Size Balance Sheet"&amp;" - "&amp;'Data Sheet'!B1</f>
        <v>Common Size Balance Sheet - CIPLA LTD</v>
      </c>
      <c r="C24" s="168"/>
      <c r="D24" s="168"/>
      <c r="E24" s="168"/>
      <c r="F24" s="168"/>
      <c r="G24" s="168"/>
      <c r="H24" s="168"/>
      <c r="I24" s="168"/>
      <c r="J24" s="168"/>
      <c r="K24" s="168"/>
      <c r="L24" s="168"/>
    </row>
    <row r="26" spans="2:12" x14ac:dyDescent="0.3">
      <c r="B26" s="52" t="s">
        <v>254</v>
      </c>
      <c r="C26" s="102">
        <f>'Data Sheet'!B$16</f>
        <v>41364</v>
      </c>
      <c r="D26" s="102">
        <f>'Data Sheet'!C$16</f>
        <v>41729</v>
      </c>
      <c r="E26" s="102">
        <f>'Data Sheet'!D$16</f>
        <v>42094</v>
      </c>
      <c r="F26" s="102">
        <f>'Data Sheet'!E$16</f>
        <v>42460</v>
      </c>
      <c r="G26" s="102">
        <f>'Data Sheet'!F$16</f>
        <v>42825</v>
      </c>
      <c r="H26" s="102">
        <f>'Data Sheet'!G$16</f>
        <v>43190</v>
      </c>
      <c r="I26" s="102">
        <f>'Data Sheet'!H$16</f>
        <v>43555</v>
      </c>
      <c r="J26" s="102">
        <f>'Data Sheet'!I$16</f>
        <v>43921</v>
      </c>
      <c r="K26" s="102">
        <f>'Data Sheet'!J$16</f>
        <v>44286</v>
      </c>
      <c r="L26" s="102">
        <f>'Data Sheet'!K$16</f>
        <v>44651</v>
      </c>
    </row>
    <row r="28" spans="2:12" x14ac:dyDescent="0.3">
      <c r="B28" s="103" t="s">
        <v>82</v>
      </c>
      <c r="C28" s="93">
        <f>'Data Sheet'!B61/'Data Sheet'!B$61</f>
        <v>1</v>
      </c>
      <c r="D28" s="93">
        <f>'Data Sheet'!C61/'Data Sheet'!C$61</f>
        <v>1</v>
      </c>
      <c r="E28" s="93">
        <f>'Data Sheet'!D61/'Data Sheet'!D$61</f>
        <v>1</v>
      </c>
      <c r="F28" s="93">
        <f>'Data Sheet'!E61/'Data Sheet'!E$61</f>
        <v>1</v>
      </c>
      <c r="G28" s="93">
        <f>'Data Sheet'!F61/'Data Sheet'!F$61</f>
        <v>1</v>
      </c>
      <c r="H28" s="93">
        <f>'Data Sheet'!G61/'Data Sheet'!G$61</f>
        <v>1</v>
      </c>
      <c r="I28" s="93">
        <f>'Data Sheet'!H61/'Data Sheet'!H$61</f>
        <v>1</v>
      </c>
      <c r="J28" s="93">
        <f>'Data Sheet'!I61/'Data Sheet'!I$61</f>
        <v>1</v>
      </c>
      <c r="K28" s="93">
        <f>'Data Sheet'!J61/'Data Sheet'!J$61</f>
        <v>1</v>
      </c>
      <c r="L28" s="93">
        <f>'Data Sheet'!K61/'Data Sheet'!K$61</f>
        <v>1</v>
      </c>
    </row>
    <row r="29" spans="2:12" x14ac:dyDescent="0.3">
      <c r="B29" s="15" t="str">
        <f>'Data Sheet'!A57</f>
        <v>Equity Share Capital</v>
      </c>
      <c r="C29" s="14">
        <f>'Data Sheet'!B57/'Data Sheet'!B$61</f>
        <v>1.3774504043226107E-2</v>
      </c>
      <c r="D29" s="14">
        <f>'Data Sheet'!C57/'Data Sheet'!C$61</f>
        <v>1.1983260151219819E-2</v>
      </c>
      <c r="E29" s="14">
        <f>'Data Sheet'!D57/'Data Sheet'!D$61</f>
        <v>1.0247970379862187E-2</v>
      </c>
      <c r="F29" s="14">
        <f>'Data Sheet'!E57/'Data Sheet'!E$61</f>
        <v>7.6334390999496897E-3</v>
      </c>
      <c r="G29" s="14">
        <f>'Data Sheet'!F57/'Data Sheet'!F$61</f>
        <v>7.7100226460951066E-3</v>
      </c>
      <c r="H29" s="14">
        <f>'Data Sheet'!G57/'Data Sheet'!G$61</f>
        <v>7.1018705150201339E-3</v>
      </c>
      <c r="I29" s="14">
        <f>'Data Sheet'!H57/'Data Sheet'!H$61</f>
        <v>6.7814413908646228E-3</v>
      </c>
      <c r="J29" s="14">
        <f>'Data Sheet'!I57/'Data Sheet'!I$61</f>
        <v>6.8843207833054901E-3</v>
      </c>
      <c r="K29" s="14">
        <f>'Data Sheet'!J57/'Data Sheet'!J$61</f>
        <v>6.4891644753147021E-3</v>
      </c>
      <c r="L29" s="14">
        <f>'Data Sheet'!K57/'Data Sheet'!K$61</f>
        <v>6.0080812714374873E-3</v>
      </c>
    </row>
    <row r="30" spans="2:12" x14ac:dyDescent="0.3">
      <c r="B30" s="15" t="str">
        <f>'Data Sheet'!A58</f>
        <v>Reserves</v>
      </c>
      <c r="C30" s="14">
        <f>'Data Sheet'!B58/'Data Sheet'!B$61</f>
        <v>0.7598451504876147</v>
      </c>
      <c r="D30" s="14">
        <f>'Data Sheet'!C58/'Data Sheet'!C$61</f>
        <v>0.73802270983764617</v>
      </c>
      <c r="E30" s="14">
        <f>'Data Sheet'!D58/'Data Sheet'!D$61</f>
        <v>0.67904370144514314</v>
      </c>
      <c r="F30" s="14">
        <f>'Data Sheet'!E58/'Data Sheet'!E$61</f>
        <v>0.53946865220962603</v>
      </c>
      <c r="G30" s="14">
        <f>'Data Sheet'!F58/'Data Sheet'!F$61</f>
        <v>0.59335835936084924</v>
      </c>
      <c r="H30" s="14">
        <f>'Data Sheet'!G58/'Data Sheet'!G$61</f>
        <v>0.62048392574394984</v>
      </c>
      <c r="I30" s="14">
        <f>'Data Sheet'!H58/'Data Sheet'!H$61</f>
        <v>0.62499773797645053</v>
      </c>
      <c r="J30" s="14">
        <f>'Data Sheet'!I58/'Data Sheet'!I$61</f>
        <v>0.66609272422286159</v>
      </c>
      <c r="K30" s="14">
        <f>'Data Sheet'!J58/'Data Sheet'!J$61</f>
        <v>0.73084028826068359</v>
      </c>
      <c r="L30" s="14">
        <f>'Data Sheet'!K58/'Data Sheet'!K$61</f>
        <v>0.77001179573715173</v>
      </c>
    </row>
    <row r="31" spans="2:12" x14ac:dyDescent="0.3">
      <c r="B31" s="15" t="str">
        <f>'Data Sheet'!A59</f>
        <v>Borrowings</v>
      </c>
      <c r="C31" s="14">
        <f>'Data Sheet'!B59/'Data Sheet'!B$61</f>
        <v>8.2954973378270458E-2</v>
      </c>
      <c r="D31" s="14">
        <f>'Data Sheet'!C59/'Data Sheet'!C$61</f>
        <v>9.3125110071669723E-2</v>
      </c>
      <c r="E31" s="14">
        <f>'Data Sheet'!D59/'Data Sheet'!D$61</f>
        <v>0.10869715042736569</v>
      </c>
      <c r="F31" s="14">
        <f>'Data Sheet'!E59/'Data Sheet'!E$61</f>
        <v>0.24712807768739289</v>
      </c>
      <c r="G31" s="14">
        <f>'Data Sheet'!F59/'Data Sheet'!F$61</f>
        <v>0.19707086224791484</v>
      </c>
      <c r="H31" s="14">
        <f>'Data Sheet'!G59/'Data Sheet'!G$61</f>
        <v>0.18074661820940419</v>
      </c>
      <c r="I31" s="14">
        <f>'Data Sheet'!H59/'Data Sheet'!H$61</f>
        <v>0.18164490985783549</v>
      </c>
      <c r="J31" s="14">
        <f>'Data Sheet'!I59/'Data Sheet'!I$61</f>
        <v>0.120243147806047</v>
      </c>
      <c r="K31" s="14">
        <f>'Data Sheet'!J59/'Data Sheet'!J$61</f>
        <v>8.1045556517568909E-2</v>
      </c>
      <c r="L31" s="14">
        <f>'Data Sheet'!K59/'Data Sheet'!K$61</f>
        <v>3.9310932354724028E-2</v>
      </c>
    </row>
    <row r="32" spans="2:12" x14ac:dyDescent="0.3">
      <c r="B32" s="15" t="str">
        <f>'Data Sheet'!A60</f>
        <v>Other Liabilities</v>
      </c>
      <c r="C32" s="14">
        <f>'Data Sheet'!B60/'Data Sheet'!B$61</f>
        <v>0.14342537209088874</v>
      </c>
      <c r="D32" s="14">
        <f>'Data Sheet'!C60/'Data Sheet'!C$61</f>
        <v>0.15686891993946431</v>
      </c>
      <c r="E32" s="14">
        <f>'Data Sheet'!D60/'Data Sheet'!D$61</f>
        <v>0.20201117774762897</v>
      </c>
      <c r="F32" s="14">
        <f>'Data Sheet'!E60/'Data Sheet'!E$61</f>
        <v>0.20576983100303142</v>
      </c>
      <c r="G32" s="14">
        <f>'Data Sheet'!F60/'Data Sheet'!F$61</f>
        <v>0.20186075574514087</v>
      </c>
      <c r="H32" s="14">
        <f>'Data Sheet'!G60/'Data Sheet'!G$61</f>
        <v>0.19166758553162586</v>
      </c>
      <c r="I32" s="14">
        <f>'Data Sheet'!H60/'Data Sheet'!H$61</f>
        <v>0.18657591077484931</v>
      </c>
      <c r="J32" s="14">
        <f>'Data Sheet'!I60/'Data Sheet'!I$61</f>
        <v>0.20677980718778588</v>
      </c>
      <c r="K32" s="14">
        <f>'Data Sheet'!J60/'Data Sheet'!J$61</f>
        <v>0.18162499074643296</v>
      </c>
      <c r="L32" s="14">
        <f>'Data Sheet'!K60/'Data Sheet'!K$61</f>
        <v>0.18466919063668683</v>
      </c>
    </row>
    <row r="34" spans="2:12" x14ac:dyDescent="0.3">
      <c r="B34" s="10" t="s">
        <v>85</v>
      </c>
      <c r="C34" s="93">
        <f>'Data Sheet'!B75/'Data Sheet'!B$75</f>
        <v>1</v>
      </c>
      <c r="D34" s="93">
        <f>'Data Sheet'!C75/'Data Sheet'!C$75</f>
        <v>1</v>
      </c>
      <c r="E34" s="93">
        <f>'Data Sheet'!D75/'Data Sheet'!D$75</f>
        <v>1</v>
      </c>
      <c r="F34" s="93">
        <f>'Data Sheet'!E75/'Data Sheet'!E$75</f>
        <v>1</v>
      </c>
      <c r="G34" s="93">
        <f>'Data Sheet'!F75/'Data Sheet'!F$75</f>
        <v>1</v>
      </c>
      <c r="H34" s="93">
        <f>'Data Sheet'!G75/'Data Sheet'!G$75</f>
        <v>1</v>
      </c>
      <c r="I34" s="93">
        <f>'Data Sheet'!H75/'Data Sheet'!H$75</f>
        <v>1</v>
      </c>
      <c r="J34" s="93">
        <f>'Data Sheet'!I75/'Data Sheet'!I$75</f>
        <v>1</v>
      </c>
      <c r="K34" s="93">
        <f>'Data Sheet'!J75/'Data Sheet'!J$75</f>
        <v>1</v>
      </c>
      <c r="L34" s="93">
        <f>'Data Sheet'!K75/'Data Sheet'!K$75</f>
        <v>1</v>
      </c>
    </row>
    <row r="35" spans="2:12" x14ac:dyDescent="0.3">
      <c r="B35" s="15" t="str">
        <f>'Data Sheet'!A62</f>
        <v>Net Block</v>
      </c>
      <c r="C35" s="14">
        <f>'Data Sheet'!B62/'Data Sheet'!B$75</f>
        <v>0.30966213950009303</v>
      </c>
      <c r="D35" s="14">
        <f>'Data Sheet'!C62/'Data Sheet'!C$75</f>
        <v>0.4847981696014137</v>
      </c>
      <c r="E35" s="14">
        <f>'Data Sheet'!D62/'Data Sheet'!D$75</f>
        <v>0.43583005433166438</v>
      </c>
      <c r="F35" s="14">
        <f>'Data Sheet'!E62/'Data Sheet'!E$75</f>
        <v>0.44506161431939678</v>
      </c>
      <c r="G35" s="14">
        <f>'Data Sheet'!F62/'Data Sheet'!F$75</f>
        <v>0.45483766784513252</v>
      </c>
      <c r="H35" s="14">
        <f>'Data Sheet'!G62/'Data Sheet'!G$75</f>
        <v>0.43885740244962046</v>
      </c>
      <c r="I35" s="14">
        <f>'Data Sheet'!H62/'Data Sheet'!H$75</f>
        <v>0.40435975054193879</v>
      </c>
      <c r="J35" s="14">
        <f>'Data Sheet'!I62/'Data Sheet'!I$75</f>
        <v>0.41339609841526131</v>
      </c>
      <c r="K35" s="14">
        <f>'Data Sheet'!J62/'Data Sheet'!J$75</f>
        <v>0.38283696663244193</v>
      </c>
      <c r="L35" s="14">
        <f>'Data Sheet'!K62/'Data Sheet'!K$75</f>
        <v>0.36054929113875034</v>
      </c>
    </row>
    <row r="36" spans="2:12" x14ac:dyDescent="0.3">
      <c r="B36" s="15"/>
      <c r="C36" s="14">
        <f>'Data Sheet'!B63/'Data Sheet'!B$75</f>
        <v>3.2406712432995331E-2</v>
      </c>
      <c r="D36" s="14">
        <f>'Data Sheet'!C63/'Data Sheet'!C$75</f>
        <v>3.2972248506756528E-2</v>
      </c>
      <c r="E36" s="14">
        <f>'Data Sheet'!D63/'Data Sheet'!D$75</f>
        <v>3.7069842416476394E-2</v>
      </c>
      <c r="F36" s="14">
        <f>'Data Sheet'!E63/'Data Sheet'!E$75</f>
        <v>9.7905935013152326E-2</v>
      </c>
      <c r="G36" s="14">
        <f>'Data Sheet'!F63/'Data Sheet'!F$75</f>
        <v>8.0645207662679561E-2</v>
      </c>
      <c r="H36" s="14">
        <f>'Data Sheet'!G63/'Data Sheet'!G$75</f>
        <v>4.3282068019529919E-2</v>
      </c>
      <c r="I36" s="14">
        <f>'Data Sheet'!H63/'Data Sheet'!H$75</f>
        <v>2.8456466672923175E-2</v>
      </c>
      <c r="J36" s="14">
        <f>'Data Sheet'!I63/'Data Sheet'!I$75</f>
        <v>3.5202040405946516E-2</v>
      </c>
      <c r="K36" s="14">
        <f>'Data Sheet'!J63/'Data Sheet'!J$75</f>
        <v>3.8981254687132878E-2</v>
      </c>
      <c r="L36" s="14">
        <f>'Data Sheet'!K63/'Data Sheet'!K$75</f>
        <v>2.8527960514067755E-2</v>
      </c>
    </row>
    <row r="37" spans="2:12" x14ac:dyDescent="0.3">
      <c r="B37" s="15" t="str">
        <f>'Data Sheet'!A64</f>
        <v>Investments</v>
      </c>
      <c r="C37" s="14">
        <f>'Data Sheet'!B64/'Data Sheet'!B$75</f>
        <v>0.21723194058554937</v>
      </c>
      <c r="D37" s="14">
        <f>'Data Sheet'!C64/'Data Sheet'!C$75</f>
        <v>5.287693763451131E-2</v>
      </c>
      <c r="E37" s="14">
        <f>'Data Sheet'!D64/'Data Sheet'!D$75</f>
        <v>4.0827240112262464E-2</v>
      </c>
      <c r="F37" s="14">
        <f>'Data Sheet'!E64/'Data Sheet'!E$75</f>
        <v>3.6043153539586946E-2</v>
      </c>
      <c r="G37" s="14">
        <f>'Data Sheet'!F64/'Data Sheet'!F$75</f>
        <v>4.6624792634412673E-2</v>
      </c>
      <c r="H37" s="14">
        <f>'Data Sheet'!G64/'Data Sheet'!G$75</f>
        <v>5.5521790331188328E-2</v>
      </c>
      <c r="I37" s="14">
        <f>'Data Sheet'!H64/'Data Sheet'!H$75</f>
        <v>0.10748883402049751</v>
      </c>
      <c r="J37" s="14">
        <f>'Data Sheet'!I64/'Data Sheet'!I$75</f>
        <v>6.2802936797879322E-2</v>
      </c>
      <c r="K37" s="14">
        <f>'Data Sheet'!J64/'Data Sheet'!J$75</f>
        <v>0.10903317122156742</v>
      </c>
      <c r="L37" s="14">
        <f>'Data Sheet'!K64/'Data Sheet'!K$75</f>
        <v>9.4969088317603201E-2</v>
      </c>
    </row>
    <row r="38" spans="2:12" x14ac:dyDescent="0.3">
      <c r="B38" s="15" t="str">
        <f>'Data Sheet'!A65</f>
        <v>Other Assets</v>
      </c>
      <c r="C38" s="14">
        <f>'Data Sheet'!B74/'Data Sheet'!B$75</f>
        <v>8.0517114336618373E-2</v>
      </c>
      <c r="D38" s="14">
        <f>'Data Sheet'!C74/'Data Sheet'!C$75</f>
        <v>7.7876266010763792E-2</v>
      </c>
      <c r="E38" s="14">
        <f>'Data Sheet'!D74/'Data Sheet'!D$75</f>
        <v>8.1523022356771543E-2</v>
      </c>
      <c r="F38" s="14">
        <f>'Data Sheet'!E74/'Data Sheet'!E$75</f>
        <v>8.6742719182270028E-2</v>
      </c>
      <c r="G38" s="14">
        <f>'Data Sheet'!F74/'Data Sheet'!F$75</f>
        <v>9.8156878116473556E-2</v>
      </c>
      <c r="H38" s="14">
        <f>'Data Sheet'!G74/'Data Sheet'!G$75</f>
        <v>0.10452125665442004</v>
      </c>
      <c r="I38" s="14">
        <f>'Data Sheet'!H74/'Data Sheet'!H$75</f>
        <v>9.2116753240795837E-2</v>
      </c>
      <c r="J38" s="14">
        <f>'Data Sheet'!I74/'Data Sheet'!I$75</f>
        <v>9.2710134019047291E-2</v>
      </c>
      <c r="K38" s="14">
        <f>'Data Sheet'!J74/'Data Sheet'!J$75</f>
        <v>8.6288708073294682E-2</v>
      </c>
      <c r="L38" s="14">
        <f>'Data Sheet'!K74/'Data Sheet'!K$75</f>
        <v>0.11743199951148965</v>
      </c>
    </row>
    <row r="39" spans="2:12" x14ac:dyDescent="0.3">
      <c r="B39" s="15" t="str">
        <f>'Data Sheet'!A67</f>
        <v>Receivables</v>
      </c>
      <c r="C39" s="14">
        <f>'Data Sheet'!B67/'Data Sheet'!B$75</f>
        <v>0.14315259264850824</v>
      </c>
      <c r="D39" s="14">
        <f>'Data Sheet'!C67/'Data Sheet'!C$75</f>
        <v>0.12230193815688534</v>
      </c>
      <c r="E39" s="14">
        <f>'Data Sheet'!D67/'Data Sheet'!D$75</f>
        <v>0.12748350076130696</v>
      </c>
      <c r="F39" s="14">
        <f>'Data Sheet'!E67/'Data Sheet'!E$75</f>
        <v>0.11193952917624131</v>
      </c>
      <c r="G39" s="14">
        <f>'Data Sheet'!F67/'Data Sheet'!F$75</f>
        <v>0.12281649187740251</v>
      </c>
      <c r="H39" s="14">
        <f>'Data Sheet'!G67/'Data Sheet'!G$75</f>
        <v>0.136835164447424</v>
      </c>
      <c r="I39" s="14">
        <f>'Data Sheet'!H67/'Data Sheet'!H$75</f>
        <v>0.17467956069188043</v>
      </c>
      <c r="J39" s="14">
        <f>'Data Sheet'!I67/'Data Sheet'!I$75</f>
        <v>0.16613349647928363</v>
      </c>
      <c r="K39" s="14">
        <f>'Data Sheet'!J67/'Data Sheet'!J$75</f>
        <v>0.13862969960507385</v>
      </c>
      <c r="L39" s="14">
        <f>'Data Sheet'!K67/'Data Sheet'!K$75</f>
        <v>0.12750566329425747</v>
      </c>
    </row>
    <row r="40" spans="2:12" x14ac:dyDescent="0.3">
      <c r="B40" s="15" t="str">
        <f>'Data Sheet'!A68</f>
        <v>Inventory</v>
      </c>
      <c r="C40" s="14">
        <f>'Data Sheet'!B68/'Data Sheet'!B$75</f>
        <v>0.2047621457620111</v>
      </c>
      <c r="D40" s="14">
        <f>'Data Sheet'!C68/'Data Sheet'!C$75</f>
        <v>0.21605837455113147</v>
      </c>
      <c r="E40" s="14">
        <f>'Data Sheet'!D68/'Data Sheet'!D$75</f>
        <v>0.24125837086689444</v>
      </c>
      <c r="F40" s="14">
        <f>'Data Sheet'!E68/'Data Sheet'!E$75</f>
        <v>0.18090937120091746</v>
      </c>
      <c r="G40" s="14">
        <f>'Data Sheet'!F68/'Data Sheet'!F$75</f>
        <v>0.16700800328143167</v>
      </c>
      <c r="H40" s="14">
        <f>'Data Sheet'!G68/'Data Sheet'!G$75</f>
        <v>0.17839358882189749</v>
      </c>
      <c r="I40" s="14">
        <f>'Data Sheet'!H68/'Data Sheet'!H$75</f>
        <v>0.16685653636429057</v>
      </c>
      <c r="J40" s="14">
        <f>'Data Sheet'!I68/'Data Sheet'!I$75</f>
        <v>0.18689490022324412</v>
      </c>
      <c r="K40" s="14">
        <f>'Data Sheet'!J68/'Data Sheet'!J$75</f>
        <v>0.18785465301537543</v>
      </c>
      <c r="L40" s="14">
        <f>'Data Sheet'!K68/'Data Sheet'!K$75</f>
        <v>0.19921093667387021</v>
      </c>
    </row>
    <row r="41" spans="2:12" x14ac:dyDescent="0.3">
      <c r="B41" s="15" t="str">
        <f>'Data Sheet'!A69</f>
        <v>Cash &amp; Bank</v>
      </c>
      <c r="C41" s="14">
        <f>'Data Sheet'!B69/'Data Sheet'!B$75</f>
        <v>1.2267354734224469E-2</v>
      </c>
      <c r="D41" s="14">
        <f>'Data Sheet'!C69/'Data Sheet'!C$75</f>
        <v>1.311606553853777E-2</v>
      </c>
      <c r="E41" s="14">
        <f>'Data Sheet'!D69/'Data Sheet'!D$75</f>
        <v>3.6007969154623808E-2</v>
      </c>
      <c r="F41" s="14">
        <f>'Data Sheet'!E69/'Data Sheet'!E$75</f>
        <v>4.1397677568435147E-2</v>
      </c>
      <c r="G41" s="14">
        <f>'Data Sheet'!F69/'Data Sheet'!F$75</f>
        <v>2.9910958582467537E-2</v>
      </c>
      <c r="H41" s="14">
        <f>'Data Sheet'!G69/'Data Sheet'!G$75</f>
        <v>4.2588729275919709E-2</v>
      </c>
      <c r="I41" s="14">
        <f>'Data Sheet'!H69/'Data Sheet'!H$75</f>
        <v>2.6042098467673681E-2</v>
      </c>
      <c r="J41" s="14">
        <f>'Data Sheet'!I69/'Data Sheet'!I$75</f>
        <v>4.2860393659337762E-2</v>
      </c>
      <c r="K41" s="14">
        <f>'Data Sheet'!J69/'Data Sheet'!J$75</f>
        <v>5.6375546765113894E-2</v>
      </c>
      <c r="L41" s="14">
        <f>'Data Sheet'!K69/'Data Sheet'!K$75</f>
        <v>7.1805060549961358E-2</v>
      </c>
    </row>
    <row r="42" spans="2:12" x14ac:dyDescent="0.3">
      <c r="B42" s="15"/>
    </row>
    <row r="46" spans="2:12" x14ac:dyDescent="0.3">
      <c r="B46" s="15"/>
    </row>
  </sheetData>
  <mergeCells count="2">
    <mergeCell ref="B2:L2"/>
    <mergeCell ref="B24:L24"/>
  </mergeCells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1BD4-776F-48D6-A0A4-76D50FE570C8}">
  <sheetPr>
    <tabColor rgb="FF002060"/>
    <pageSetUpPr fitToPage="1"/>
  </sheetPr>
  <dimension ref="A1"/>
  <sheetViews>
    <sheetView showGridLines="0" tabSelected="1" topLeftCell="J1" zoomScale="69" zoomScaleNormal="69" workbookViewId="0">
      <selection activeCell="E34" sqref="E34"/>
    </sheetView>
  </sheetViews>
  <sheetFormatPr defaultRowHeight="14.4" x14ac:dyDescent="0.3"/>
  <sheetData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6B5B-2907-42A1-9BDF-D0245E6A7A9B}">
  <sheetPr>
    <pageSetUpPr fitToPage="1"/>
  </sheetPr>
  <dimension ref="B3:K46"/>
  <sheetViews>
    <sheetView showGridLines="0" tabSelected="1" topLeftCell="J1" zoomScale="69" zoomScaleNormal="69" workbookViewId="0">
      <selection activeCell="E34" sqref="E34"/>
    </sheetView>
  </sheetViews>
  <sheetFormatPr defaultRowHeight="14.4" x14ac:dyDescent="0.3"/>
  <cols>
    <col min="1" max="1" width="1.88671875" customWidth="1"/>
    <col min="2" max="2" width="26" customWidth="1"/>
    <col min="3" max="3" width="10.77734375" customWidth="1"/>
    <col min="4" max="7" width="11.77734375" customWidth="1"/>
    <col min="10" max="10" width="15" customWidth="1"/>
    <col min="11" max="11" width="14.88671875" customWidth="1"/>
  </cols>
  <sheetData>
    <row r="3" spans="2:11" ht="18" x14ac:dyDescent="0.35">
      <c r="B3" s="43" t="s">
        <v>144</v>
      </c>
      <c r="C3" s="43"/>
      <c r="D3" s="43"/>
      <c r="E3" s="43"/>
      <c r="F3" s="43"/>
      <c r="G3" s="43"/>
      <c r="H3" s="43"/>
      <c r="I3" s="43"/>
      <c r="J3" s="43"/>
      <c r="K3" s="43"/>
    </row>
    <row r="5" spans="2:11" x14ac:dyDescent="0.3">
      <c r="B5" s="44" t="s">
        <v>145</v>
      </c>
      <c r="C5" s="44"/>
    </row>
    <row r="7" spans="2:11" x14ac:dyDescent="0.3">
      <c r="B7" s="10" t="s">
        <v>146</v>
      </c>
    </row>
    <row r="8" spans="2:11" x14ac:dyDescent="0.3">
      <c r="B8" s="45"/>
      <c r="C8" s="45"/>
      <c r="D8" s="45"/>
      <c r="E8" s="84"/>
      <c r="F8" s="84"/>
      <c r="G8" s="84"/>
      <c r="H8" s="84" t="s">
        <v>152</v>
      </c>
      <c r="I8" s="84" t="s">
        <v>152</v>
      </c>
      <c r="J8" s="84" t="s">
        <v>155</v>
      </c>
      <c r="K8" s="84" t="s">
        <v>156</v>
      </c>
    </row>
    <row r="9" spans="2:11" ht="16.2" x14ac:dyDescent="0.3">
      <c r="B9" s="46" t="s">
        <v>147</v>
      </c>
      <c r="C9" s="46"/>
      <c r="D9" s="46" t="s">
        <v>148</v>
      </c>
      <c r="E9" s="85" t="s">
        <v>149</v>
      </c>
      <c r="F9" s="85" t="s">
        <v>150</v>
      </c>
      <c r="G9" s="85" t="s">
        <v>151</v>
      </c>
      <c r="H9" s="86" t="s">
        <v>153</v>
      </c>
      <c r="I9" s="86" t="s">
        <v>154</v>
      </c>
      <c r="J9" s="86" t="s">
        <v>157</v>
      </c>
      <c r="K9" s="86" t="s">
        <v>158</v>
      </c>
    </row>
    <row r="11" spans="2:11" x14ac:dyDescent="0.3">
      <c r="B11" s="87" t="str">
        <f>'Beta - Comps'!C3</f>
        <v>Cipla</v>
      </c>
      <c r="C11" s="47"/>
      <c r="D11" s="47" t="s">
        <v>179</v>
      </c>
      <c r="E11" s="88">
        <f>'Beta - Comps'!F3</f>
        <v>1067.6600000000001</v>
      </c>
      <c r="F11" s="88">
        <f>'Beta - Comps'!H3</f>
        <v>73147.899999999994</v>
      </c>
      <c r="G11" s="48">
        <v>0.3</v>
      </c>
      <c r="H11" s="60">
        <f>E11/F11</f>
        <v>1.4595907743079435E-2</v>
      </c>
      <c r="I11" s="60">
        <f>E11/SUM(E11+F11)</f>
        <v>1.4385932006711262E-2</v>
      </c>
      <c r="J11" s="50">
        <f>'Cipla Beta Regression'!L7</f>
        <v>0.22500850410504622</v>
      </c>
      <c r="K11" s="49">
        <f>J11/(1+(1-G11)*H11)</f>
        <v>0.22273281279421553</v>
      </c>
    </row>
    <row r="12" spans="2:11" x14ac:dyDescent="0.3">
      <c r="B12" s="87" t="str">
        <f>'Beta - Comps'!C4</f>
        <v>Sun Pharma.Inds.</v>
      </c>
      <c r="C12" s="47"/>
      <c r="D12" s="47" t="s">
        <v>179</v>
      </c>
      <c r="E12" s="88">
        <f>'Beta - Comps'!F4</f>
        <v>4365.53</v>
      </c>
      <c r="F12" s="88">
        <f>'Beta - Comps'!H4</f>
        <v>239777.71</v>
      </c>
      <c r="G12" s="48">
        <v>0.3</v>
      </c>
      <c r="H12" s="60">
        <f t="shared" ref="H12:H15" si="0">E12/F12</f>
        <v>1.8206571411496088E-2</v>
      </c>
      <c r="I12" s="60">
        <f t="shared" ref="I12:I15" si="1">E12/SUM(E12+F12)</f>
        <v>1.788101935568644E-2</v>
      </c>
      <c r="J12" s="50">
        <f>'Sun Pharma Beta Regression '!L7</f>
        <v>0.56335167267307062</v>
      </c>
      <c r="K12" s="49">
        <f t="shared" ref="K12:K15" si="2">J12/(1+(1-G12)*H12)</f>
        <v>0.55626233176629081</v>
      </c>
    </row>
    <row r="13" spans="2:11" x14ac:dyDescent="0.3">
      <c r="B13" s="87" t="str">
        <f>'Beta - Comps'!C5</f>
        <v>Divi's Lab.</v>
      </c>
      <c r="C13" s="47"/>
      <c r="D13" s="47" t="s">
        <v>179</v>
      </c>
      <c r="E13" s="88">
        <f>'Beta - Comps'!F5</f>
        <v>3.29</v>
      </c>
      <c r="F13" s="88">
        <f>'Beta - Comps'!H5</f>
        <v>81190.53</v>
      </c>
      <c r="G13" s="48">
        <v>0.3</v>
      </c>
      <c r="H13" s="60">
        <f t="shared" si="0"/>
        <v>4.0521967278696173E-5</v>
      </c>
      <c r="I13" s="60">
        <f t="shared" si="1"/>
        <v>4.0520325315399624E-5</v>
      </c>
      <c r="J13" s="50">
        <f>'Divi''s Lab Beta Regression '!L7</f>
        <v>0.47750314026482543</v>
      </c>
      <c r="K13" s="49">
        <f t="shared" si="2"/>
        <v>0.47748959609237324</v>
      </c>
    </row>
    <row r="14" spans="2:11" x14ac:dyDescent="0.3">
      <c r="B14" s="87" t="str">
        <f>'Beta - Comps'!C6</f>
        <v>Dr Reddy's Labs</v>
      </c>
      <c r="C14" s="47"/>
      <c r="D14" s="47" t="s">
        <v>179</v>
      </c>
      <c r="E14" s="88">
        <f>'Beta - Comps'!F6</f>
        <v>1728.9</v>
      </c>
      <c r="F14" s="88">
        <f>'Beta - Comps'!H6</f>
        <v>81165.11</v>
      </c>
      <c r="G14" s="48">
        <v>0.3</v>
      </c>
      <c r="H14" s="60">
        <f t="shared" si="0"/>
        <v>2.1301024541209888E-2</v>
      </c>
      <c r="I14" s="60">
        <f t="shared" si="1"/>
        <v>2.0856754305890138E-2</v>
      </c>
      <c r="J14" s="50">
        <f>'Dr. Reddy Labs Beta Regression '!L7</f>
        <v>0.52772347744903592</v>
      </c>
      <c r="K14" s="49">
        <f t="shared" si="2"/>
        <v>0.5199703466684753</v>
      </c>
    </row>
    <row r="15" spans="2:11" x14ac:dyDescent="0.3">
      <c r="B15" s="87" t="str">
        <f>'Beta - Comps'!C7</f>
        <v>Torrent Pharma.</v>
      </c>
      <c r="C15" s="47"/>
      <c r="D15" s="47" t="s">
        <v>179</v>
      </c>
      <c r="E15" s="88">
        <f>'Beta - Comps'!F7</f>
        <v>4083</v>
      </c>
      <c r="F15" s="88">
        <f>'Beta - Comps'!H7</f>
        <v>57126.46</v>
      </c>
      <c r="G15" s="48">
        <v>0.3</v>
      </c>
      <c r="H15" s="60">
        <f t="shared" si="0"/>
        <v>7.1473009179984198E-2</v>
      </c>
      <c r="I15" s="60">
        <f t="shared" si="1"/>
        <v>6.6705375280226298E-2</v>
      </c>
      <c r="J15" s="50">
        <f>'Torrent Pharma Beta Regression '!L7</f>
        <v>0.38967068411562922</v>
      </c>
      <c r="K15" s="49">
        <f t="shared" si="2"/>
        <v>0.37110394323646168</v>
      </c>
    </row>
    <row r="16" spans="2:11" x14ac:dyDescent="0.3">
      <c r="K16" s="49"/>
    </row>
    <row r="17" spans="2:11" x14ac:dyDescent="0.3">
      <c r="K17" s="49"/>
    </row>
    <row r="18" spans="2:11" x14ac:dyDescent="0.3">
      <c r="F18" s="51" t="s">
        <v>180</v>
      </c>
      <c r="G18" s="53">
        <f>AVERAGE(G11:G15)</f>
        <v>0.3</v>
      </c>
      <c r="H18" s="53">
        <f>AVERAGE(H11:H15)</f>
        <v>2.5123406968609662E-2</v>
      </c>
      <c r="I18" s="53">
        <f>AVERAGE(I11:I15)</f>
        <v>2.3973920254765906E-2</v>
      </c>
      <c r="J18" s="58">
        <f>AVERAGE(J11:J15)</f>
        <v>0.43665149572152151</v>
      </c>
      <c r="K18" s="58">
        <f>AVERAGE(K11:K15)</f>
        <v>0.42951180611156331</v>
      </c>
    </row>
    <row r="19" spans="2:11" x14ac:dyDescent="0.3">
      <c r="F19" s="52" t="s">
        <v>142</v>
      </c>
      <c r="G19" s="54">
        <f>MEDIAN(G11:G15)</f>
        <v>0.3</v>
      </c>
      <c r="H19" s="54">
        <f>MEDIAN(H11:H15)</f>
        <v>1.8206571411496088E-2</v>
      </c>
      <c r="I19" s="54">
        <f>MEDIAN(I11:I15)</f>
        <v>1.788101935568644E-2</v>
      </c>
      <c r="J19" s="59">
        <f>MEDIAN(J11:J15)</f>
        <v>0.47750314026482543</v>
      </c>
      <c r="K19" s="59">
        <f>MEDIAN(K11:K15)</f>
        <v>0.47748959609237324</v>
      </c>
    </row>
    <row r="22" spans="2:11" x14ac:dyDescent="0.3">
      <c r="B22" s="52" t="s">
        <v>181</v>
      </c>
      <c r="C22" s="52"/>
      <c r="D22" s="46"/>
      <c r="E22" s="46"/>
      <c r="G22" s="52" t="s">
        <v>189</v>
      </c>
      <c r="H22" s="46"/>
      <c r="I22" s="46"/>
      <c r="J22" s="46"/>
      <c r="K22" s="46"/>
    </row>
    <row r="24" spans="2:11" x14ac:dyDescent="0.3">
      <c r="B24" t="s">
        <v>182</v>
      </c>
      <c r="E24" s="48">
        <f>93/1067.7</f>
        <v>8.7103118853610564E-2</v>
      </c>
      <c r="G24" t="s">
        <v>185</v>
      </c>
      <c r="K24" s="48">
        <v>7.2289999999999993E-2</v>
      </c>
    </row>
    <row r="25" spans="2:11" x14ac:dyDescent="0.3">
      <c r="B25" t="s">
        <v>183</v>
      </c>
      <c r="E25" s="89">
        <f>G18</f>
        <v>0.3</v>
      </c>
      <c r="G25" t="s">
        <v>186</v>
      </c>
      <c r="K25" s="89">
        <f>Rm!G8-WAAC!K24</f>
        <v>8.1827391304347852E-2</v>
      </c>
    </row>
    <row r="26" spans="2:11" ht="16.2" x14ac:dyDescent="0.3">
      <c r="B26" s="55" t="s">
        <v>184</v>
      </c>
      <c r="C26" s="55"/>
      <c r="D26" s="55"/>
      <c r="E26" s="64">
        <f>E24*(1-E25)</f>
        <v>6.097218319752739E-2</v>
      </c>
      <c r="G26" t="s">
        <v>188</v>
      </c>
      <c r="K26" s="49">
        <f>K35</f>
        <v>0.48569952860926957</v>
      </c>
    </row>
    <row r="27" spans="2:11" x14ac:dyDescent="0.3">
      <c r="G27" s="55" t="s">
        <v>189</v>
      </c>
      <c r="H27" s="55"/>
      <c r="I27" s="55"/>
      <c r="J27" s="55"/>
      <c r="K27" s="62">
        <f>K24+K25*K26</f>
        <v>0.11203352538384799</v>
      </c>
    </row>
    <row r="30" spans="2:11" x14ac:dyDescent="0.3">
      <c r="B30" s="52" t="s">
        <v>190</v>
      </c>
      <c r="C30" s="52"/>
      <c r="D30" s="52"/>
      <c r="E30" s="52"/>
      <c r="F30" s="10"/>
      <c r="G30" s="52" t="s">
        <v>187</v>
      </c>
      <c r="H30" s="46"/>
      <c r="I30" s="46"/>
      <c r="J30" s="46"/>
      <c r="K30" s="46"/>
    </row>
    <row r="31" spans="2:11" x14ac:dyDescent="0.3">
      <c r="B31" s="10"/>
      <c r="C31" s="10"/>
      <c r="D31" s="10"/>
      <c r="E31" s="10"/>
      <c r="F31" s="10"/>
    </row>
    <row r="32" spans="2:11" x14ac:dyDescent="0.3">
      <c r="D32" s="56" t="s">
        <v>192</v>
      </c>
      <c r="E32" s="56" t="s">
        <v>193</v>
      </c>
      <c r="G32" t="s">
        <v>196</v>
      </c>
      <c r="K32" s="49">
        <f>K19</f>
        <v>0.47748959609237324</v>
      </c>
    </row>
    <row r="33" spans="2:11" x14ac:dyDescent="0.3">
      <c r="B33" t="s">
        <v>149</v>
      </c>
      <c r="C33" s="88">
        <f>E11</f>
        <v>1067.6600000000001</v>
      </c>
      <c r="D33" s="14">
        <f>C33/C35</f>
        <v>1.4385932006711262E-2</v>
      </c>
      <c r="E33" s="48">
        <f>I18</f>
        <v>2.3973920254765906E-2</v>
      </c>
      <c r="G33" t="s">
        <v>194</v>
      </c>
      <c r="K33" s="14">
        <f>E37</f>
        <v>2.4562786540523247E-2</v>
      </c>
    </row>
    <row r="34" spans="2:11" x14ac:dyDescent="0.3">
      <c r="B34" t="s">
        <v>9</v>
      </c>
      <c r="C34" s="88">
        <f>F11</f>
        <v>73147.899999999994</v>
      </c>
      <c r="D34" s="14">
        <f>C34/C35</f>
        <v>0.98561406799328866</v>
      </c>
      <c r="E34" s="14">
        <f>E35-E33</f>
        <v>0.97602607974523414</v>
      </c>
      <c r="G34" t="s">
        <v>183</v>
      </c>
      <c r="K34" s="14">
        <f>G18</f>
        <v>0.3</v>
      </c>
    </row>
    <row r="35" spans="2:11" x14ac:dyDescent="0.3">
      <c r="B35" s="55" t="s">
        <v>191</v>
      </c>
      <c r="C35" s="65">
        <f>SUM(C33:C34)</f>
        <v>74215.56</v>
      </c>
      <c r="D35" s="57">
        <f>SUM(D33:D34)</f>
        <v>0.99999999999999989</v>
      </c>
      <c r="E35" s="57">
        <v>1</v>
      </c>
      <c r="G35" s="55" t="s">
        <v>187</v>
      </c>
      <c r="H35" s="55"/>
      <c r="I35" s="55"/>
      <c r="J35" s="55"/>
      <c r="K35" s="63">
        <f>K32*(1+(1-K34)*K33)</f>
        <v>0.48569952860926957</v>
      </c>
    </row>
    <row r="37" spans="2:11" x14ac:dyDescent="0.3">
      <c r="B37" s="94" t="s">
        <v>195</v>
      </c>
      <c r="C37" s="100"/>
      <c r="D37" s="101">
        <f>D33/D34</f>
        <v>1.4595907743079435E-2</v>
      </c>
      <c r="E37" s="101">
        <f>E33/E34</f>
        <v>2.4562786540523247E-2</v>
      </c>
      <c r="G37" s="61" t="s">
        <v>144</v>
      </c>
      <c r="H37" s="61"/>
      <c r="I37" s="61"/>
      <c r="J37" s="61"/>
      <c r="K37" s="61"/>
    </row>
    <row r="39" spans="2:11" x14ac:dyDescent="0.3">
      <c r="G39" t="s">
        <v>189</v>
      </c>
      <c r="K39" s="14">
        <f>K27</f>
        <v>0.11203352538384799</v>
      </c>
    </row>
    <row r="40" spans="2:11" x14ac:dyDescent="0.3">
      <c r="B40" s="96" t="s">
        <v>246</v>
      </c>
      <c r="G40" t="s">
        <v>251</v>
      </c>
      <c r="K40" s="14">
        <f>E34</f>
        <v>0.97602607974523414</v>
      </c>
    </row>
    <row r="41" spans="2:11" x14ac:dyDescent="0.3">
      <c r="B41" s="97" t="s">
        <v>247</v>
      </c>
      <c r="C41" s="97"/>
      <c r="D41" s="98"/>
    </row>
    <row r="42" spans="2:11" x14ac:dyDescent="0.3">
      <c r="B42" s="98" t="s">
        <v>248</v>
      </c>
      <c r="C42" s="98"/>
      <c r="D42" s="98"/>
      <c r="G42" t="s">
        <v>181</v>
      </c>
      <c r="K42" s="14">
        <f>E26</f>
        <v>6.097218319752739E-2</v>
      </c>
    </row>
    <row r="43" spans="2:11" x14ac:dyDescent="0.3">
      <c r="B43" s="98" t="s">
        <v>249</v>
      </c>
      <c r="C43" s="98"/>
      <c r="D43" s="98"/>
      <c r="G43" t="s">
        <v>252</v>
      </c>
      <c r="K43" s="14">
        <f>E33</f>
        <v>2.3973920254765906E-2</v>
      </c>
    </row>
    <row r="44" spans="2:11" x14ac:dyDescent="0.3">
      <c r="B44" s="98" t="s">
        <v>250</v>
      </c>
      <c r="C44" s="98"/>
      <c r="D44" s="98"/>
    </row>
    <row r="45" spans="2:11" ht="15" thickBot="1" x14ac:dyDescent="0.35">
      <c r="G45" s="99" t="s">
        <v>253</v>
      </c>
      <c r="H45" s="99"/>
      <c r="I45" s="99"/>
      <c r="J45" s="99"/>
      <c r="K45" s="118">
        <f>(K39*K40)+(K42*K43)</f>
        <v>0.11080938483817183</v>
      </c>
    </row>
    <row r="46" spans="2:11" ht="15" thickTop="1" x14ac:dyDescent="0.3"/>
  </sheetData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3283-3AA6-4045-8353-C04CBAF29D4C}">
  <sheetPr>
    <tabColor rgb="FF002060"/>
    <pageSetUpPr fitToPage="1"/>
  </sheetPr>
  <dimension ref="A1"/>
  <sheetViews>
    <sheetView showGridLines="0" tabSelected="1" zoomScale="69" zoomScaleNormal="69" workbookViewId="0">
      <selection activeCell="E34" sqref="E34"/>
    </sheetView>
  </sheetViews>
  <sheetFormatPr defaultRowHeight="14.4" x14ac:dyDescent="0.3"/>
  <sheetData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3FCF-3B28-463E-9C4C-4B4D89862E65}">
  <sheetPr>
    <pageSetUpPr fitToPage="1"/>
  </sheetPr>
  <dimension ref="B3:W114"/>
  <sheetViews>
    <sheetView showGridLines="0" tabSelected="1" topLeftCell="G2" zoomScale="69" zoomScaleNormal="69" workbookViewId="0">
      <selection activeCell="E34" sqref="E34"/>
    </sheetView>
  </sheetViews>
  <sheetFormatPr defaultRowHeight="14.4" x14ac:dyDescent="0.3"/>
  <cols>
    <col min="1" max="1" width="1.88671875" customWidth="1"/>
    <col min="2" max="2" width="11.21875" style="67" customWidth="1"/>
    <col min="3" max="3" width="11" style="68" customWidth="1"/>
    <col min="4" max="4" width="15.21875" customWidth="1"/>
    <col min="5" max="5" width="2.77734375" customWidth="1"/>
    <col min="6" max="6" width="10.33203125" bestFit="1" customWidth="1"/>
    <col min="7" max="7" width="12" style="68" bestFit="1" customWidth="1"/>
    <col min="12" max="12" width="17.44140625" bestFit="1" customWidth="1"/>
    <col min="13" max="13" width="17.44140625" style="77" customWidth="1"/>
    <col min="14" max="14" width="12" bestFit="1" customWidth="1"/>
    <col min="15" max="15" width="20.5546875" bestFit="1" customWidth="1"/>
    <col min="16" max="16" width="17.44140625" bestFit="1" customWidth="1"/>
    <col min="17" max="17" width="16.6640625" bestFit="1" customWidth="1"/>
    <col min="18" max="18" width="15.6640625" bestFit="1" customWidth="1"/>
    <col min="19" max="19" width="14.6640625" bestFit="1" customWidth="1"/>
    <col min="20" max="20" width="16.6640625" bestFit="1" customWidth="1"/>
    <col min="21" max="21" width="14.6640625" bestFit="1" customWidth="1"/>
    <col min="22" max="22" width="15.6640625" bestFit="1" customWidth="1"/>
    <col min="23" max="23" width="15.44140625" bestFit="1" customWidth="1"/>
  </cols>
  <sheetData>
    <row r="3" spans="2:15" x14ac:dyDescent="0.3">
      <c r="B3" s="66" t="s">
        <v>234</v>
      </c>
    </row>
    <row r="5" spans="2:15" x14ac:dyDescent="0.3">
      <c r="B5" s="169" t="s">
        <v>199</v>
      </c>
      <c r="C5" s="169"/>
      <c r="D5" s="169"/>
      <c r="F5" s="169" t="s">
        <v>201</v>
      </c>
      <c r="G5" s="169"/>
      <c r="H5" s="169"/>
      <c r="J5" s="169" t="s">
        <v>229</v>
      </c>
      <c r="K5" s="169"/>
      <c r="L5" s="169"/>
      <c r="M5" s="78"/>
    </row>
    <row r="7" spans="2:15" x14ac:dyDescent="0.3">
      <c r="B7" s="70" t="s">
        <v>197</v>
      </c>
      <c r="C7" s="71" t="s">
        <v>198</v>
      </c>
      <c r="D7" s="56" t="s">
        <v>200</v>
      </c>
      <c r="F7" s="70" t="s">
        <v>197</v>
      </c>
      <c r="G7" s="71" t="s">
        <v>198</v>
      </c>
      <c r="H7" s="56" t="s">
        <v>200</v>
      </c>
      <c r="J7" t="s">
        <v>187</v>
      </c>
      <c r="L7" s="49">
        <f>O11</f>
        <v>0.22500850410504622</v>
      </c>
    </row>
    <row r="8" spans="2:15" x14ac:dyDescent="0.3">
      <c r="B8" s="67">
        <v>44298</v>
      </c>
      <c r="C8" s="68">
        <v>928.39294400000006</v>
      </c>
      <c r="F8" s="67">
        <v>44298</v>
      </c>
      <c r="G8" s="68">
        <v>14617.849609000001</v>
      </c>
      <c r="J8" t="s">
        <v>230</v>
      </c>
      <c r="L8" s="14">
        <v>0.75</v>
      </c>
      <c r="N8" t="s">
        <v>203</v>
      </c>
      <c r="O8" s="49">
        <f>SLOPE(D9:D113,H9:H113)</f>
        <v>0.22500850410504641</v>
      </c>
    </row>
    <row r="9" spans="2:15" x14ac:dyDescent="0.3">
      <c r="B9" s="67">
        <v>44305</v>
      </c>
      <c r="C9" s="68">
        <v>925.96820100000002</v>
      </c>
      <c r="D9" s="14">
        <f>C9/C8-1</f>
        <v>-2.611763710259396E-3</v>
      </c>
      <c r="F9" s="72">
        <v>44305</v>
      </c>
      <c r="G9" s="68">
        <v>14341.349609000001</v>
      </c>
      <c r="H9" s="14">
        <f>G9/G8-1</f>
        <v>-1.8915230857879606E-2</v>
      </c>
      <c r="N9" t="s">
        <v>202</v>
      </c>
      <c r="O9" s="49">
        <f>_xlfn.COVARIANCE.S(D8:D113,H8:H113)/_xlfn.VAR.S(H8:H113)</f>
        <v>0.22500850410504633</v>
      </c>
    </row>
    <row r="10" spans="2:15" x14ac:dyDescent="0.3">
      <c r="B10" s="67">
        <v>44312</v>
      </c>
      <c r="C10" s="68">
        <v>900.97808799999996</v>
      </c>
      <c r="D10" s="14">
        <f t="shared" ref="D10:D73" si="0">C10/C9-1</f>
        <v>-2.6988089842623131E-2</v>
      </c>
      <c r="F10" s="72">
        <v>44312</v>
      </c>
      <c r="G10" s="68">
        <v>14631.099609000001</v>
      </c>
      <c r="H10" s="14">
        <f t="shared" ref="H10:H73" si="1">G10/G9-1</f>
        <v>2.0203816788495699E-2</v>
      </c>
      <c r="J10" t="s">
        <v>232</v>
      </c>
      <c r="L10" s="49">
        <v>1</v>
      </c>
    </row>
    <row r="11" spans="2:15" x14ac:dyDescent="0.3">
      <c r="B11" s="67">
        <v>44319</v>
      </c>
      <c r="C11" s="68">
        <v>873.81073000000004</v>
      </c>
      <c r="D11" s="14">
        <f t="shared" si="0"/>
        <v>-3.0153183925156646E-2</v>
      </c>
      <c r="F11" s="72">
        <v>44319</v>
      </c>
      <c r="G11" s="68">
        <v>14823.150390999999</v>
      </c>
      <c r="H11" s="14">
        <f t="shared" si="1"/>
        <v>1.3126202891945438E-2</v>
      </c>
      <c r="J11" t="s">
        <v>231</v>
      </c>
      <c r="L11" s="14">
        <f>1-L8</f>
        <v>0.25</v>
      </c>
      <c r="N11" s="10" t="s">
        <v>204</v>
      </c>
      <c r="O11" s="82">
        <f>P32</f>
        <v>0.22500850410504622</v>
      </c>
    </row>
    <row r="12" spans="2:15" x14ac:dyDescent="0.3">
      <c r="B12" s="67">
        <v>44326</v>
      </c>
      <c r="C12" s="68">
        <v>894.74298099999999</v>
      </c>
      <c r="D12" s="14">
        <f t="shared" si="0"/>
        <v>2.3955131564932675E-2</v>
      </c>
      <c r="F12" s="72">
        <v>44326</v>
      </c>
      <c r="G12" s="68">
        <v>14677.799805000001</v>
      </c>
      <c r="H12" s="14">
        <f t="shared" si="1"/>
        <v>-9.8056473938393784E-3</v>
      </c>
    </row>
    <row r="13" spans="2:15" ht="15" thickBot="1" x14ac:dyDescent="0.35">
      <c r="B13" s="67">
        <v>44333</v>
      </c>
      <c r="C13" s="68">
        <v>917.35778800000003</v>
      </c>
      <c r="D13" s="14">
        <f t="shared" si="0"/>
        <v>2.527519911329712E-2</v>
      </c>
      <c r="F13" s="72">
        <v>44333</v>
      </c>
      <c r="G13" s="68">
        <v>15175.299805000001</v>
      </c>
      <c r="H13" s="14">
        <f t="shared" si="1"/>
        <v>3.3894725817865901E-2</v>
      </c>
      <c r="J13" s="79" t="s">
        <v>233</v>
      </c>
      <c r="K13" s="79"/>
      <c r="L13" s="81">
        <f>(L7*L8)+(L10*L11)</f>
        <v>0.41875637807878463</v>
      </c>
    </row>
    <row r="14" spans="2:15" ht="15" thickTop="1" x14ac:dyDescent="0.3">
      <c r="B14" s="67">
        <v>44340</v>
      </c>
      <c r="C14" s="68">
        <v>924.73101799999995</v>
      </c>
      <c r="D14" s="14">
        <f t="shared" si="0"/>
        <v>8.0374637861579945E-3</v>
      </c>
      <c r="F14" s="72">
        <v>44340</v>
      </c>
      <c r="G14" s="68">
        <v>15435.650390999999</v>
      </c>
      <c r="H14" s="14">
        <f t="shared" si="1"/>
        <v>1.7156207082921426E-2</v>
      </c>
    </row>
    <row r="15" spans="2:15" x14ac:dyDescent="0.3">
      <c r="B15" s="67">
        <v>44347</v>
      </c>
      <c r="C15" s="68">
        <v>936.65704300000004</v>
      </c>
      <c r="D15" s="14">
        <f t="shared" si="0"/>
        <v>1.2896750263437173E-2</v>
      </c>
      <c r="F15" s="72">
        <v>44347</v>
      </c>
      <c r="G15" s="68">
        <v>15670.25</v>
      </c>
      <c r="H15" s="14">
        <f t="shared" si="1"/>
        <v>1.5198556786229611E-2</v>
      </c>
      <c r="O15" t="s">
        <v>205</v>
      </c>
    </row>
    <row r="16" spans="2:15" ht="15" thickBot="1" x14ac:dyDescent="0.35">
      <c r="B16" s="67">
        <v>44354</v>
      </c>
      <c r="C16" s="68">
        <v>957.886169</v>
      </c>
      <c r="D16" s="14">
        <f t="shared" si="0"/>
        <v>2.2664780197462209E-2</v>
      </c>
      <c r="F16" s="72">
        <v>44354</v>
      </c>
      <c r="G16" s="68">
        <v>15799.349609000001</v>
      </c>
      <c r="H16" s="14">
        <f t="shared" si="1"/>
        <v>8.2385162329892125E-3</v>
      </c>
    </row>
    <row r="17" spans="2:23" x14ac:dyDescent="0.3">
      <c r="B17" s="67">
        <v>44361</v>
      </c>
      <c r="C17" s="68">
        <v>951.00775099999998</v>
      </c>
      <c r="D17" s="14">
        <f t="shared" si="0"/>
        <v>-7.180830272537353E-3</v>
      </c>
      <c r="F17" s="72">
        <v>44361</v>
      </c>
      <c r="G17" s="68">
        <v>15683.349609000001</v>
      </c>
      <c r="H17" s="14">
        <f t="shared" si="1"/>
        <v>-7.3420743809555766E-3</v>
      </c>
      <c r="O17" s="75" t="s">
        <v>206</v>
      </c>
      <c r="P17" s="75"/>
    </row>
    <row r="18" spans="2:23" x14ac:dyDescent="0.3">
      <c r="B18" s="67">
        <v>44368</v>
      </c>
      <c r="C18" s="68">
        <v>947.24682600000006</v>
      </c>
      <c r="D18" s="14">
        <f t="shared" si="0"/>
        <v>-3.9546733410377177E-3</v>
      </c>
      <c r="F18" s="72">
        <v>44368</v>
      </c>
      <c r="G18" s="68">
        <v>15860.349609000001</v>
      </c>
      <c r="H18" s="14">
        <f t="shared" si="1"/>
        <v>1.1285854387791394E-2</v>
      </c>
      <c r="O18" t="s">
        <v>207</v>
      </c>
      <c r="P18">
        <v>0.1450833847381916</v>
      </c>
    </row>
    <row r="19" spans="2:23" x14ac:dyDescent="0.3">
      <c r="B19" s="67">
        <v>44375</v>
      </c>
      <c r="C19" s="68">
        <v>969.11932400000001</v>
      </c>
      <c r="D19" s="14">
        <f t="shared" si="0"/>
        <v>2.3090600464044098E-2</v>
      </c>
      <c r="F19" s="72">
        <v>44375</v>
      </c>
      <c r="G19" s="68">
        <v>15722.200194999999</v>
      </c>
      <c r="H19" s="14">
        <f t="shared" si="1"/>
        <v>-8.7103637313018512E-3</v>
      </c>
      <c r="O19" s="10" t="s">
        <v>208</v>
      </c>
      <c r="P19" s="10">
        <v>2.1049188527090128E-2</v>
      </c>
    </row>
    <row r="20" spans="2:23" x14ac:dyDescent="0.3">
      <c r="B20" s="67">
        <v>44382</v>
      </c>
      <c r="C20" s="68">
        <v>949.91900599999997</v>
      </c>
      <c r="D20" s="14">
        <f t="shared" si="0"/>
        <v>-1.9812129966361169E-2</v>
      </c>
      <c r="F20" s="72">
        <v>44382</v>
      </c>
      <c r="G20" s="68">
        <v>15689.799805000001</v>
      </c>
      <c r="H20" s="14">
        <f t="shared" si="1"/>
        <v>-2.0608050780515086E-3</v>
      </c>
      <c r="O20" t="s">
        <v>209</v>
      </c>
      <c r="P20">
        <v>1.1544811716673528E-2</v>
      </c>
    </row>
    <row r="21" spans="2:23" x14ac:dyDescent="0.3">
      <c r="B21" s="67">
        <v>44389</v>
      </c>
      <c r="C21" s="68">
        <v>967.09051499999998</v>
      </c>
      <c r="D21" s="14">
        <f t="shared" si="0"/>
        <v>1.8076813803639125E-2</v>
      </c>
      <c r="F21" s="72">
        <v>44389</v>
      </c>
      <c r="G21" s="68">
        <v>15923.400390999999</v>
      </c>
      <c r="H21" s="14">
        <f t="shared" si="1"/>
        <v>1.488869130921322E-2</v>
      </c>
      <c r="O21" s="10" t="s">
        <v>210</v>
      </c>
      <c r="P21" s="10">
        <v>3.0891429578435402E-2</v>
      </c>
    </row>
    <row r="22" spans="2:23" ht="15" thickBot="1" x14ac:dyDescent="0.35">
      <c r="B22" s="67">
        <v>44396</v>
      </c>
      <c r="C22" s="68">
        <v>938.24054000000001</v>
      </c>
      <c r="D22" s="14">
        <f t="shared" si="0"/>
        <v>-2.9831721594332894E-2</v>
      </c>
      <c r="F22" s="72">
        <v>44396</v>
      </c>
      <c r="G22" s="68">
        <v>15856.049805000001</v>
      </c>
      <c r="H22" s="14">
        <f t="shared" si="1"/>
        <v>-4.2296610237889665E-3</v>
      </c>
      <c r="O22" s="73" t="s">
        <v>211</v>
      </c>
      <c r="P22" s="73">
        <v>105</v>
      </c>
    </row>
    <row r="23" spans="2:23" x14ac:dyDescent="0.3">
      <c r="B23" s="67">
        <v>44403</v>
      </c>
      <c r="C23" s="68">
        <v>910.57824700000003</v>
      </c>
      <c r="D23" s="14">
        <f t="shared" si="0"/>
        <v>-2.9483156845897973E-2</v>
      </c>
      <c r="F23" s="72">
        <v>44403</v>
      </c>
      <c r="G23" s="68">
        <v>15763.049805000001</v>
      </c>
      <c r="H23" s="14">
        <f t="shared" si="1"/>
        <v>-5.8652691650018518E-3</v>
      </c>
    </row>
    <row r="24" spans="2:23" ht="15" thickBot="1" x14ac:dyDescent="0.35">
      <c r="B24" s="67">
        <v>44410</v>
      </c>
      <c r="C24" s="68">
        <v>901.91833499999996</v>
      </c>
      <c r="D24" s="14">
        <f t="shared" si="0"/>
        <v>-9.5103435959854599E-3</v>
      </c>
      <c r="F24" s="72">
        <v>44410</v>
      </c>
      <c r="G24" s="68">
        <v>16238.200194999999</v>
      </c>
      <c r="H24" s="14">
        <f t="shared" si="1"/>
        <v>3.0143303223547635E-2</v>
      </c>
      <c r="O24" t="s">
        <v>212</v>
      </c>
    </row>
    <row r="25" spans="2:23" x14ac:dyDescent="0.3">
      <c r="B25" s="67">
        <v>44417</v>
      </c>
      <c r="C25" s="68">
        <v>885.19232199999999</v>
      </c>
      <c r="D25" s="14">
        <f t="shared" si="0"/>
        <v>-1.8544930678230376E-2</v>
      </c>
      <c r="F25" s="72">
        <v>44417</v>
      </c>
      <c r="G25" s="68">
        <v>16529.099609000001</v>
      </c>
      <c r="H25" s="14">
        <f t="shared" si="1"/>
        <v>1.79145108760006E-2</v>
      </c>
      <c r="O25" s="74"/>
      <c r="P25" s="74" t="s">
        <v>216</v>
      </c>
      <c r="Q25" s="74" t="s">
        <v>217</v>
      </c>
      <c r="R25" s="74" t="s">
        <v>218</v>
      </c>
      <c r="S25" s="74" t="s">
        <v>219</v>
      </c>
      <c r="T25" s="74" t="s">
        <v>220</v>
      </c>
    </row>
    <row r="26" spans="2:23" x14ac:dyDescent="0.3">
      <c r="B26" s="67">
        <v>44424</v>
      </c>
      <c r="C26" s="68">
        <v>886.54303000000004</v>
      </c>
      <c r="D26" s="14">
        <f t="shared" si="0"/>
        <v>1.5258921326253283E-3</v>
      </c>
      <c r="F26" s="72">
        <v>44424</v>
      </c>
      <c r="G26" s="68">
        <v>16450.5</v>
      </c>
      <c r="H26" s="14">
        <f t="shared" si="1"/>
        <v>-4.7552262893499897E-3</v>
      </c>
      <c r="O26" t="s">
        <v>213</v>
      </c>
      <c r="P26">
        <v>1</v>
      </c>
      <c r="Q26">
        <v>2.1134293071938121E-3</v>
      </c>
      <c r="R26">
        <v>2.1134293071938121E-3</v>
      </c>
      <c r="S26">
        <v>2.2146837132993982</v>
      </c>
      <c r="T26">
        <v>0.1397583651541546</v>
      </c>
    </row>
    <row r="27" spans="2:23" x14ac:dyDescent="0.3">
      <c r="B27" s="67">
        <v>44431</v>
      </c>
      <c r="C27" s="68">
        <v>919.43328899999995</v>
      </c>
      <c r="D27" s="14">
        <f t="shared" si="0"/>
        <v>3.7099450209427287E-2</v>
      </c>
      <c r="F27" s="72">
        <v>44431</v>
      </c>
      <c r="G27" s="68">
        <v>16705.199218999998</v>
      </c>
      <c r="H27" s="14">
        <f t="shared" si="1"/>
        <v>1.5482764596820742E-2</v>
      </c>
      <c r="O27" t="s">
        <v>214</v>
      </c>
      <c r="P27">
        <v>103</v>
      </c>
      <c r="Q27">
        <v>9.829088340414166E-2</v>
      </c>
      <c r="R27">
        <v>9.5428042139943364E-4</v>
      </c>
    </row>
    <row r="28" spans="2:23" ht="15" thickBot="1" x14ac:dyDescent="0.35">
      <c r="B28" s="67">
        <v>44438</v>
      </c>
      <c r="C28" s="68">
        <v>936.55011000000002</v>
      </c>
      <c r="D28" s="14">
        <f t="shared" si="0"/>
        <v>1.8616707927354703E-2</v>
      </c>
      <c r="F28" s="72">
        <v>44438</v>
      </c>
      <c r="G28" s="68">
        <v>17323.599609000001</v>
      </c>
      <c r="H28" s="14">
        <f t="shared" si="1"/>
        <v>3.7018438504860862E-2</v>
      </c>
      <c r="O28" s="73" t="s">
        <v>35</v>
      </c>
      <c r="P28" s="73">
        <v>104</v>
      </c>
      <c r="Q28" s="73">
        <v>0.10040431271133547</v>
      </c>
      <c r="R28" s="73"/>
      <c r="S28" s="73"/>
      <c r="T28" s="73"/>
    </row>
    <row r="29" spans="2:23" ht="15" thickBot="1" x14ac:dyDescent="0.35">
      <c r="B29" s="67">
        <v>44445</v>
      </c>
      <c r="C29" s="68">
        <v>944.71044900000004</v>
      </c>
      <c r="D29" s="14">
        <f t="shared" si="0"/>
        <v>8.7131899434618187E-3</v>
      </c>
      <c r="F29" s="72">
        <v>44445</v>
      </c>
      <c r="G29" s="68">
        <v>17369.25</v>
      </c>
      <c r="H29" s="14">
        <f t="shared" si="1"/>
        <v>2.6351562048503308E-3</v>
      </c>
    </row>
    <row r="30" spans="2:23" x14ac:dyDescent="0.3">
      <c r="B30" s="67">
        <v>44452</v>
      </c>
      <c r="C30" s="68">
        <v>949.4375</v>
      </c>
      <c r="D30" s="14">
        <f t="shared" si="0"/>
        <v>5.0037035210139802E-3</v>
      </c>
      <c r="F30" s="72">
        <v>44452</v>
      </c>
      <c r="G30" s="68">
        <v>17585.150390999999</v>
      </c>
      <c r="H30" s="14">
        <f t="shared" si="1"/>
        <v>1.2430035321041366E-2</v>
      </c>
      <c r="O30" s="74"/>
      <c r="P30" s="74" t="s">
        <v>221</v>
      </c>
      <c r="Q30" s="74" t="s">
        <v>210</v>
      </c>
      <c r="R30" s="74" t="s">
        <v>222</v>
      </c>
      <c r="S30" s="74" t="s">
        <v>223</v>
      </c>
      <c r="T30" s="74" t="s">
        <v>224</v>
      </c>
      <c r="U30" s="74" t="s">
        <v>225</v>
      </c>
      <c r="V30" s="74" t="s">
        <v>226</v>
      </c>
      <c r="W30" s="74" t="s">
        <v>227</v>
      </c>
    </row>
    <row r="31" spans="2:23" x14ac:dyDescent="0.3">
      <c r="B31" s="67">
        <v>44459</v>
      </c>
      <c r="C31" s="68">
        <v>962.97180200000003</v>
      </c>
      <c r="D31" s="14">
        <f t="shared" si="0"/>
        <v>1.4255074188664452E-2</v>
      </c>
      <c r="F31" s="72">
        <v>44459</v>
      </c>
      <c r="G31" s="68">
        <v>17853.199218999998</v>
      </c>
      <c r="H31" s="14">
        <f t="shared" si="1"/>
        <v>1.5242907910368864E-2</v>
      </c>
      <c r="O31" t="s">
        <v>215</v>
      </c>
      <c r="P31">
        <v>-1.2596018104826188E-4</v>
      </c>
      <c r="Q31">
        <v>3.0312435479742808E-3</v>
      </c>
      <c r="R31">
        <v>-4.155396260799913E-2</v>
      </c>
      <c r="S31">
        <v>0.96693471832449807</v>
      </c>
      <c r="T31">
        <v>-6.1377168238215436E-3</v>
      </c>
      <c r="U31">
        <v>5.8857964617250198E-3</v>
      </c>
      <c r="V31">
        <v>-6.1377168238215436E-3</v>
      </c>
      <c r="W31">
        <v>5.8857964617250198E-3</v>
      </c>
    </row>
    <row r="32" spans="2:23" ht="15" thickBot="1" x14ac:dyDescent="0.35">
      <c r="B32" s="67">
        <v>44466</v>
      </c>
      <c r="C32" s="68">
        <v>981.43206799999996</v>
      </c>
      <c r="D32" s="14">
        <f t="shared" si="0"/>
        <v>1.917010026841881E-2</v>
      </c>
      <c r="F32" s="72">
        <v>44466</v>
      </c>
      <c r="G32" s="68">
        <v>17532.050781000002</v>
      </c>
      <c r="H32" s="14">
        <f t="shared" si="1"/>
        <v>-1.7988285128091697E-2</v>
      </c>
      <c r="O32" s="76" t="s">
        <v>228</v>
      </c>
      <c r="P32" s="76">
        <v>0.22500850410504622</v>
      </c>
      <c r="Q32" s="73">
        <v>0.15119696600028298</v>
      </c>
      <c r="R32" s="73">
        <v>1.4881813442250229</v>
      </c>
      <c r="S32" s="73">
        <v>0.13975836515415571</v>
      </c>
      <c r="T32" s="73">
        <v>-7.4855017361846993E-2</v>
      </c>
      <c r="U32" s="73">
        <v>0.52487202557193946</v>
      </c>
      <c r="V32" s="73">
        <v>-7.4855017361846993E-2</v>
      </c>
      <c r="W32" s="73">
        <v>0.52487202557193946</v>
      </c>
    </row>
    <row r="33" spans="2:8" x14ac:dyDescent="0.3">
      <c r="B33" s="67">
        <v>44473</v>
      </c>
      <c r="C33" s="68">
        <v>912.66613800000005</v>
      </c>
      <c r="D33" s="14">
        <f t="shared" si="0"/>
        <v>-7.0066927953692959E-2</v>
      </c>
      <c r="F33" s="72">
        <v>44473</v>
      </c>
      <c r="G33" s="68">
        <v>17895.199218999998</v>
      </c>
      <c r="H33" s="14">
        <f t="shared" si="1"/>
        <v>2.0713403271313213E-2</v>
      </c>
    </row>
    <row r="34" spans="2:8" x14ac:dyDescent="0.3">
      <c r="B34" s="67">
        <v>44480</v>
      </c>
      <c r="C34" s="68">
        <v>906.94390899999996</v>
      </c>
      <c r="D34" s="14">
        <f t="shared" si="0"/>
        <v>-6.269794354964997E-3</v>
      </c>
      <c r="F34" s="72">
        <v>44480</v>
      </c>
      <c r="G34" s="68">
        <v>18338.550781000002</v>
      </c>
      <c r="H34" s="14">
        <f t="shared" si="1"/>
        <v>2.4774888313580767E-2</v>
      </c>
    </row>
    <row r="35" spans="2:8" x14ac:dyDescent="0.3">
      <c r="B35" s="67">
        <v>44487</v>
      </c>
      <c r="C35" s="68">
        <v>892.01641800000004</v>
      </c>
      <c r="D35" s="14">
        <f t="shared" si="0"/>
        <v>-1.6459111585477193E-2</v>
      </c>
      <c r="F35" s="72">
        <v>44487</v>
      </c>
      <c r="G35" s="68">
        <v>18114.900390999999</v>
      </c>
      <c r="H35" s="14">
        <f t="shared" si="1"/>
        <v>-1.2195641447944716E-2</v>
      </c>
    </row>
    <row r="36" spans="2:8" x14ac:dyDescent="0.3">
      <c r="C36" s="68">
        <v>900.67437700000005</v>
      </c>
      <c r="D36" s="14">
        <f t="shared" si="0"/>
        <v>9.7060534148150079E-3</v>
      </c>
      <c r="F36" s="72">
        <v>44494</v>
      </c>
      <c r="G36" s="68">
        <v>17671.650390999999</v>
      </c>
      <c r="H36" s="14">
        <f t="shared" si="1"/>
        <v>-2.4468806917658736E-2</v>
      </c>
    </row>
    <row r="37" spans="2:8" x14ac:dyDescent="0.3">
      <c r="B37" s="67">
        <v>44501</v>
      </c>
      <c r="C37" s="68">
        <v>906.29711899999995</v>
      </c>
      <c r="D37" s="14">
        <f t="shared" si="0"/>
        <v>6.2428133225331806E-3</v>
      </c>
      <c r="F37" s="72">
        <v>44501</v>
      </c>
      <c r="G37" s="68">
        <v>17916.800781000002</v>
      </c>
      <c r="H37" s="14">
        <f t="shared" si="1"/>
        <v>1.3872523764099309E-2</v>
      </c>
    </row>
    <row r="38" spans="2:8" x14ac:dyDescent="0.3">
      <c r="B38" s="67">
        <v>44508</v>
      </c>
      <c r="C38" s="68">
        <v>911.52172900000005</v>
      </c>
      <c r="D38" s="14">
        <f t="shared" si="0"/>
        <v>5.7647871657859895E-3</v>
      </c>
      <c r="F38" s="72">
        <v>44508</v>
      </c>
      <c r="G38" s="68">
        <v>18102.75</v>
      </c>
      <c r="H38" s="14">
        <f t="shared" si="1"/>
        <v>1.0378483372834646E-2</v>
      </c>
    </row>
    <row r="39" spans="2:8" x14ac:dyDescent="0.3">
      <c r="B39" s="67">
        <v>44515</v>
      </c>
      <c r="C39" s="68">
        <v>887.98602300000005</v>
      </c>
      <c r="D39" s="14">
        <f t="shared" si="0"/>
        <v>-2.5820235822376136E-2</v>
      </c>
      <c r="F39" s="72">
        <v>44515</v>
      </c>
      <c r="G39" s="68">
        <v>17764.800781000002</v>
      </c>
      <c r="H39" s="14">
        <f t="shared" si="1"/>
        <v>-1.8668391211279944E-2</v>
      </c>
    </row>
    <row r="40" spans="2:8" x14ac:dyDescent="0.3">
      <c r="B40" s="67">
        <v>44522</v>
      </c>
      <c r="C40" s="68">
        <v>962.02636700000005</v>
      </c>
      <c r="D40" s="14">
        <f t="shared" si="0"/>
        <v>8.3380078156928272E-2</v>
      </c>
      <c r="F40" s="72">
        <v>44522</v>
      </c>
      <c r="G40" s="68">
        <v>17026.449218999998</v>
      </c>
      <c r="H40" s="14">
        <f t="shared" si="1"/>
        <v>-4.1562614245001406E-2</v>
      </c>
    </row>
    <row r="41" spans="2:8" x14ac:dyDescent="0.3">
      <c r="B41" s="67">
        <v>44529</v>
      </c>
      <c r="C41" s="68">
        <v>907.64056400000004</v>
      </c>
      <c r="D41" s="14">
        <f t="shared" si="0"/>
        <v>-5.6532549278870192E-2</v>
      </c>
      <c r="F41" s="72">
        <v>44529</v>
      </c>
      <c r="G41" s="68">
        <v>17196.699218999998</v>
      </c>
      <c r="H41" s="14">
        <f t="shared" si="1"/>
        <v>9.9991488424970854E-3</v>
      </c>
    </row>
    <row r="42" spans="2:8" x14ac:dyDescent="0.3">
      <c r="B42" s="67">
        <v>44536</v>
      </c>
      <c r="C42" s="68">
        <v>889.57830799999999</v>
      </c>
      <c r="D42" s="14">
        <f t="shared" si="0"/>
        <v>-1.9900230021010934E-2</v>
      </c>
      <c r="F42" s="72">
        <v>44536</v>
      </c>
      <c r="G42" s="68">
        <v>17511.300781000002</v>
      </c>
      <c r="H42" s="14">
        <f t="shared" si="1"/>
        <v>1.8294299271828462E-2</v>
      </c>
    </row>
    <row r="43" spans="2:8" x14ac:dyDescent="0.3">
      <c r="B43" s="67">
        <v>44543</v>
      </c>
      <c r="C43" s="68">
        <v>856.04125999999997</v>
      </c>
      <c r="D43" s="14">
        <f t="shared" si="0"/>
        <v>-3.7699939059215537E-2</v>
      </c>
      <c r="F43" s="72">
        <v>44543</v>
      </c>
      <c r="G43" s="68">
        <v>16985.199218999998</v>
      </c>
      <c r="H43" s="14">
        <f t="shared" si="1"/>
        <v>-3.0043545512668635E-2</v>
      </c>
    </row>
    <row r="44" spans="2:8" x14ac:dyDescent="0.3">
      <c r="B44" s="67">
        <v>44550</v>
      </c>
      <c r="C44" s="68">
        <v>903.90869099999998</v>
      </c>
      <c r="D44" s="14">
        <f t="shared" si="0"/>
        <v>5.591720076670148E-2</v>
      </c>
      <c r="F44" s="72">
        <v>44550</v>
      </c>
      <c r="G44" s="68">
        <v>17003.75</v>
      </c>
      <c r="H44" s="14">
        <f t="shared" si="1"/>
        <v>1.0921732951623131E-3</v>
      </c>
    </row>
    <row r="45" spans="2:8" x14ac:dyDescent="0.3">
      <c r="B45" s="67">
        <v>44557</v>
      </c>
      <c r="C45" s="68">
        <v>939.53558299999997</v>
      </c>
      <c r="D45" s="14">
        <f t="shared" si="0"/>
        <v>3.9414259819303021E-2</v>
      </c>
      <c r="F45" s="72">
        <v>44557</v>
      </c>
      <c r="G45" s="68">
        <v>17354.050781000002</v>
      </c>
      <c r="H45" s="14">
        <f t="shared" si="1"/>
        <v>2.0601383871204915E-2</v>
      </c>
    </row>
    <row r="46" spans="2:8" x14ac:dyDescent="0.3">
      <c r="B46" s="67">
        <v>44564</v>
      </c>
      <c r="C46" s="68">
        <v>910.32751499999995</v>
      </c>
      <c r="D46" s="14">
        <f t="shared" si="0"/>
        <v>-3.1087772010440218E-2</v>
      </c>
      <c r="F46" s="72">
        <v>44564</v>
      </c>
      <c r="G46" s="68">
        <v>17812.699218999998</v>
      </c>
      <c r="H46" s="14">
        <f t="shared" si="1"/>
        <v>2.6428898001275014E-2</v>
      </c>
    </row>
    <row r="47" spans="2:8" x14ac:dyDescent="0.3">
      <c r="B47" s="67">
        <v>44571</v>
      </c>
      <c r="C47" s="68">
        <v>917.04486099999997</v>
      </c>
      <c r="D47" s="14">
        <f t="shared" si="0"/>
        <v>7.3790431348217389E-3</v>
      </c>
      <c r="F47" s="72">
        <v>44571</v>
      </c>
      <c r="G47" s="68">
        <v>18255.75</v>
      </c>
      <c r="H47" s="14">
        <f t="shared" si="1"/>
        <v>2.4872748119354027E-2</v>
      </c>
    </row>
    <row r="48" spans="2:8" x14ac:dyDescent="0.3">
      <c r="B48" s="67">
        <v>44578</v>
      </c>
      <c r="C48" s="68">
        <v>863.25616500000001</v>
      </c>
      <c r="D48" s="14">
        <f t="shared" si="0"/>
        <v>-5.8654378087180548E-2</v>
      </c>
      <c r="F48" s="72">
        <v>44578</v>
      </c>
      <c r="G48" s="68">
        <v>17617.150390999999</v>
      </c>
      <c r="H48" s="14">
        <f t="shared" si="1"/>
        <v>-3.4980738068827621E-2</v>
      </c>
    </row>
    <row r="49" spans="2:8" x14ac:dyDescent="0.3">
      <c r="B49" s="67">
        <v>44585</v>
      </c>
      <c r="C49" s="68">
        <v>927.74292000000003</v>
      </c>
      <c r="D49" s="14">
        <f t="shared" si="0"/>
        <v>7.4701760166404396E-2</v>
      </c>
      <c r="F49" s="72">
        <v>44585</v>
      </c>
      <c r="G49" s="68">
        <v>17101.949218999998</v>
      </c>
      <c r="H49" s="14">
        <f t="shared" si="1"/>
        <v>-2.9244296640800638E-2</v>
      </c>
    </row>
    <row r="50" spans="2:8" x14ac:dyDescent="0.3">
      <c r="B50" s="67">
        <v>44592</v>
      </c>
      <c r="C50" s="68">
        <v>941.52593999999999</v>
      </c>
      <c r="D50" s="14">
        <f t="shared" si="0"/>
        <v>1.4856507878281633E-2</v>
      </c>
      <c r="F50" s="72">
        <v>44592</v>
      </c>
      <c r="G50" s="68">
        <v>17516.300781000002</v>
      </c>
      <c r="H50" s="14">
        <f t="shared" si="1"/>
        <v>2.4228323724623468E-2</v>
      </c>
    </row>
    <row r="51" spans="2:8" x14ac:dyDescent="0.3">
      <c r="B51" s="67">
        <v>44599</v>
      </c>
      <c r="C51" s="68">
        <v>953.86596699999996</v>
      </c>
      <c r="D51" s="14">
        <f t="shared" si="0"/>
        <v>1.310641212922925E-2</v>
      </c>
      <c r="F51" s="72">
        <v>44599</v>
      </c>
      <c r="G51" s="68">
        <v>17374.75</v>
      </c>
      <c r="H51" s="14">
        <f t="shared" si="1"/>
        <v>-8.0810887395552644E-3</v>
      </c>
    </row>
    <row r="52" spans="2:8" x14ac:dyDescent="0.3">
      <c r="B52" s="67">
        <v>44606</v>
      </c>
      <c r="C52" s="68">
        <v>904.70477300000005</v>
      </c>
      <c r="D52" s="14">
        <f t="shared" si="0"/>
        <v>-5.1538890893252587E-2</v>
      </c>
      <c r="F52" s="72">
        <v>44606</v>
      </c>
      <c r="G52" s="68">
        <v>17276.300781000002</v>
      </c>
      <c r="H52" s="14">
        <f t="shared" si="1"/>
        <v>-5.66622362911684E-3</v>
      </c>
    </row>
    <row r="53" spans="2:8" x14ac:dyDescent="0.3">
      <c r="B53" s="67">
        <v>44613</v>
      </c>
      <c r="C53" s="68">
        <v>919.18450900000005</v>
      </c>
      <c r="D53" s="14">
        <f t="shared" si="0"/>
        <v>1.6004929378216071E-2</v>
      </c>
      <c r="F53" s="72">
        <v>44613</v>
      </c>
      <c r="G53" s="68">
        <v>16658.400390999999</v>
      </c>
      <c r="H53" s="14">
        <f t="shared" si="1"/>
        <v>-3.5765780987070617E-2</v>
      </c>
    </row>
    <row r="54" spans="2:8" x14ac:dyDescent="0.3">
      <c r="B54" s="67">
        <v>44620</v>
      </c>
      <c r="C54" s="68">
        <v>926.69799799999998</v>
      </c>
      <c r="D54" s="14">
        <f t="shared" si="0"/>
        <v>8.1740814019743979E-3</v>
      </c>
      <c r="F54" s="72">
        <v>44620</v>
      </c>
      <c r="G54" s="68">
        <v>16245.349609000001</v>
      </c>
      <c r="H54" s="14">
        <f t="shared" si="1"/>
        <v>-2.479534482933643E-2</v>
      </c>
    </row>
    <row r="55" spans="2:8" x14ac:dyDescent="0.3">
      <c r="B55" s="67">
        <v>44627</v>
      </c>
      <c r="C55" s="68">
        <v>1038.902832</v>
      </c>
      <c r="D55" s="14">
        <f t="shared" si="0"/>
        <v>0.12108025941802025</v>
      </c>
      <c r="F55" s="72">
        <v>44627</v>
      </c>
      <c r="G55" s="68">
        <v>16630.449218999998</v>
      </c>
      <c r="H55" s="14">
        <f t="shared" si="1"/>
        <v>2.3705221449137115E-2</v>
      </c>
    </row>
    <row r="56" spans="2:8" x14ac:dyDescent="0.3">
      <c r="B56" s="67">
        <v>44634</v>
      </c>
      <c r="C56" s="68">
        <v>1043.430908</v>
      </c>
      <c r="D56" s="14">
        <f t="shared" si="0"/>
        <v>4.358517332446743E-3</v>
      </c>
      <c r="F56" s="72">
        <v>44634</v>
      </c>
      <c r="G56" s="68">
        <v>17287.050781000002</v>
      </c>
      <c r="H56" s="14">
        <f t="shared" si="1"/>
        <v>3.9481889716475482E-2</v>
      </c>
    </row>
    <row r="57" spans="2:8" x14ac:dyDescent="0.3">
      <c r="B57" s="67">
        <v>44641</v>
      </c>
      <c r="C57" s="68">
        <v>1008.600098</v>
      </c>
      <c r="D57" s="14">
        <f t="shared" si="0"/>
        <v>-3.3381041076080531E-2</v>
      </c>
      <c r="F57" s="72">
        <v>44641</v>
      </c>
      <c r="G57" s="68">
        <v>17153</v>
      </c>
      <c r="H57" s="14">
        <f t="shared" si="1"/>
        <v>-7.7544043051771538E-3</v>
      </c>
    </row>
    <row r="58" spans="2:8" x14ac:dyDescent="0.3">
      <c r="B58" s="67">
        <v>44648</v>
      </c>
      <c r="C58" s="68">
        <v>1009.943542</v>
      </c>
      <c r="D58" s="14">
        <f t="shared" si="0"/>
        <v>1.3319887660767638E-3</v>
      </c>
      <c r="F58" s="72">
        <v>44648</v>
      </c>
      <c r="G58" s="68">
        <v>17670.449218999998</v>
      </c>
      <c r="H58" s="14">
        <f t="shared" si="1"/>
        <v>3.0166689150585846E-2</v>
      </c>
    </row>
    <row r="59" spans="2:8" x14ac:dyDescent="0.3">
      <c r="B59" s="67">
        <v>44655</v>
      </c>
      <c r="C59" s="68">
        <v>1006.7092290000001</v>
      </c>
      <c r="D59" s="14">
        <f t="shared" si="0"/>
        <v>-3.2024691138625716E-3</v>
      </c>
      <c r="F59" s="72">
        <v>44655</v>
      </c>
      <c r="G59" s="68">
        <v>17784.349609000001</v>
      </c>
      <c r="H59" s="14">
        <f t="shared" si="1"/>
        <v>6.4458117950692007E-3</v>
      </c>
    </row>
    <row r="60" spans="2:8" x14ac:dyDescent="0.3">
      <c r="B60" s="67">
        <v>44662</v>
      </c>
      <c r="C60" s="68">
        <v>1011.685059</v>
      </c>
      <c r="D60" s="14">
        <f t="shared" si="0"/>
        <v>4.9426685051279229E-3</v>
      </c>
      <c r="F60" s="72">
        <v>44662</v>
      </c>
      <c r="G60" s="68">
        <v>17475.650390999999</v>
      </c>
      <c r="H60" s="14">
        <f t="shared" si="1"/>
        <v>-1.7357914390289553E-2</v>
      </c>
    </row>
    <row r="61" spans="2:8" x14ac:dyDescent="0.3">
      <c r="B61" s="67">
        <v>44669</v>
      </c>
      <c r="C61" s="68">
        <v>962.32488999999998</v>
      </c>
      <c r="D61" s="14">
        <f t="shared" si="0"/>
        <v>-4.8790054336465216E-2</v>
      </c>
      <c r="F61" s="72">
        <v>44669</v>
      </c>
      <c r="G61" s="68">
        <v>17171.949218999998</v>
      </c>
      <c r="H61" s="14">
        <f t="shared" si="1"/>
        <v>-1.7378533285170805E-2</v>
      </c>
    </row>
    <row r="62" spans="2:8" x14ac:dyDescent="0.3">
      <c r="B62" s="67">
        <v>44676</v>
      </c>
      <c r="C62" s="68">
        <v>976.45623799999998</v>
      </c>
      <c r="D62" s="14">
        <f t="shared" si="0"/>
        <v>1.4684591603985275E-2</v>
      </c>
      <c r="F62" s="72">
        <v>44676</v>
      </c>
      <c r="G62" s="68">
        <v>17102.550781000002</v>
      </c>
      <c r="H62" s="14">
        <f t="shared" si="1"/>
        <v>-4.041383835634127E-3</v>
      </c>
    </row>
    <row r="63" spans="2:8" x14ac:dyDescent="0.3">
      <c r="B63" s="67">
        <v>44683</v>
      </c>
      <c r="C63" s="68">
        <v>930.23083499999996</v>
      </c>
      <c r="D63" s="14">
        <f t="shared" si="0"/>
        <v>-4.733996384177952E-2</v>
      </c>
      <c r="F63" s="72">
        <v>44683</v>
      </c>
      <c r="G63" s="68">
        <v>16411.25</v>
      </c>
      <c r="H63" s="14">
        <f t="shared" si="1"/>
        <v>-4.0420916730619982E-2</v>
      </c>
    </row>
    <row r="64" spans="2:8" x14ac:dyDescent="0.3">
      <c r="B64" s="67">
        <v>44690</v>
      </c>
      <c r="C64" s="68">
        <v>930.08148200000005</v>
      </c>
      <c r="D64" s="14">
        <f t="shared" si="0"/>
        <v>-1.6055477240750626E-4</v>
      </c>
      <c r="F64" s="72">
        <v>44690</v>
      </c>
      <c r="G64" s="68">
        <v>15782.150390999999</v>
      </c>
      <c r="H64" s="14">
        <f t="shared" si="1"/>
        <v>-3.8333436453652281E-2</v>
      </c>
    </row>
    <row r="65" spans="2:8" x14ac:dyDescent="0.3">
      <c r="B65" s="67">
        <v>44697</v>
      </c>
      <c r="C65" s="68">
        <v>973.66980000000001</v>
      </c>
      <c r="D65" s="14">
        <f t="shared" si="0"/>
        <v>4.6865053055641814E-2</v>
      </c>
      <c r="F65" s="72">
        <v>44697</v>
      </c>
      <c r="G65" s="68">
        <v>16266.150390999999</v>
      </c>
      <c r="H65" s="14">
        <f t="shared" si="1"/>
        <v>3.0667557209187901E-2</v>
      </c>
    </row>
    <row r="66" spans="2:8" x14ac:dyDescent="0.3">
      <c r="B66" s="67">
        <v>44704</v>
      </c>
      <c r="C66" s="68">
        <v>961.67804000000001</v>
      </c>
      <c r="D66" s="14">
        <f t="shared" si="0"/>
        <v>-1.2316043899071372E-2</v>
      </c>
      <c r="F66" s="72">
        <v>44704</v>
      </c>
      <c r="G66" s="68">
        <v>16352.450194999999</v>
      </c>
      <c r="H66" s="14">
        <f t="shared" si="1"/>
        <v>5.3054842064996777E-3</v>
      </c>
    </row>
    <row r="67" spans="2:8" x14ac:dyDescent="0.3">
      <c r="B67" s="67">
        <v>44711</v>
      </c>
      <c r="C67" s="68">
        <v>956.30413799999997</v>
      </c>
      <c r="D67" s="14">
        <f t="shared" si="0"/>
        <v>-5.588046910169675E-3</v>
      </c>
      <c r="F67" s="72">
        <v>44711</v>
      </c>
      <c r="G67" s="68">
        <v>16584.300781000002</v>
      </c>
      <c r="H67" s="14">
        <f t="shared" si="1"/>
        <v>1.4178339223494207E-2</v>
      </c>
    </row>
    <row r="68" spans="2:8" x14ac:dyDescent="0.3">
      <c r="B68" s="67">
        <v>44718</v>
      </c>
      <c r="C68" s="68">
        <v>962.125854</v>
      </c>
      <c r="D68" s="14">
        <f t="shared" si="0"/>
        <v>6.0877243636898726E-3</v>
      </c>
      <c r="F68" s="72">
        <v>44718</v>
      </c>
      <c r="G68" s="68">
        <v>16201.799805000001</v>
      </c>
      <c r="H68" s="14">
        <f t="shared" si="1"/>
        <v>-2.3064039964724836E-2</v>
      </c>
    </row>
    <row r="69" spans="2:8" x14ac:dyDescent="0.3">
      <c r="B69" s="67">
        <v>44725</v>
      </c>
      <c r="C69" s="68">
        <v>910.32751499999995</v>
      </c>
      <c r="D69" s="14">
        <f t="shared" si="0"/>
        <v>-5.3837383939586037E-2</v>
      </c>
      <c r="F69" s="72">
        <v>44725</v>
      </c>
      <c r="G69" s="68">
        <v>15293.5</v>
      </c>
      <c r="H69" s="14">
        <f t="shared" si="1"/>
        <v>-5.606166079892505E-2</v>
      </c>
    </row>
    <row r="70" spans="2:8" x14ac:dyDescent="0.3">
      <c r="B70" s="67">
        <v>44732</v>
      </c>
      <c r="C70" s="68">
        <v>929.18591300000003</v>
      </c>
      <c r="D70" s="14">
        <f t="shared" si="0"/>
        <v>2.0716058439692597E-2</v>
      </c>
      <c r="F70" s="72">
        <v>44732</v>
      </c>
      <c r="G70" s="68">
        <v>15699.25</v>
      </c>
      <c r="H70" s="14">
        <f t="shared" si="1"/>
        <v>2.6530879131657192E-2</v>
      </c>
    </row>
    <row r="71" spans="2:8" x14ac:dyDescent="0.3">
      <c r="B71" s="67">
        <v>44739</v>
      </c>
      <c r="C71" s="68">
        <v>944.71044900000004</v>
      </c>
      <c r="D71" s="14">
        <f t="shared" si="0"/>
        <v>1.6707674732042488E-2</v>
      </c>
      <c r="F71" s="72">
        <v>44739</v>
      </c>
      <c r="G71" s="68">
        <v>15752.049805000001</v>
      </c>
      <c r="H71" s="14">
        <f t="shared" si="1"/>
        <v>3.3632055671448668E-3</v>
      </c>
    </row>
    <row r="72" spans="2:8" x14ac:dyDescent="0.3">
      <c r="B72" s="67">
        <v>44746</v>
      </c>
      <c r="C72" s="68">
        <v>930.92742899999996</v>
      </c>
      <c r="D72" s="14">
        <f t="shared" si="0"/>
        <v>-1.4589676672455254E-2</v>
      </c>
      <c r="F72" s="72">
        <v>44746</v>
      </c>
      <c r="G72" s="68">
        <v>16220.599609000001</v>
      </c>
      <c r="H72" s="14">
        <f t="shared" si="1"/>
        <v>2.9745322659611828E-2</v>
      </c>
    </row>
    <row r="73" spans="2:8" x14ac:dyDescent="0.3">
      <c r="B73" s="67">
        <v>44753</v>
      </c>
      <c r="C73" s="68">
        <v>961.379456</v>
      </c>
      <c r="D73" s="14">
        <f t="shared" si="0"/>
        <v>3.2711493991224971E-2</v>
      </c>
      <c r="F73" s="72">
        <v>44753</v>
      </c>
      <c r="G73" s="68">
        <v>16049.200194999999</v>
      </c>
      <c r="H73" s="14">
        <f t="shared" si="1"/>
        <v>-1.0566774233481513E-2</v>
      </c>
    </row>
    <row r="74" spans="2:8" x14ac:dyDescent="0.3">
      <c r="B74" s="67">
        <v>44760</v>
      </c>
      <c r="C74" s="68">
        <v>967.40020800000002</v>
      </c>
      <c r="D74" s="14">
        <f t="shared" ref="D74:D113" si="2">C74/C73-1</f>
        <v>6.2626177025359997E-3</v>
      </c>
      <c r="F74" s="72">
        <v>44760</v>
      </c>
      <c r="G74" s="68">
        <v>16719.449218999998</v>
      </c>
      <c r="H74" s="14">
        <f t="shared" ref="H74:H113" si="3">G74/G73-1</f>
        <v>4.1762144895470144E-2</v>
      </c>
    </row>
    <row r="75" spans="2:8" x14ac:dyDescent="0.3">
      <c r="B75" s="67">
        <v>44767</v>
      </c>
      <c r="C75" s="68">
        <v>972.674622</v>
      </c>
      <c r="D75" s="14">
        <f t="shared" si="2"/>
        <v>5.4521530555635689E-3</v>
      </c>
      <c r="F75" s="72">
        <v>44767</v>
      </c>
      <c r="G75" s="68">
        <v>17158.25</v>
      </c>
      <c r="H75" s="14">
        <f t="shared" si="3"/>
        <v>2.6244930395275645E-2</v>
      </c>
    </row>
    <row r="76" spans="2:8" x14ac:dyDescent="0.3">
      <c r="B76" s="67">
        <v>44774</v>
      </c>
      <c r="C76" s="68">
        <v>1029.1999510000001</v>
      </c>
      <c r="D76" s="14">
        <f t="shared" si="2"/>
        <v>5.8113296801939329E-2</v>
      </c>
      <c r="F76" s="72">
        <v>44774</v>
      </c>
      <c r="G76" s="68">
        <v>17397.5</v>
      </c>
      <c r="H76" s="14">
        <f t="shared" si="3"/>
        <v>1.3943729692713402E-2</v>
      </c>
    </row>
    <row r="77" spans="2:8" x14ac:dyDescent="0.3">
      <c r="B77" s="67">
        <v>44781</v>
      </c>
      <c r="C77" s="68">
        <v>1022.184082</v>
      </c>
      <c r="D77" s="14">
        <f t="shared" si="2"/>
        <v>-6.8168182413760325E-3</v>
      </c>
      <c r="F77" s="72">
        <v>44781</v>
      </c>
      <c r="G77" s="68">
        <v>17698.150390999999</v>
      </c>
      <c r="H77" s="14">
        <f t="shared" si="3"/>
        <v>1.7281241040379314E-2</v>
      </c>
    </row>
    <row r="78" spans="2:8" x14ac:dyDescent="0.3">
      <c r="B78" s="67">
        <v>44788</v>
      </c>
      <c r="C78" s="68">
        <v>1030.099976</v>
      </c>
      <c r="D78" s="14">
        <f t="shared" si="2"/>
        <v>7.7440982885506049E-3</v>
      </c>
      <c r="F78" s="72">
        <v>44788</v>
      </c>
      <c r="G78" s="68">
        <v>17758.449218999998</v>
      </c>
      <c r="H78" s="14">
        <f t="shared" si="3"/>
        <v>3.4070694771959342E-3</v>
      </c>
    </row>
    <row r="79" spans="2:8" x14ac:dyDescent="0.3">
      <c r="B79" s="67">
        <v>44795</v>
      </c>
      <c r="C79" s="68">
        <v>1020.799988</v>
      </c>
      <c r="D79" s="14">
        <f t="shared" si="2"/>
        <v>-9.0282382454884846E-3</v>
      </c>
      <c r="F79" s="72">
        <v>44795</v>
      </c>
      <c r="G79" s="68">
        <v>17558.900390999999</v>
      </c>
      <c r="H79" s="14">
        <f t="shared" si="3"/>
        <v>-1.1236838619134604E-2</v>
      </c>
    </row>
    <row r="80" spans="2:8" x14ac:dyDescent="0.3">
      <c r="B80" s="67">
        <v>44802</v>
      </c>
      <c r="C80" s="68">
        <v>1015.599976</v>
      </c>
      <c r="D80" s="14">
        <f t="shared" si="2"/>
        <v>-5.0940557025163091E-3</v>
      </c>
      <c r="F80" s="72">
        <v>44802</v>
      </c>
      <c r="G80" s="68">
        <v>17539.449218999998</v>
      </c>
      <c r="H80" s="14">
        <f t="shared" si="3"/>
        <v>-1.1077670905844661E-3</v>
      </c>
    </row>
    <row r="81" spans="2:8" x14ac:dyDescent="0.3">
      <c r="B81" s="67">
        <v>44809</v>
      </c>
      <c r="C81" s="68">
        <v>1058.3000489999999</v>
      </c>
      <c r="D81" s="14">
        <f t="shared" si="2"/>
        <v>4.2044184727314304E-2</v>
      </c>
      <c r="F81" s="72">
        <v>44809</v>
      </c>
      <c r="G81" s="68">
        <v>17833.349609000001</v>
      </c>
      <c r="H81" s="14">
        <f t="shared" si="3"/>
        <v>1.6756534730955508E-2</v>
      </c>
    </row>
    <row r="82" spans="2:8" x14ac:dyDescent="0.3">
      <c r="B82" s="67">
        <v>44816</v>
      </c>
      <c r="C82" s="68">
        <v>1043.5</v>
      </c>
      <c r="D82" s="14">
        <f t="shared" si="2"/>
        <v>-1.3984738084425796E-2</v>
      </c>
      <c r="F82" s="72">
        <v>44816</v>
      </c>
      <c r="G82" s="68">
        <v>17530.849609000001</v>
      </c>
      <c r="H82" s="14">
        <f t="shared" si="3"/>
        <v>-1.6962601341440453E-2</v>
      </c>
    </row>
    <row r="83" spans="2:8" x14ac:dyDescent="0.3">
      <c r="B83" s="67">
        <v>44823</v>
      </c>
      <c r="C83" s="68">
        <v>1068.099976</v>
      </c>
      <c r="D83" s="14">
        <f t="shared" si="2"/>
        <v>2.357448586487787E-2</v>
      </c>
      <c r="F83" s="72">
        <v>44823</v>
      </c>
      <c r="G83" s="68">
        <v>17327.349609000001</v>
      </c>
      <c r="H83" s="14">
        <f t="shared" si="3"/>
        <v>-1.1608108251383698E-2</v>
      </c>
    </row>
    <row r="84" spans="2:8" x14ac:dyDescent="0.3">
      <c r="B84" s="67">
        <v>44830</v>
      </c>
      <c r="C84" s="68">
        <v>1114.9499510000001</v>
      </c>
      <c r="D84" s="14">
        <f t="shared" si="2"/>
        <v>4.3862911761735734E-2</v>
      </c>
      <c r="F84" s="72">
        <v>44830</v>
      </c>
      <c r="G84" s="68">
        <v>17094.349609000001</v>
      </c>
      <c r="H84" s="14">
        <f t="shared" si="3"/>
        <v>-1.3446949779265527E-2</v>
      </c>
    </row>
    <row r="85" spans="2:8" x14ac:dyDescent="0.3">
      <c r="B85" s="67">
        <v>44837</v>
      </c>
      <c r="C85" s="68">
        <v>1130.5</v>
      </c>
      <c r="D85" s="14">
        <f t="shared" si="2"/>
        <v>1.3946858319562327E-2</v>
      </c>
      <c r="F85" s="72">
        <v>44837</v>
      </c>
      <c r="G85" s="68">
        <v>17314.650390999999</v>
      </c>
      <c r="H85" s="14">
        <f t="shared" si="3"/>
        <v>1.2887345060733635E-2</v>
      </c>
    </row>
    <row r="86" spans="2:8" x14ac:dyDescent="0.3">
      <c r="B86" s="67">
        <v>44844</v>
      </c>
      <c r="C86" s="68">
        <v>1108.900024</v>
      </c>
      <c r="D86" s="14">
        <f t="shared" si="2"/>
        <v>-1.9106568774878374E-2</v>
      </c>
      <c r="F86" s="72">
        <v>44844</v>
      </c>
      <c r="G86" s="68">
        <v>17185.699218999998</v>
      </c>
      <c r="H86" s="14">
        <f t="shared" si="3"/>
        <v>-7.4475180894804094E-3</v>
      </c>
    </row>
    <row r="87" spans="2:8" x14ac:dyDescent="0.3">
      <c r="B87" s="67">
        <v>44851</v>
      </c>
      <c r="C87" s="68">
        <v>1134.75</v>
      </c>
      <c r="D87" s="14">
        <f t="shared" si="2"/>
        <v>2.3311367517834913E-2</v>
      </c>
      <c r="F87" s="72">
        <v>44851</v>
      </c>
      <c r="G87" s="68">
        <v>17576.300781000002</v>
      </c>
      <c r="H87" s="14">
        <f t="shared" si="3"/>
        <v>2.2728290366455628E-2</v>
      </c>
    </row>
    <row r="88" spans="2:8" x14ac:dyDescent="0.3">
      <c r="B88" s="67">
        <v>44858</v>
      </c>
      <c r="C88" s="68">
        <v>1155.1999510000001</v>
      </c>
      <c r="D88" s="14">
        <f t="shared" si="2"/>
        <v>1.802154747741791E-2</v>
      </c>
      <c r="F88" s="72">
        <v>44858</v>
      </c>
      <c r="G88" s="68">
        <v>17786.800781000002</v>
      </c>
      <c r="H88" s="14">
        <f t="shared" si="3"/>
        <v>1.197635399068453E-2</v>
      </c>
    </row>
    <row r="89" spans="2:8" x14ac:dyDescent="0.3">
      <c r="B89" s="67">
        <v>44865</v>
      </c>
      <c r="C89" s="68">
        <v>1146.099976</v>
      </c>
      <c r="D89" s="14">
        <f t="shared" si="2"/>
        <v>-7.877402515575449E-3</v>
      </c>
      <c r="F89" s="72">
        <v>44865</v>
      </c>
      <c r="G89" s="68">
        <v>18117.150390999999</v>
      </c>
      <c r="H89" s="14">
        <f t="shared" si="3"/>
        <v>1.8572739081492262E-2</v>
      </c>
    </row>
    <row r="90" spans="2:8" x14ac:dyDescent="0.3">
      <c r="B90" s="67">
        <v>44872</v>
      </c>
      <c r="C90" s="68">
        <v>1121.400024</v>
      </c>
      <c r="D90" s="14">
        <f t="shared" si="2"/>
        <v>-2.1551306620043009E-2</v>
      </c>
      <c r="F90" s="72">
        <v>44872</v>
      </c>
      <c r="G90" s="68">
        <v>18349.699218999998</v>
      </c>
      <c r="H90" s="14">
        <f t="shared" si="3"/>
        <v>1.2835839134808014E-2</v>
      </c>
    </row>
    <row r="91" spans="2:8" x14ac:dyDescent="0.3">
      <c r="B91" s="67">
        <v>44879</v>
      </c>
      <c r="C91" s="68">
        <v>1102.400024</v>
      </c>
      <c r="D91" s="14">
        <f t="shared" si="2"/>
        <v>-1.6943106468134017E-2</v>
      </c>
      <c r="F91" s="72">
        <v>44879</v>
      </c>
      <c r="G91" s="68">
        <v>18307.650390999999</v>
      </c>
      <c r="H91" s="14">
        <f t="shared" si="3"/>
        <v>-2.2915268254892762E-3</v>
      </c>
    </row>
    <row r="92" spans="2:8" x14ac:dyDescent="0.3">
      <c r="B92" s="67">
        <v>44886</v>
      </c>
      <c r="C92" s="68">
        <v>1105.349976</v>
      </c>
      <c r="D92" s="14">
        <f t="shared" si="2"/>
        <v>2.675936081075303E-3</v>
      </c>
      <c r="F92" s="72">
        <v>44886</v>
      </c>
      <c r="G92" s="68">
        <v>18512.75</v>
      </c>
      <c r="H92" s="14">
        <f t="shared" si="3"/>
        <v>1.1202945469224623E-2</v>
      </c>
    </row>
    <row r="93" spans="2:8" x14ac:dyDescent="0.3">
      <c r="B93" s="67">
        <v>44893</v>
      </c>
      <c r="C93" s="68">
        <v>1114.349976</v>
      </c>
      <c r="D93" s="14">
        <f t="shared" si="2"/>
        <v>8.1422175739931379E-3</v>
      </c>
      <c r="F93" s="72">
        <v>44893</v>
      </c>
      <c r="G93" s="68">
        <v>18696.099609000001</v>
      </c>
      <c r="H93" s="14">
        <f t="shared" si="3"/>
        <v>9.9039639707769744E-3</v>
      </c>
    </row>
    <row r="94" spans="2:8" x14ac:dyDescent="0.3">
      <c r="B94" s="67">
        <v>44900</v>
      </c>
      <c r="C94" s="68">
        <v>1107.900024</v>
      </c>
      <c r="D94" s="14">
        <f t="shared" si="2"/>
        <v>-5.7880846582437639E-3</v>
      </c>
      <c r="F94" s="72">
        <v>44900</v>
      </c>
      <c r="G94" s="68">
        <v>18496.599609000001</v>
      </c>
      <c r="H94" s="14">
        <f t="shared" si="3"/>
        <v>-1.0670674855838058E-2</v>
      </c>
    </row>
    <row r="95" spans="2:8" x14ac:dyDescent="0.3">
      <c r="B95" s="67">
        <v>44907</v>
      </c>
      <c r="C95" s="68">
        <v>1089.400024</v>
      </c>
      <c r="D95" s="14">
        <f t="shared" si="2"/>
        <v>-1.6698257603792621E-2</v>
      </c>
      <c r="F95" s="72">
        <v>44907</v>
      </c>
      <c r="G95" s="68">
        <v>18269</v>
      </c>
      <c r="H95" s="14">
        <f t="shared" si="3"/>
        <v>-1.2304943276668867E-2</v>
      </c>
    </row>
    <row r="96" spans="2:8" x14ac:dyDescent="0.3">
      <c r="B96" s="67">
        <v>44914</v>
      </c>
      <c r="C96" s="68">
        <v>1119.150024</v>
      </c>
      <c r="D96" s="14">
        <f t="shared" si="2"/>
        <v>2.7308609642549442E-2</v>
      </c>
      <c r="F96" s="72">
        <v>44914</v>
      </c>
      <c r="G96" s="68">
        <v>17806.800781000002</v>
      </c>
      <c r="H96" s="14">
        <f t="shared" si="3"/>
        <v>-2.529964524604511E-2</v>
      </c>
    </row>
    <row r="97" spans="2:8" x14ac:dyDescent="0.3">
      <c r="B97" s="67">
        <v>44921</v>
      </c>
      <c r="C97" s="68">
        <v>1075.9499510000001</v>
      </c>
      <c r="D97" s="14">
        <f t="shared" si="2"/>
        <v>-3.860078816385748E-2</v>
      </c>
      <c r="F97" s="72">
        <v>44921</v>
      </c>
      <c r="G97" s="68">
        <v>18105.300781000002</v>
      </c>
      <c r="H97" s="14">
        <f t="shared" si="3"/>
        <v>1.6763258244484991E-2</v>
      </c>
    </row>
    <row r="98" spans="2:8" x14ac:dyDescent="0.3">
      <c r="B98" s="67">
        <v>44928</v>
      </c>
      <c r="C98" s="68">
        <v>1076.349976</v>
      </c>
      <c r="D98" s="14">
        <f t="shared" si="2"/>
        <v>3.7178773940937937E-4</v>
      </c>
      <c r="F98" s="72">
        <v>44928</v>
      </c>
      <c r="G98" s="68">
        <v>17859.449218999998</v>
      </c>
      <c r="H98" s="14">
        <f t="shared" si="3"/>
        <v>-1.3578982474458767E-2</v>
      </c>
    </row>
    <row r="99" spans="2:8" x14ac:dyDescent="0.3">
      <c r="B99" s="67">
        <v>44935</v>
      </c>
      <c r="C99" s="68">
        <v>1067.75</v>
      </c>
      <c r="D99" s="14">
        <f t="shared" si="2"/>
        <v>-7.9899439696740071E-3</v>
      </c>
      <c r="F99" s="72">
        <v>44935</v>
      </c>
      <c r="G99" s="68">
        <v>17956.599609000001</v>
      </c>
      <c r="H99" s="14">
        <f t="shared" si="3"/>
        <v>5.4397192661825855E-3</v>
      </c>
    </row>
    <row r="100" spans="2:8" x14ac:dyDescent="0.3">
      <c r="B100" s="67">
        <v>44942</v>
      </c>
      <c r="C100" s="68">
        <v>1053.4499510000001</v>
      </c>
      <c r="D100" s="14">
        <f t="shared" si="2"/>
        <v>-1.3392693982673842E-2</v>
      </c>
      <c r="F100" s="72">
        <v>44942</v>
      </c>
      <c r="G100" s="68">
        <v>18027.650390999999</v>
      </c>
      <c r="H100" s="14">
        <f t="shared" si="3"/>
        <v>3.9568060516528281E-3</v>
      </c>
    </row>
    <row r="101" spans="2:8" x14ac:dyDescent="0.3">
      <c r="B101" s="67">
        <v>44949</v>
      </c>
      <c r="C101" s="68">
        <v>1047.25</v>
      </c>
      <c r="D101" s="14">
        <f t="shared" si="2"/>
        <v>-5.8853778426917192E-3</v>
      </c>
      <c r="F101" s="72">
        <v>44949</v>
      </c>
      <c r="G101" s="68">
        <v>17604.349609000001</v>
      </c>
      <c r="H101" s="14">
        <f t="shared" si="3"/>
        <v>-2.3480640727941093E-2</v>
      </c>
    </row>
    <row r="102" spans="2:8" x14ac:dyDescent="0.3">
      <c r="B102" s="67">
        <v>44956</v>
      </c>
      <c r="C102" s="68">
        <v>1022.299988</v>
      </c>
      <c r="D102" s="14">
        <f t="shared" si="2"/>
        <v>-2.3824313201241343E-2</v>
      </c>
      <c r="F102" s="72">
        <v>44956</v>
      </c>
      <c r="G102" s="68">
        <v>17854.050781000002</v>
      </c>
      <c r="H102" s="14">
        <f t="shared" si="3"/>
        <v>1.4184061186352848E-2</v>
      </c>
    </row>
    <row r="103" spans="2:8" x14ac:dyDescent="0.3">
      <c r="B103" s="67">
        <v>44963</v>
      </c>
      <c r="C103" s="68">
        <v>1033.1999510000001</v>
      </c>
      <c r="D103" s="14">
        <f t="shared" si="2"/>
        <v>1.0662196153718551E-2</v>
      </c>
      <c r="F103" s="72">
        <v>44963</v>
      </c>
      <c r="G103" s="68">
        <v>17856.5</v>
      </c>
      <c r="H103" s="14">
        <f t="shared" si="3"/>
        <v>1.371800175793414E-4</v>
      </c>
    </row>
    <row r="104" spans="2:8" x14ac:dyDescent="0.3">
      <c r="B104" s="67">
        <v>44970</v>
      </c>
      <c r="C104" s="68">
        <v>1025.75</v>
      </c>
      <c r="D104" s="14">
        <f t="shared" si="2"/>
        <v>-7.2105607368539992E-3</v>
      </c>
      <c r="F104" s="72">
        <v>44970</v>
      </c>
      <c r="G104" s="68">
        <v>17944.199218999998</v>
      </c>
      <c r="H104" s="14">
        <f t="shared" si="3"/>
        <v>4.9113330719905424E-3</v>
      </c>
    </row>
    <row r="105" spans="2:8" x14ac:dyDescent="0.3">
      <c r="B105" s="67">
        <v>44977</v>
      </c>
      <c r="C105" s="68">
        <v>961.79998799999998</v>
      </c>
      <c r="D105" s="14">
        <f t="shared" si="2"/>
        <v>-6.2344637582256945E-2</v>
      </c>
      <c r="F105" s="72">
        <v>44977</v>
      </c>
      <c r="G105" s="68">
        <v>17465.800781000002</v>
      </c>
      <c r="H105" s="14">
        <f t="shared" si="3"/>
        <v>-2.6660339208308015E-2</v>
      </c>
    </row>
    <row r="106" spans="2:8" x14ac:dyDescent="0.3">
      <c r="B106" s="67">
        <v>44984</v>
      </c>
      <c r="C106" s="68">
        <v>878.65002400000003</v>
      </c>
      <c r="D106" s="14">
        <f t="shared" si="2"/>
        <v>-8.6452448572914675E-2</v>
      </c>
      <c r="F106" s="72">
        <v>44984</v>
      </c>
      <c r="G106" s="68">
        <v>17594.349609000001</v>
      </c>
      <c r="H106" s="14">
        <f t="shared" si="3"/>
        <v>7.3600305884538031E-3</v>
      </c>
    </row>
    <row r="107" spans="2:8" x14ac:dyDescent="0.3">
      <c r="B107" s="67">
        <v>44991</v>
      </c>
      <c r="C107" s="68">
        <v>881.20001200000002</v>
      </c>
      <c r="D107" s="14">
        <f t="shared" si="2"/>
        <v>2.9021657432970471E-3</v>
      </c>
      <c r="F107" s="72">
        <v>44991</v>
      </c>
      <c r="G107" s="68">
        <v>17412.900390999999</v>
      </c>
      <c r="H107" s="14">
        <f t="shared" si="3"/>
        <v>-1.0312925571695164E-2</v>
      </c>
    </row>
    <row r="108" spans="2:8" x14ac:dyDescent="0.3">
      <c r="B108" s="67">
        <v>44998</v>
      </c>
      <c r="C108" s="68">
        <v>874.04998799999998</v>
      </c>
      <c r="D108" s="14">
        <f t="shared" si="2"/>
        <v>-8.1139626675357235E-3</v>
      </c>
      <c r="F108" s="72">
        <v>44998</v>
      </c>
      <c r="G108" s="68">
        <v>17100.050781000002</v>
      </c>
      <c r="H108" s="14">
        <f t="shared" si="3"/>
        <v>-1.7966542217268788E-2</v>
      </c>
    </row>
    <row r="109" spans="2:8" x14ac:dyDescent="0.3">
      <c r="B109" s="67">
        <v>45005</v>
      </c>
      <c r="C109" s="68">
        <v>877.25</v>
      </c>
      <c r="D109" s="14">
        <f t="shared" si="2"/>
        <v>3.6611315644798914E-3</v>
      </c>
      <c r="F109" s="72">
        <v>45005</v>
      </c>
      <c r="G109" s="68">
        <v>16945.050781000002</v>
      </c>
      <c r="H109" s="14">
        <f t="shared" si="3"/>
        <v>-9.0643005675878907E-3</v>
      </c>
    </row>
    <row r="110" spans="2:8" x14ac:dyDescent="0.3">
      <c r="B110" s="67">
        <v>45012</v>
      </c>
      <c r="C110" s="68">
        <v>900.5</v>
      </c>
      <c r="D110" s="14">
        <f t="shared" si="2"/>
        <v>2.6503277286976434E-2</v>
      </c>
      <c r="F110" s="72">
        <v>45012</v>
      </c>
      <c r="G110" s="68">
        <v>17359.75</v>
      </c>
      <c r="H110" s="14">
        <f t="shared" si="3"/>
        <v>2.4473176525678486E-2</v>
      </c>
    </row>
    <row r="111" spans="2:8" x14ac:dyDescent="0.3">
      <c r="B111" s="67">
        <v>45019</v>
      </c>
      <c r="C111" s="68">
        <v>893.34997599999997</v>
      </c>
      <c r="D111" s="14">
        <f t="shared" si="2"/>
        <v>-7.9400599666852312E-3</v>
      </c>
      <c r="F111" s="72">
        <v>45019</v>
      </c>
      <c r="G111" s="68">
        <v>17599.150390999999</v>
      </c>
      <c r="H111" s="14">
        <f t="shared" si="3"/>
        <v>1.3790543700226143E-2</v>
      </c>
    </row>
    <row r="112" spans="2:8" x14ac:dyDescent="0.3">
      <c r="B112" s="67">
        <v>45026</v>
      </c>
      <c r="C112" s="68">
        <v>915.75</v>
      </c>
      <c r="D112" s="14">
        <f t="shared" si="2"/>
        <v>2.5074186602989323E-2</v>
      </c>
      <c r="F112" s="72">
        <v>45026</v>
      </c>
      <c r="G112" s="68">
        <v>17828</v>
      </c>
      <c r="H112" s="14">
        <f t="shared" si="3"/>
        <v>1.3003446411653519E-2</v>
      </c>
    </row>
    <row r="113" spans="2:8" x14ac:dyDescent="0.3">
      <c r="B113" s="67">
        <v>45029</v>
      </c>
      <c r="C113" s="68">
        <v>915.75</v>
      </c>
      <c r="D113" s="14">
        <f t="shared" si="2"/>
        <v>0</v>
      </c>
      <c r="F113" s="72">
        <v>45029</v>
      </c>
      <c r="G113" s="68">
        <v>17828</v>
      </c>
      <c r="H113" s="14">
        <f t="shared" si="3"/>
        <v>0</v>
      </c>
    </row>
    <row r="114" spans="2:8" x14ac:dyDescent="0.3">
      <c r="B114" s="66"/>
      <c r="C114" s="69"/>
      <c r="D114" s="14"/>
    </row>
  </sheetData>
  <mergeCells count="3">
    <mergeCell ref="B5:D5"/>
    <mergeCell ref="F5:H5"/>
    <mergeCell ref="J5:L5"/>
  </mergeCells>
  <pageMargins left="0.70866141732283472" right="0.70866141732283472" top="0.74803149606299213" bottom="0.74803149606299213" header="0.31496062992125984" footer="0.31496062992125984"/>
  <pageSetup paperSize="9" scale="2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597A-C0EB-4BA4-83EF-42B40FAB8752}">
  <sheetPr>
    <pageSetUpPr fitToPage="1"/>
  </sheetPr>
  <dimension ref="B3:G29"/>
  <sheetViews>
    <sheetView showGridLines="0" tabSelected="1" topLeftCell="D5" zoomScale="69" zoomScaleNormal="69" workbookViewId="0">
      <selection activeCell="E34" sqref="E34"/>
    </sheetView>
  </sheetViews>
  <sheetFormatPr defaultRowHeight="14.4" x14ac:dyDescent="0.3"/>
  <cols>
    <col min="1" max="1" width="1.88671875" customWidth="1"/>
  </cols>
  <sheetData>
    <row r="3" spans="2:7" x14ac:dyDescent="0.3">
      <c r="B3" s="91" t="s">
        <v>241</v>
      </c>
      <c r="C3" s="91"/>
      <c r="D3" s="91"/>
      <c r="E3" s="91"/>
      <c r="F3" s="91"/>
      <c r="G3" s="91"/>
    </row>
    <row r="5" spans="2:7" x14ac:dyDescent="0.3">
      <c r="B5" s="91" t="s">
        <v>239</v>
      </c>
      <c r="C5" s="91" t="s">
        <v>240</v>
      </c>
    </row>
    <row r="6" spans="2:7" x14ac:dyDescent="0.3">
      <c r="B6" s="90">
        <v>2000</v>
      </c>
      <c r="C6" s="14">
        <v>-0.14649999999999999</v>
      </c>
      <c r="E6" t="s">
        <v>242</v>
      </c>
      <c r="G6" s="14">
        <f>AVERAGE(C6:C28)</f>
        <v>0.15411739130434784</v>
      </c>
    </row>
    <row r="7" spans="2:7" ht="16.2" x14ac:dyDescent="0.3">
      <c r="B7" s="90">
        <v>2001</v>
      </c>
      <c r="C7" s="14">
        <v>-0.1618</v>
      </c>
      <c r="E7" t="s">
        <v>243</v>
      </c>
      <c r="G7" s="92" t="s">
        <v>244</v>
      </c>
    </row>
    <row r="8" spans="2:7" x14ac:dyDescent="0.3">
      <c r="B8" s="90">
        <v>2002</v>
      </c>
      <c r="C8" s="14">
        <v>3.2500000000000001E-2</v>
      </c>
      <c r="E8" s="94" t="s">
        <v>245</v>
      </c>
      <c r="F8" s="94"/>
      <c r="G8" s="95">
        <f>SUM(G6:G7)</f>
        <v>0.15411739130434784</v>
      </c>
    </row>
    <row r="9" spans="2:7" x14ac:dyDescent="0.3">
      <c r="B9" s="90">
        <v>2003</v>
      </c>
      <c r="C9" s="14">
        <v>0.71900000000000008</v>
      </c>
    </row>
    <row r="10" spans="2:7" x14ac:dyDescent="0.3">
      <c r="B10" s="90">
        <v>2004</v>
      </c>
      <c r="C10" s="14">
        <v>0.10679999999999999</v>
      </c>
    </row>
    <row r="11" spans="2:7" x14ac:dyDescent="0.3">
      <c r="B11" s="90">
        <v>2005</v>
      </c>
      <c r="C11" s="14">
        <v>0.36340000000000006</v>
      </c>
    </row>
    <row r="12" spans="2:7" x14ac:dyDescent="0.3">
      <c r="B12" s="90">
        <v>2006</v>
      </c>
      <c r="C12" s="14">
        <v>0.39829999999999999</v>
      </c>
    </row>
    <row r="13" spans="2:7" x14ac:dyDescent="0.3">
      <c r="B13" s="90">
        <v>2007</v>
      </c>
      <c r="C13" s="14">
        <v>0.54770000000000008</v>
      </c>
    </row>
    <row r="14" spans="2:7" x14ac:dyDescent="0.3">
      <c r="B14" s="90">
        <v>2008</v>
      </c>
      <c r="C14" s="14">
        <v>-0.51790000000000003</v>
      </c>
    </row>
    <row r="15" spans="2:7" x14ac:dyDescent="0.3">
      <c r="B15" s="90">
        <v>2009</v>
      </c>
      <c r="C15" s="14">
        <v>0.75760000000000005</v>
      </c>
    </row>
    <row r="16" spans="2:7" x14ac:dyDescent="0.3">
      <c r="B16" s="90">
        <v>2010</v>
      </c>
      <c r="C16" s="14">
        <v>0.17949999999999999</v>
      </c>
    </row>
    <row r="17" spans="2:3" x14ac:dyDescent="0.3">
      <c r="B17" s="90">
        <v>2011</v>
      </c>
      <c r="C17" s="14">
        <v>-0.2462</v>
      </c>
    </row>
    <row r="18" spans="2:3" x14ac:dyDescent="0.3">
      <c r="B18" s="90">
        <v>2012</v>
      </c>
      <c r="C18" s="14">
        <v>0.27699999999999997</v>
      </c>
    </row>
    <row r="19" spans="2:3" x14ac:dyDescent="0.3">
      <c r="B19" s="90">
        <v>2013</v>
      </c>
      <c r="C19" s="14">
        <v>6.7599999999999993E-2</v>
      </c>
    </row>
    <row r="20" spans="2:3" x14ac:dyDescent="0.3">
      <c r="B20" s="90">
        <v>2014</v>
      </c>
      <c r="C20" s="14">
        <v>0.31390000000000001</v>
      </c>
    </row>
    <row r="21" spans="2:3" x14ac:dyDescent="0.3">
      <c r="B21" s="90">
        <v>2015</v>
      </c>
      <c r="C21" s="14">
        <v>-4.0599999999999997E-2</v>
      </c>
    </row>
    <row r="22" spans="2:3" x14ac:dyDescent="0.3">
      <c r="B22" s="90">
        <v>2016</v>
      </c>
      <c r="C22" s="14">
        <v>3.0099999999999998E-2</v>
      </c>
    </row>
    <row r="23" spans="2:3" x14ac:dyDescent="0.3">
      <c r="B23" s="90">
        <v>2017</v>
      </c>
      <c r="C23" s="14">
        <v>0.28649999999999998</v>
      </c>
    </row>
    <row r="24" spans="2:3" x14ac:dyDescent="0.3">
      <c r="B24" s="90">
        <v>2018</v>
      </c>
      <c r="C24" s="14">
        <v>3.15E-2</v>
      </c>
    </row>
    <row r="25" spans="2:3" x14ac:dyDescent="0.3">
      <c r="B25" s="90">
        <v>2019</v>
      </c>
      <c r="C25" s="14">
        <v>0.1202</v>
      </c>
    </row>
    <row r="26" spans="2:3" x14ac:dyDescent="0.3">
      <c r="B26" s="90">
        <v>2020</v>
      </c>
      <c r="C26" s="14">
        <v>0.14169999999999999</v>
      </c>
    </row>
    <row r="27" spans="2:3" x14ac:dyDescent="0.3">
      <c r="B27" s="90">
        <v>2021</v>
      </c>
      <c r="C27" s="14">
        <v>0.2412</v>
      </c>
    </row>
    <row r="28" spans="2:3" x14ac:dyDescent="0.3">
      <c r="B28" s="90">
        <v>2022</v>
      </c>
      <c r="C28" s="14">
        <v>4.3200000000000002E-2</v>
      </c>
    </row>
    <row r="29" spans="2:3" x14ac:dyDescent="0.3">
      <c r="B29" s="90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8851-F6E9-4889-B694-151DAD983862}">
  <sheetPr>
    <pageSetUpPr fitToPage="1"/>
  </sheetPr>
  <dimension ref="A3:J66"/>
  <sheetViews>
    <sheetView showGridLines="0" tabSelected="1" topLeftCell="A45" zoomScale="69" zoomScaleNormal="69" workbookViewId="0">
      <selection activeCell="E34" sqref="E34"/>
    </sheetView>
  </sheetViews>
  <sheetFormatPr defaultRowHeight="14.4" x14ac:dyDescent="0.3"/>
  <cols>
    <col min="1" max="1" width="1.88671875" customWidth="1"/>
    <col min="6" max="10" width="10.77734375" customWidth="1"/>
  </cols>
  <sheetData>
    <row r="3" spans="2:10" x14ac:dyDescent="0.3">
      <c r="B3" s="170" t="s">
        <v>314</v>
      </c>
      <c r="C3" s="170"/>
      <c r="D3" s="170"/>
      <c r="E3" s="170"/>
      <c r="F3" s="170"/>
      <c r="G3" s="170"/>
      <c r="H3" s="170"/>
      <c r="I3" s="170"/>
      <c r="J3" s="170"/>
    </row>
    <row r="5" spans="2:10" x14ac:dyDescent="0.3">
      <c r="B5" s="91" t="s">
        <v>285</v>
      </c>
      <c r="C5" s="116"/>
      <c r="D5" s="116"/>
      <c r="E5" s="116"/>
      <c r="F5" s="117">
        <f>'Data Sheet'!G$56</f>
        <v>43190</v>
      </c>
      <c r="G5" s="117">
        <f>'Data Sheet'!H$56</f>
        <v>43555</v>
      </c>
      <c r="H5" s="117">
        <f>'Data Sheet'!I$56</f>
        <v>43921</v>
      </c>
      <c r="I5" s="117">
        <f>'Data Sheet'!J$56</f>
        <v>44286</v>
      </c>
      <c r="J5" s="117">
        <f>'Data Sheet'!K$56</f>
        <v>44651</v>
      </c>
    </row>
    <row r="7" spans="2:10" x14ac:dyDescent="0.3">
      <c r="B7" s="10" t="s">
        <v>286</v>
      </c>
    </row>
    <row r="8" spans="2:10" x14ac:dyDescent="0.3">
      <c r="B8" s="120">
        <f>'Raw FS'!B36</f>
        <v>0</v>
      </c>
      <c r="C8" s="120"/>
      <c r="D8" s="120"/>
      <c r="E8" s="120"/>
      <c r="F8" s="120">
        <f>'Raw FS'!J36</f>
        <v>4045</v>
      </c>
      <c r="G8" s="120">
        <f>'Raw FS'!K36</f>
        <v>3965</v>
      </c>
      <c r="H8" s="120">
        <f>'Raw FS'!L36</f>
        <v>4378</v>
      </c>
      <c r="I8" s="120">
        <f>'Raw FS'!M36</f>
        <v>4669</v>
      </c>
      <c r="J8" s="120">
        <f>'Raw FS'!N36</f>
        <v>5350</v>
      </c>
    </row>
    <row r="9" spans="2:10" x14ac:dyDescent="0.3">
      <c r="B9" s="120" t="str">
        <f>'Raw FS'!B37</f>
        <v>Trade receivables</v>
      </c>
      <c r="C9" s="120"/>
      <c r="D9" s="120"/>
      <c r="E9" s="120"/>
      <c r="F9" s="120">
        <f>'Raw FS'!J37</f>
        <v>3102</v>
      </c>
      <c r="G9" s="120">
        <f>'Raw FS'!K37</f>
        <v>4151</v>
      </c>
      <c r="H9" s="120">
        <f>'Raw FS'!L37</f>
        <v>3891</v>
      </c>
      <c r="I9" s="120">
        <f>'Raw FS'!M37</f>
        <v>3446</v>
      </c>
      <c r="J9" s="120">
        <f>'Raw FS'!N37</f>
        <v>3424</v>
      </c>
    </row>
    <row r="10" spans="2:10" x14ac:dyDescent="0.3">
      <c r="B10" s="120" t="str">
        <f>'Raw FS'!B39</f>
        <v>Loans n Advances</v>
      </c>
      <c r="C10" s="120"/>
      <c r="D10" s="120"/>
      <c r="E10" s="120"/>
      <c r="F10" s="120">
        <f>'Raw FS'!J39</f>
        <v>1787</v>
      </c>
      <c r="G10" s="120">
        <f>'Raw FS'!K39</f>
        <v>1768</v>
      </c>
      <c r="H10" s="120">
        <f>'Raw FS'!L39</f>
        <v>1657</v>
      </c>
      <c r="I10" s="120">
        <f>'Raw FS'!M39</f>
        <v>1722</v>
      </c>
      <c r="J10" s="120">
        <f>'Raw FS'!N39</f>
        <v>2278</v>
      </c>
    </row>
    <row r="11" spans="2:10" x14ac:dyDescent="0.3">
      <c r="B11" s="68" t="str">
        <f>'Raw FS'!B40</f>
        <v>Other asset items</v>
      </c>
      <c r="C11" s="68"/>
      <c r="D11" s="68"/>
      <c r="E11" s="68"/>
      <c r="F11" s="68">
        <f>'Raw FS'!J40</f>
        <v>583</v>
      </c>
      <c r="G11" s="68">
        <f>'Raw FS'!K40</f>
        <v>421</v>
      </c>
      <c r="H11" s="68">
        <f>'Raw FS'!L40</f>
        <v>515</v>
      </c>
      <c r="I11" s="68">
        <f>'Raw FS'!M40</f>
        <v>423</v>
      </c>
      <c r="J11" s="68">
        <f>'Raw FS'!N40</f>
        <v>876</v>
      </c>
    </row>
    <row r="12" spans="2:10" x14ac:dyDescent="0.3">
      <c r="B12" s="121" t="s">
        <v>84</v>
      </c>
      <c r="C12" s="121"/>
      <c r="D12" s="121"/>
      <c r="E12" s="121"/>
      <c r="F12" s="121">
        <f>SUM(F8:F11)</f>
        <v>9517</v>
      </c>
      <c r="G12" s="121">
        <f t="shared" ref="G12:J12" si="0">SUM(G8:G11)</f>
        <v>10305</v>
      </c>
      <c r="H12" s="121">
        <f t="shared" si="0"/>
        <v>10441</v>
      </c>
      <c r="I12" s="121">
        <f t="shared" si="0"/>
        <v>10260</v>
      </c>
      <c r="J12" s="121">
        <f t="shared" si="0"/>
        <v>11928</v>
      </c>
    </row>
    <row r="13" spans="2:10" x14ac:dyDescent="0.3">
      <c r="B13" s="68"/>
      <c r="C13" s="68"/>
      <c r="D13" s="68"/>
      <c r="E13" s="68"/>
      <c r="F13" s="68"/>
      <c r="G13" s="68"/>
      <c r="H13" s="68"/>
      <c r="I13" s="68"/>
      <c r="J13" s="68"/>
    </row>
    <row r="14" spans="2:10" x14ac:dyDescent="0.3">
      <c r="B14" s="69" t="s">
        <v>287</v>
      </c>
      <c r="C14" s="68"/>
      <c r="D14" s="68"/>
      <c r="E14" s="68"/>
      <c r="F14" s="68"/>
      <c r="G14" s="68"/>
      <c r="H14" s="68"/>
      <c r="I14" s="68"/>
      <c r="J14" s="68"/>
    </row>
    <row r="15" spans="2:10" x14ac:dyDescent="0.3">
      <c r="B15" s="120" t="str">
        <f>'Raw FS'!B13</f>
        <v>Trade Payables</v>
      </c>
      <c r="C15" s="120"/>
      <c r="D15" s="120"/>
      <c r="E15" s="120"/>
      <c r="F15" s="120">
        <f>'Raw FS'!J13</f>
        <v>2119</v>
      </c>
      <c r="G15" s="120">
        <f>'Raw FS'!K13</f>
        <v>1948</v>
      </c>
      <c r="H15" s="120">
        <f>'Raw FS'!L13</f>
        <v>2282</v>
      </c>
      <c r="I15" s="120">
        <f>'Raw FS'!M13</f>
        <v>2067</v>
      </c>
      <c r="J15" s="120">
        <f>'Raw FS'!N13</f>
        <v>2508</v>
      </c>
    </row>
    <row r="16" spans="2:10" x14ac:dyDescent="0.3">
      <c r="B16" s="120" t="str">
        <f>'Raw FS'!B14</f>
        <v>Advance from Customers</v>
      </c>
      <c r="C16" s="120"/>
      <c r="D16" s="120"/>
      <c r="E16" s="120"/>
      <c r="F16" s="120">
        <f>'Raw FS'!J14</f>
        <v>71</v>
      </c>
      <c r="G16" s="120">
        <f>'Raw FS'!K14</f>
        <v>44</v>
      </c>
      <c r="H16" s="120">
        <f>'Raw FS'!L14</f>
        <v>34</v>
      </c>
      <c r="I16" s="120">
        <f>'Raw FS'!M14</f>
        <v>40</v>
      </c>
      <c r="J16" s="120">
        <f>'Raw FS'!N14</f>
        <v>74</v>
      </c>
    </row>
    <row r="17" spans="1:10" x14ac:dyDescent="0.3">
      <c r="B17" s="120" t="str">
        <f>'Raw FS'!B15</f>
        <v>Other liability items</v>
      </c>
      <c r="C17" s="120"/>
      <c r="D17" s="120"/>
      <c r="E17" s="120"/>
      <c r="F17" s="120">
        <f>'Raw FS'!J15</f>
        <v>1803</v>
      </c>
      <c r="G17" s="120">
        <f>'Raw FS'!K15</f>
        <v>2109</v>
      </c>
      <c r="H17" s="120">
        <f>'Raw FS'!L15</f>
        <v>2233</v>
      </c>
      <c r="I17" s="120">
        <f>'Raw FS'!M15</f>
        <v>2149</v>
      </c>
      <c r="J17" s="120">
        <f>'Raw FS'!N15</f>
        <v>2102</v>
      </c>
    </row>
    <row r="18" spans="1:10" x14ac:dyDescent="0.3">
      <c r="B18" s="121" t="s">
        <v>288</v>
      </c>
      <c r="C18" s="121"/>
      <c r="D18" s="121"/>
      <c r="E18" s="121"/>
      <c r="F18" s="121">
        <f>SUM(F15:F17)</f>
        <v>3993</v>
      </c>
      <c r="G18" s="121">
        <f>SUM(G15:G17)</f>
        <v>4101</v>
      </c>
      <c r="H18" s="121">
        <f>SUM(H15:H17)</f>
        <v>4549</v>
      </c>
      <c r="I18" s="121">
        <f>SUM(I15:I17)</f>
        <v>4256</v>
      </c>
      <c r="J18" s="121">
        <f>SUM(J15:J17)</f>
        <v>4684</v>
      </c>
    </row>
    <row r="19" spans="1:10" x14ac:dyDescent="0.3">
      <c r="B19" s="122"/>
      <c r="C19" s="122"/>
      <c r="D19" s="122"/>
      <c r="E19" s="122"/>
      <c r="F19" s="122"/>
      <c r="G19" s="122"/>
      <c r="H19" s="122"/>
      <c r="I19" s="122"/>
      <c r="J19" s="122"/>
    </row>
    <row r="20" spans="1:10" ht="15" thickBot="1" x14ac:dyDescent="0.35">
      <c r="A20" t="s">
        <v>57</v>
      </c>
      <c r="B20" s="123" t="s">
        <v>289</v>
      </c>
      <c r="C20" s="123"/>
      <c r="D20" s="123"/>
      <c r="E20" s="123"/>
      <c r="F20" s="123">
        <f>F12-F18</f>
        <v>5524</v>
      </c>
      <c r="G20" s="123">
        <f t="shared" ref="G20:J20" si="1">G12-G18</f>
        <v>6204</v>
      </c>
      <c r="H20" s="123">
        <f t="shared" si="1"/>
        <v>5892</v>
      </c>
      <c r="I20" s="123">
        <f t="shared" si="1"/>
        <v>6004</v>
      </c>
      <c r="J20" s="123">
        <f t="shared" si="1"/>
        <v>7244</v>
      </c>
    </row>
    <row r="21" spans="1:10" ht="15" thickTop="1" x14ac:dyDescent="0.3"/>
    <row r="22" spans="1:10" x14ac:dyDescent="0.3">
      <c r="B22" s="10" t="s">
        <v>290</v>
      </c>
    </row>
    <row r="23" spans="1:10" x14ac:dyDescent="0.3">
      <c r="B23" s="124" t="str">
        <f>'Raw FS'!B19</f>
        <v>Land</v>
      </c>
      <c r="C23" s="124"/>
      <c r="D23" s="124"/>
      <c r="E23" s="124"/>
      <c r="F23" s="124">
        <f>'Raw FS'!J19</f>
        <v>107</v>
      </c>
      <c r="G23" s="124">
        <f>'Raw FS'!K19</f>
        <v>115</v>
      </c>
      <c r="H23" s="124">
        <f>'Raw FS'!L19</f>
        <v>161</v>
      </c>
      <c r="I23" s="124">
        <f>'Raw FS'!M19</f>
        <v>194</v>
      </c>
      <c r="J23" s="124">
        <f>'Raw FS'!N19</f>
        <v>219</v>
      </c>
    </row>
    <row r="24" spans="1:10" x14ac:dyDescent="0.3">
      <c r="B24" s="124" t="str">
        <f>'Raw FS'!B20</f>
        <v>Building</v>
      </c>
      <c r="C24" s="124"/>
      <c r="D24" s="124"/>
      <c r="E24" s="124"/>
      <c r="F24" s="124">
        <f>'Raw FS'!J20</f>
        <v>2550</v>
      </c>
      <c r="G24" s="124">
        <f>'Raw FS'!K20</f>
        <v>2547</v>
      </c>
      <c r="H24" s="124">
        <f>'Raw FS'!L20</f>
        <v>2866</v>
      </c>
      <c r="I24" s="124">
        <f>'Raw FS'!M20</f>
        <v>2805</v>
      </c>
      <c r="J24" s="124">
        <f>'Raw FS'!N20</f>
        <v>3051</v>
      </c>
    </row>
    <row r="25" spans="1:10" x14ac:dyDescent="0.3">
      <c r="B25" s="124" t="str">
        <f>'Raw FS'!B21</f>
        <v>Plant Machinery</v>
      </c>
      <c r="C25" s="124"/>
      <c r="D25" s="124"/>
      <c r="E25" s="124"/>
      <c r="F25" s="124">
        <f>'Raw FS'!J21</f>
        <v>4168</v>
      </c>
      <c r="G25" s="124">
        <f>'Raw FS'!K21</f>
        <v>4585</v>
      </c>
      <c r="H25" s="124">
        <f>'Raw FS'!L21</f>
        <v>4916</v>
      </c>
      <c r="I25" s="124">
        <f>'Raw FS'!M21</f>
        <v>5291</v>
      </c>
      <c r="J25" s="124">
        <f>'Raw FS'!N21</f>
        <v>5811</v>
      </c>
    </row>
    <row r="26" spans="1:10" x14ac:dyDescent="0.3">
      <c r="B26" s="124" t="str">
        <f>'Raw FS'!B22</f>
        <v>Equipments</v>
      </c>
      <c r="C26" s="124"/>
      <c r="D26" s="124"/>
      <c r="E26" s="124"/>
      <c r="F26" s="124">
        <f>'Raw FS'!J22</f>
        <v>93</v>
      </c>
      <c r="G26" s="124">
        <f>'Raw FS'!K22</f>
        <v>98</v>
      </c>
      <c r="H26" s="124">
        <f>'Raw FS'!L22</f>
        <v>103</v>
      </c>
      <c r="I26" s="124">
        <f>'Raw FS'!M22</f>
        <v>92</v>
      </c>
      <c r="J26" s="124">
        <f>'Raw FS'!N22</f>
        <v>99</v>
      </c>
    </row>
    <row r="27" spans="1:10" x14ac:dyDescent="0.3">
      <c r="B27" s="124" t="str">
        <f>'Raw FS'!B23</f>
        <v>Computers</v>
      </c>
      <c r="C27" s="124"/>
      <c r="D27" s="124"/>
      <c r="E27" s="124"/>
      <c r="F27" s="124">
        <f>'Raw FS'!J23</f>
        <v>0</v>
      </c>
      <c r="G27" s="124">
        <f>'Raw FS'!K23</f>
        <v>0</v>
      </c>
      <c r="H27" s="124">
        <f>'Raw FS'!L23</f>
        <v>35</v>
      </c>
      <c r="I27" s="124">
        <f>'Raw FS'!M23</f>
        <v>8</v>
      </c>
      <c r="J27" s="124">
        <f>'Raw FS'!N23</f>
        <v>1</v>
      </c>
    </row>
    <row r="28" spans="1:10" x14ac:dyDescent="0.3">
      <c r="B28" s="124" t="str">
        <f>'Raw FS'!B24</f>
        <v>Furniture n fittings</v>
      </c>
      <c r="C28" s="124"/>
      <c r="D28" s="124"/>
      <c r="E28" s="124"/>
      <c r="F28" s="124">
        <f>'Raw FS'!J24</f>
        <v>138</v>
      </c>
      <c r="G28" s="124">
        <f>'Raw FS'!K24</f>
        <v>150</v>
      </c>
      <c r="H28" s="124">
        <f>'Raw FS'!L24</f>
        <v>156</v>
      </c>
      <c r="I28" s="124">
        <f>'Raw FS'!M24</f>
        <v>147</v>
      </c>
      <c r="J28" s="124">
        <f>'Raw FS'!N24</f>
        <v>156</v>
      </c>
    </row>
    <row r="29" spans="1:10" x14ac:dyDescent="0.3">
      <c r="B29" s="124" t="str">
        <f>'Raw FS'!B25</f>
        <v>Vehicles</v>
      </c>
      <c r="C29" s="124"/>
      <c r="D29" s="124"/>
      <c r="E29" s="124"/>
      <c r="F29" s="124">
        <f>'Raw FS'!J25</f>
        <v>10</v>
      </c>
      <c r="G29" s="124">
        <f>'Raw FS'!K25</f>
        <v>11</v>
      </c>
      <c r="H29" s="124">
        <f>'Raw FS'!L25</f>
        <v>13</v>
      </c>
      <c r="I29" s="124">
        <f>'Raw FS'!M25</f>
        <v>12</v>
      </c>
      <c r="J29" s="124">
        <f>'Raw FS'!N25</f>
        <v>14</v>
      </c>
    </row>
    <row r="30" spans="1:10" x14ac:dyDescent="0.3">
      <c r="B30" s="124" t="str">
        <f>'Raw FS'!B26</f>
        <v>Intangible Assets</v>
      </c>
      <c r="C30" s="124"/>
      <c r="D30" s="124"/>
      <c r="E30" s="124"/>
      <c r="F30" s="124">
        <f>'Raw FS'!J26</f>
        <v>3134</v>
      </c>
      <c r="G30" s="124">
        <f>'Raw FS'!K26</f>
        <v>3427</v>
      </c>
      <c r="H30" s="124">
        <f>'Raw FS'!L26</f>
        <v>3566</v>
      </c>
      <c r="I30" s="124">
        <f>'Raw FS'!M26</f>
        <v>3779</v>
      </c>
      <c r="J30" s="124">
        <f>'Raw FS'!N26</f>
        <v>3951</v>
      </c>
    </row>
    <row r="31" spans="1:10" x14ac:dyDescent="0.3">
      <c r="B31" s="124" t="str">
        <f>'Raw FS'!B27</f>
        <v>Other fixed assets</v>
      </c>
      <c r="C31" s="124"/>
      <c r="D31" s="124"/>
      <c r="E31" s="124"/>
      <c r="F31" s="124">
        <f>'Raw FS'!J27</f>
        <v>2760</v>
      </c>
      <c r="G31" s="124">
        <f>'Raw FS'!K27</f>
        <v>2925</v>
      </c>
      <c r="H31" s="124">
        <f>'Raw FS'!L27</f>
        <v>3336</v>
      </c>
      <c r="I31" s="124">
        <f>'Raw FS'!M27</f>
        <v>3458</v>
      </c>
      <c r="J31" s="124">
        <f>'Raw FS'!N27</f>
        <v>3666</v>
      </c>
    </row>
    <row r="32" spans="1:10" ht="4.8" customHeight="1" x14ac:dyDescent="0.3">
      <c r="B32" s="125"/>
      <c r="C32" s="125"/>
      <c r="D32" s="125"/>
      <c r="E32" s="125"/>
      <c r="F32" s="125"/>
      <c r="G32" s="125"/>
      <c r="H32" s="125"/>
      <c r="I32" s="125"/>
      <c r="J32" s="125"/>
    </row>
    <row r="33" spans="1:10" x14ac:dyDescent="0.3">
      <c r="B33" s="126" t="s">
        <v>275</v>
      </c>
      <c r="C33" s="126"/>
      <c r="D33" s="126"/>
      <c r="E33" s="126"/>
      <c r="F33" s="126">
        <f>SUM(F23:F31)</f>
        <v>12960</v>
      </c>
      <c r="G33" s="126">
        <f t="shared" ref="G33:K33" si="2">SUM(G23:G31)</f>
        <v>13858</v>
      </c>
      <c r="H33" s="126">
        <f t="shared" si="2"/>
        <v>15152</v>
      </c>
      <c r="I33" s="126">
        <f t="shared" si="2"/>
        <v>15786</v>
      </c>
      <c r="J33" s="126">
        <f t="shared" si="2"/>
        <v>16968</v>
      </c>
    </row>
    <row r="34" spans="1:10" x14ac:dyDescent="0.3">
      <c r="B34" s="125" t="s">
        <v>276</v>
      </c>
      <c r="C34" s="125"/>
      <c r="D34" s="125"/>
      <c r="E34" s="125"/>
      <c r="F34" s="125">
        <f>-('Raw FS'!J29)</f>
        <v>-3011</v>
      </c>
      <c r="G34" s="125">
        <f>-('Raw FS'!K29)</f>
        <v>-4250</v>
      </c>
      <c r="H34" s="125">
        <f>-('Raw FS'!L29)</f>
        <v>-5468</v>
      </c>
      <c r="I34" s="125">
        <f>-('Raw FS'!M29)</f>
        <v>-6271</v>
      </c>
      <c r="J34" s="125">
        <f>-('Raw FS'!N29)</f>
        <v>-7285</v>
      </c>
    </row>
    <row r="35" spans="1:10" x14ac:dyDescent="0.3">
      <c r="B35" s="127" t="s">
        <v>291</v>
      </c>
      <c r="C35" s="127"/>
      <c r="D35" s="127"/>
      <c r="E35" s="127"/>
      <c r="F35" s="127">
        <f>SUM(F33:F34)</f>
        <v>9949</v>
      </c>
      <c r="G35" s="127">
        <f t="shared" ref="G35:J35" si="3">SUM(G33:G34)</f>
        <v>9608</v>
      </c>
      <c r="H35" s="127">
        <f t="shared" si="3"/>
        <v>9684</v>
      </c>
      <c r="I35" s="127">
        <f t="shared" si="3"/>
        <v>9515</v>
      </c>
      <c r="J35" s="127">
        <f t="shared" si="3"/>
        <v>9683</v>
      </c>
    </row>
    <row r="37" spans="1:10" x14ac:dyDescent="0.3">
      <c r="A37" t="s">
        <v>57</v>
      </c>
      <c r="B37" s="124" t="s">
        <v>292</v>
      </c>
      <c r="C37" s="124"/>
      <c r="D37" s="124"/>
      <c r="E37" s="124"/>
      <c r="F37" s="124">
        <f>SUM(F35+F20)</f>
        <v>15473</v>
      </c>
      <c r="G37" s="124">
        <f t="shared" ref="G37:J37" si="4">SUM(G35+G20)</f>
        <v>15812</v>
      </c>
      <c r="H37" s="124">
        <f t="shared" si="4"/>
        <v>15576</v>
      </c>
      <c r="I37" s="124">
        <f t="shared" si="4"/>
        <v>15519</v>
      </c>
      <c r="J37" s="124">
        <f t="shared" si="4"/>
        <v>16927</v>
      </c>
    </row>
    <row r="38" spans="1:10" x14ac:dyDescent="0.3">
      <c r="B38" s="124" t="s">
        <v>293</v>
      </c>
      <c r="C38" s="124"/>
      <c r="D38" s="124"/>
      <c r="E38" s="124"/>
      <c r="F38" s="124">
        <f>HistoricalFS!H18-HistoricalFS!H24</f>
        <v>1503.5600000000011</v>
      </c>
      <c r="G38" s="124">
        <f>HistoricalFS!I18-HistoricalFS!I24</f>
        <v>1770.9999999999995</v>
      </c>
      <c r="H38" s="124">
        <f>HistoricalFS!J18-HistoricalFS!J24</f>
        <v>2031.3400000000011</v>
      </c>
      <c r="I38" s="124">
        <f>HistoricalFS!K18-HistoricalFS!K24</f>
        <v>3184.7699999999977</v>
      </c>
      <c r="J38" s="124">
        <f>HistoricalFS!L18-HistoricalFS!L24</f>
        <v>3500.8300000000008</v>
      </c>
    </row>
    <row r="40" spans="1:10" ht="15" thickBot="1" x14ac:dyDescent="0.35">
      <c r="A40" t="s">
        <v>57</v>
      </c>
      <c r="B40" s="99" t="s">
        <v>294</v>
      </c>
      <c r="C40" s="99"/>
      <c r="D40" s="99"/>
      <c r="E40" s="99"/>
      <c r="F40" s="118">
        <f>F38/F37</f>
        <v>9.7173140308925293E-2</v>
      </c>
      <c r="G40" s="118">
        <f t="shared" ref="G40:J40" si="5">G38/G37</f>
        <v>0.11200354161396404</v>
      </c>
      <c r="H40" s="118">
        <f t="shared" si="5"/>
        <v>0.1304147406266051</v>
      </c>
      <c r="I40" s="118">
        <f t="shared" si="5"/>
        <v>0.20521747535279319</v>
      </c>
      <c r="J40" s="118">
        <f t="shared" si="5"/>
        <v>0.20681928280262307</v>
      </c>
    </row>
    <row r="41" spans="1:10" ht="15" thickTop="1" x14ac:dyDescent="0.3"/>
    <row r="42" spans="1:10" x14ac:dyDescent="0.3">
      <c r="B42" s="91" t="s">
        <v>307</v>
      </c>
      <c r="C42" s="116"/>
      <c r="D42" s="116"/>
      <c r="E42" s="116"/>
      <c r="F42" s="117">
        <f>F5</f>
        <v>43190</v>
      </c>
      <c r="G42" s="117">
        <f t="shared" ref="G42:J42" si="6">G5</f>
        <v>43555</v>
      </c>
      <c r="H42" s="117">
        <f t="shared" si="6"/>
        <v>43921</v>
      </c>
      <c r="I42" s="117">
        <f t="shared" si="6"/>
        <v>44286</v>
      </c>
      <c r="J42" s="117">
        <f t="shared" si="6"/>
        <v>44651</v>
      </c>
    </row>
    <row r="44" spans="1:10" x14ac:dyDescent="0.3">
      <c r="B44" s="124" t="s">
        <v>295</v>
      </c>
      <c r="C44" s="124"/>
      <c r="D44" s="124"/>
      <c r="E44" s="124"/>
      <c r="F44" s="124">
        <f>-SUM('Raw FS'!J56:J57)</f>
        <v>739</v>
      </c>
      <c r="G44" s="124">
        <f>-SUM('Raw FS'!K56:K57)</f>
        <v>504</v>
      </c>
      <c r="H44" s="124">
        <f>-SUM('Raw FS'!L56:L57)</f>
        <v>986</v>
      </c>
      <c r="I44" s="124">
        <f>-SUM('Raw FS'!M56:M57)</f>
        <v>791</v>
      </c>
      <c r="J44" s="124">
        <f>-SUM('Raw FS'!N56:N57)</f>
        <v>681</v>
      </c>
    </row>
    <row r="45" spans="1:10" x14ac:dyDescent="0.3">
      <c r="B45" s="124" t="s">
        <v>305</v>
      </c>
      <c r="C45" s="124"/>
      <c r="D45" s="124"/>
      <c r="E45" s="124"/>
      <c r="F45" s="124"/>
      <c r="G45" s="124">
        <f>G20-F20</f>
        <v>680</v>
      </c>
      <c r="H45" s="124">
        <f t="shared" ref="H45:J45" si="7">H20-G20</f>
        <v>-312</v>
      </c>
      <c r="I45" s="124">
        <f t="shared" si="7"/>
        <v>112</v>
      </c>
      <c r="J45" s="124">
        <f t="shared" si="7"/>
        <v>1240</v>
      </c>
    </row>
    <row r="47" spans="1:10" x14ac:dyDescent="0.3">
      <c r="B47" s="124" t="s">
        <v>293</v>
      </c>
      <c r="C47" s="124"/>
      <c r="D47" s="124"/>
      <c r="E47" s="124"/>
      <c r="F47" s="124">
        <f>F38</f>
        <v>1503.5600000000011</v>
      </c>
      <c r="G47" s="124">
        <f t="shared" ref="G47:J47" si="8">G38</f>
        <v>1770.9999999999995</v>
      </c>
      <c r="H47" s="124">
        <f t="shared" si="8"/>
        <v>2031.3400000000011</v>
      </c>
      <c r="I47" s="124">
        <f t="shared" si="8"/>
        <v>3184.7699999999977</v>
      </c>
      <c r="J47" s="124">
        <f t="shared" si="8"/>
        <v>3500.8300000000008</v>
      </c>
    </row>
    <row r="48" spans="1:10" x14ac:dyDescent="0.3">
      <c r="B48" t="s">
        <v>306</v>
      </c>
      <c r="F48" s="48">
        <v>0.25</v>
      </c>
      <c r="G48" s="48">
        <v>0.25</v>
      </c>
      <c r="H48" s="48">
        <v>0.25</v>
      </c>
      <c r="I48" s="48">
        <v>0.25</v>
      </c>
      <c r="J48" s="48">
        <v>0.25</v>
      </c>
    </row>
    <row r="49" spans="2:10" x14ac:dyDescent="0.3">
      <c r="B49" s="124" t="s">
        <v>310</v>
      </c>
      <c r="C49" s="124"/>
      <c r="D49" s="124"/>
      <c r="E49" s="124"/>
      <c r="F49" s="124">
        <f>F47*(1-F48)</f>
        <v>1127.6700000000008</v>
      </c>
      <c r="G49" s="124">
        <f t="shared" ref="G49:J49" si="9">G47*(1-G48)</f>
        <v>1328.2499999999995</v>
      </c>
      <c r="H49" s="124">
        <f t="shared" si="9"/>
        <v>1523.5050000000008</v>
      </c>
      <c r="I49" s="124">
        <f t="shared" si="9"/>
        <v>2388.5774999999985</v>
      </c>
      <c r="J49" s="124">
        <f t="shared" si="9"/>
        <v>2625.6225000000004</v>
      </c>
    </row>
    <row r="51" spans="2:10" x14ac:dyDescent="0.3">
      <c r="B51" s="124" t="s">
        <v>308</v>
      </c>
      <c r="C51" s="124"/>
      <c r="D51" s="124"/>
      <c r="E51" s="124"/>
      <c r="F51" s="124"/>
      <c r="G51" s="124">
        <f>SUM(G44:G45)</f>
        <v>1184</v>
      </c>
      <c r="H51" s="124">
        <f t="shared" ref="H51:J51" si="10">SUM(H44:H45)</f>
        <v>674</v>
      </c>
      <c r="I51" s="124">
        <f t="shared" si="10"/>
        <v>903</v>
      </c>
      <c r="J51" s="124">
        <f t="shared" si="10"/>
        <v>1921</v>
      </c>
    </row>
    <row r="53" spans="2:10" x14ac:dyDescent="0.3">
      <c r="B53" s="94" t="s">
        <v>309</v>
      </c>
      <c r="C53" s="94"/>
      <c r="D53" s="94"/>
      <c r="E53" s="94"/>
      <c r="F53" s="94"/>
      <c r="G53" s="95">
        <f>G51/G49</f>
        <v>0.89139845661584827</v>
      </c>
      <c r="H53" s="95">
        <f t="shared" ref="H53:J53" si="11">H51/H49</f>
        <v>0.44240091105706886</v>
      </c>
      <c r="I53" s="95">
        <f t="shared" si="11"/>
        <v>0.37804927828383234</v>
      </c>
      <c r="J53" s="95">
        <f t="shared" si="11"/>
        <v>0.73163602155298402</v>
      </c>
    </row>
    <row r="55" spans="2:10" x14ac:dyDescent="0.3">
      <c r="H55" s="130" t="s">
        <v>311</v>
      </c>
      <c r="I55" s="130"/>
      <c r="J55" s="131">
        <f>AVERAGE(G53:J53)</f>
        <v>0.61087116687743337</v>
      </c>
    </row>
    <row r="56" spans="2:10" x14ac:dyDescent="0.3">
      <c r="H56" s="132" t="s">
        <v>312</v>
      </c>
      <c r="I56" s="132"/>
      <c r="J56" s="133">
        <f>MEDIAN(G53:J53)</f>
        <v>0.58701846630502641</v>
      </c>
    </row>
    <row r="58" spans="2:10" x14ac:dyDescent="0.3">
      <c r="B58" s="91" t="s">
        <v>307</v>
      </c>
      <c r="C58" s="116"/>
      <c r="D58" s="116"/>
      <c r="E58" s="116"/>
      <c r="F58" s="117"/>
      <c r="G58" s="117"/>
      <c r="H58" s="117"/>
      <c r="I58" s="117"/>
      <c r="J58" s="117"/>
    </row>
    <row r="60" spans="2:10" x14ac:dyDescent="0.3">
      <c r="B60" s="107" t="s">
        <v>309</v>
      </c>
      <c r="C60" s="107"/>
      <c r="D60" s="107"/>
      <c r="E60" s="107"/>
      <c r="F60" s="107"/>
      <c r="G60" s="119">
        <f>G53</f>
        <v>0.89139845661584827</v>
      </c>
      <c r="H60" s="119">
        <f t="shared" ref="H60:J60" si="12">H53</f>
        <v>0.44240091105706886</v>
      </c>
      <c r="I60" s="119">
        <f t="shared" si="12"/>
        <v>0.37804927828383234</v>
      </c>
      <c r="J60" s="119">
        <f t="shared" si="12"/>
        <v>0.73163602155298402</v>
      </c>
    </row>
    <row r="61" spans="2:10" x14ac:dyDescent="0.3">
      <c r="B61" s="107" t="s">
        <v>294</v>
      </c>
      <c r="C61" s="107"/>
      <c r="D61" s="107"/>
      <c r="E61" s="107"/>
      <c r="F61" s="107"/>
      <c r="G61" s="119">
        <f>G40</f>
        <v>0.11200354161396404</v>
      </c>
      <c r="H61" s="119">
        <f t="shared" ref="H61:J61" si="13">H40</f>
        <v>0.1304147406266051</v>
      </c>
      <c r="I61" s="119">
        <f t="shared" si="13"/>
        <v>0.20521747535279319</v>
      </c>
      <c r="J61" s="119">
        <f t="shared" si="13"/>
        <v>0.20681928280262307</v>
      </c>
    </row>
    <row r="62" spans="2:10" x14ac:dyDescent="0.3">
      <c r="G62" s="14"/>
      <c r="H62" s="14"/>
      <c r="I62" s="14"/>
      <c r="J62" s="14"/>
    </row>
    <row r="63" spans="2:10" ht="15" thickBot="1" x14ac:dyDescent="0.35">
      <c r="B63" s="99" t="s">
        <v>313</v>
      </c>
      <c r="C63" s="99"/>
      <c r="D63" s="99"/>
      <c r="E63" s="99"/>
      <c r="F63" s="118"/>
      <c r="G63" s="118">
        <f>G60*G61</f>
        <v>9.9839784130196479E-2</v>
      </c>
      <c r="H63" s="118">
        <f t="shared" ref="H63:J63" si="14">H60*H61</f>
        <v>5.7695600068481429E-2</v>
      </c>
      <c r="I63" s="118">
        <f t="shared" si="14"/>
        <v>7.7582318448353615E-2</v>
      </c>
      <c r="J63" s="118">
        <f t="shared" si="14"/>
        <v>0.15131643725015262</v>
      </c>
    </row>
    <row r="64" spans="2:10" ht="15" thickTop="1" x14ac:dyDescent="0.3"/>
    <row r="65" spans="8:10" x14ac:dyDescent="0.3">
      <c r="H65" s="130" t="s">
        <v>311</v>
      </c>
      <c r="I65" s="130"/>
      <c r="J65" s="131">
        <f>AVERAGE(G63:J63)</f>
        <v>9.6608534974296029E-2</v>
      </c>
    </row>
    <row r="66" spans="8:10" x14ac:dyDescent="0.3">
      <c r="H66" s="132" t="s">
        <v>312</v>
      </c>
      <c r="I66" s="132"/>
      <c r="J66" s="133">
        <f>MEDIAN(G63:J63)</f>
        <v>8.8711051289275047E-2</v>
      </c>
    </row>
  </sheetData>
  <mergeCells count="1">
    <mergeCell ref="B3:J3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  <ignoredErrors>
    <ignoredError sqref="F44:J44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FA0C-AA7F-4250-BFE2-8CBD327856B0}">
  <sheetPr>
    <pageSetUpPr fitToPage="1"/>
  </sheetPr>
  <dimension ref="B5:K45"/>
  <sheetViews>
    <sheetView showGridLines="0" tabSelected="1" topLeftCell="A30" zoomScale="69" zoomScaleNormal="69" workbookViewId="0">
      <selection activeCell="E34" sqref="E34"/>
    </sheetView>
  </sheetViews>
  <sheetFormatPr defaultRowHeight="14.4" x14ac:dyDescent="0.3"/>
  <cols>
    <col min="1" max="1" width="1.88671875" customWidth="1"/>
    <col min="5" max="5" width="13.6640625" customWidth="1"/>
    <col min="6" max="11" width="11.77734375" customWidth="1"/>
  </cols>
  <sheetData>
    <row r="5" spans="2:11" x14ac:dyDescent="0.3">
      <c r="B5" s="91" t="s">
        <v>315</v>
      </c>
      <c r="C5" s="91"/>
      <c r="D5" s="91"/>
      <c r="E5" s="91"/>
      <c r="F5" s="135">
        <f>'Data Sheet'!$K$56</f>
        <v>44651</v>
      </c>
      <c r="G5" s="134">
        <f>F5+365</f>
        <v>45016</v>
      </c>
      <c r="H5" s="134">
        <f t="shared" ref="H5:K5" si="0">G5+365</f>
        <v>45381</v>
      </c>
      <c r="I5" s="134">
        <f t="shared" si="0"/>
        <v>45746</v>
      </c>
      <c r="J5" s="134">
        <f t="shared" si="0"/>
        <v>46111</v>
      </c>
      <c r="K5" s="134">
        <f t="shared" si="0"/>
        <v>46476</v>
      </c>
    </row>
    <row r="7" spans="2:11" x14ac:dyDescent="0.3">
      <c r="B7" s="107" t="s">
        <v>293</v>
      </c>
      <c r="C7" s="107"/>
      <c r="D7" s="107"/>
      <c r="E7" s="107"/>
      <c r="F7" s="137">
        <f>'Data Sheet'!K34-'Data Sheet'!K26</f>
        <v>3556.9000000000005</v>
      </c>
      <c r="G7" s="137">
        <f>F7*(1+$E$17)</f>
        <v>3872.4363383308228</v>
      </c>
      <c r="H7" s="137">
        <f>G7*(1+$E$17)</f>
        <v>4215.964236954941</v>
      </c>
      <c r="I7" s="137">
        <f>H7*(1+$E$17)</f>
        <v>4589.9668566132004</v>
      </c>
      <c r="J7" s="137">
        <f>I7*(1+$E$17)</f>
        <v>4997.1476418462862</v>
      </c>
      <c r="K7" s="137">
        <f>J7*(1+$E$17)</f>
        <v>5440.4498626021923</v>
      </c>
    </row>
    <row r="8" spans="2:11" x14ac:dyDescent="0.3">
      <c r="B8" s="107" t="s">
        <v>183</v>
      </c>
      <c r="C8" s="107"/>
      <c r="D8" s="107"/>
      <c r="E8" s="107"/>
      <c r="F8" s="138">
        <v>0.25</v>
      </c>
      <c r="G8" s="138">
        <v>0.25</v>
      </c>
      <c r="H8" s="138">
        <v>0.25</v>
      </c>
      <c r="I8" s="138">
        <v>0.25</v>
      </c>
      <c r="J8" s="138">
        <v>0.25</v>
      </c>
      <c r="K8" s="138">
        <v>0.25</v>
      </c>
    </row>
    <row r="9" spans="2:11" x14ac:dyDescent="0.3">
      <c r="B9" s="107" t="s">
        <v>310</v>
      </c>
      <c r="C9" s="107"/>
      <c r="D9" s="107"/>
      <c r="E9" s="107"/>
      <c r="F9" s="137">
        <f t="shared" ref="F9:K9" si="1">F7*(1-F8)</f>
        <v>2667.6750000000002</v>
      </c>
      <c r="G9" s="137">
        <f t="shared" si="1"/>
        <v>2904.3272537481171</v>
      </c>
      <c r="H9" s="137">
        <f t="shared" si="1"/>
        <v>3161.973177716206</v>
      </c>
      <c r="I9" s="137">
        <f t="shared" si="1"/>
        <v>3442.4751424599003</v>
      </c>
      <c r="J9" s="137">
        <f t="shared" si="1"/>
        <v>3747.8607313847147</v>
      </c>
      <c r="K9" s="137">
        <f t="shared" si="1"/>
        <v>4080.3373969516442</v>
      </c>
    </row>
    <row r="10" spans="2:11" x14ac:dyDescent="0.3">
      <c r="B10" s="107" t="s">
        <v>309</v>
      </c>
      <c r="C10" s="107"/>
      <c r="D10" s="107"/>
      <c r="E10" s="107"/>
      <c r="F10" s="119">
        <f>'Instrisic Growth'!J56</f>
        <v>0.58701846630502641</v>
      </c>
      <c r="G10" s="119">
        <f>F$10+(($K$10-$F$10)/4)</f>
        <v>0.59476384972876983</v>
      </c>
      <c r="H10" s="119">
        <f t="shared" ref="H10:J10" si="2">G$10+(($K$10-$F$10)/4)</f>
        <v>0.60250923315251326</v>
      </c>
      <c r="I10" s="119">
        <f t="shared" si="2"/>
        <v>0.61025461657625668</v>
      </c>
      <c r="J10" s="119">
        <f t="shared" si="2"/>
        <v>0.6180000000000001</v>
      </c>
      <c r="K10" s="138">
        <v>0.61799999999999999</v>
      </c>
    </row>
    <row r="11" spans="2:11" x14ac:dyDescent="0.3">
      <c r="B11" s="139" t="s">
        <v>316</v>
      </c>
      <c r="C11" s="139"/>
      <c r="D11" s="139"/>
      <c r="E11" s="139"/>
      <c r="F11" s="140">
        <f>F9*(1-F10)</f>
        <v>1101.7005128997387</v>
      </c>
      <c r="G11" s="140">
        <f t="shared" ref="G11:K11" si="3">G9*(1-G10)</f>
        <v>1176.9383954367013</v>
      </c>
      <c r="H11" s="140">
        <f t="shared" si="3"/>
        <v>1256.8551431615992</v>
      </c>
      <c r="I11" s="140">
        <f t="shared" si="3"/>
        <v>1341.6887943247393</v>
      </c>
      <c r="J11" s="140">
        <f t="shared" si="3"/>
        <v>1431.6827993889606</v>
      </c>
      <c r="K11" s="140">
        <f t="shared" si="3"/>
        <v>1558.6888856355281</v>
      </c>
    </row>
    <row r="12" spans="2:11" x14ac:dyDescent="0.3">
      <c r="B12" s="107" t="s">
        <v>317</v>
      </c>
      <c r="C12" s="107"/>
      <c r="D12" s="107"/>
      <c r="E12" s="107"/>
      <c r="F12" s="107"/>
      <c r="G12" s="141">
        <v>0.5</v>
      </c>
      <c r="H12" s="141">
        <f>G12+1</f>
        <v>1.5</v>
      </c>
      <c r="I12" s="141">
        <f t="shared" ref="I12:K12" si="4">H12+1</f>
        <v>2.5</v>
      </c>
      <c r="J12" s="141">
        <f t="shared" si="4"/>
        <v>3.5</v>
      </c>
      <c r="K12" s="141">
        <f t="shared" si="4"/>
        <v>4.5</v>
      </c>
    </row>
    <row r="13" spans="2:11" x14ac:dyDescent="0.3">
      <c r="B13" s="107" t="s">
        <v>318</v>
      </c>
      <c r="C13" s="107"/>
      <c r="D13" s="107"/>
      <c r="E13" s="107"/>
      <c r="F13" s="107"/>
      <c r="G13" s="142">
        <f>1/(1+$E$19)^G12</f>
        <v>0.94881213349448279</v>
      </c>
      <c r="H13" s="142">
        <f t="shared" ref="H13:K13" si="5">1/(1+$E$19)^H12</f>
        <v>0.85416287118668</v>
      </c>
      <c r="I13" s="142">
        <f t="shared" si="5"/>
        <v>0.768955396709327</v>
      </c>
      <c r="J13" s="142">
        <f t="shared" si="5"/>
        <v>0.69224783946289048</v>
      </c>
      <c r="K13" s="142">
        <f t="shared" si="5"/>
        <v>0.62319228565370877</v>
      </c>
    </row>
    <row r="14" spans="2:11" ht="4.2" customHeight="1" x14ac:dyDescent="0.3"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2:11" ht="15" thickBot="1" x14ac:dyDescent="0.35">
      <c r="B15" s="99" t="s">
        <v>319</v>
      </c>
      <c r="C15" s="99"/>
      <c r="D15" s="99"/>
      <c r="E15" s="99"/>
      <c r="F15" s="99"/>
      <c r="G15" s="143">
        <f>G11*G13</f>
        <v>1116.6934299658699</v>
      </c>
      <c r="H15" s="143">
        <f t="shared" ref="H15:K15" si="6">H11*H13</f>
        <v>1073.5589977486572</v>
      </c>
      <c r="I15" s="143">
        <f t="shared" si="6"/>
        <v>1031.6988391004386</v>
      </c>
      <c r="J15" s="143">
        <f t="shared" si="6"/>
        <v>991.07932467319085</v>
      </c>
      <c r="K15" s="143">
        <f t="shared" si="6"/>
        <v>971.36288926223699</v>
      </c>
    </row>
    <row r="16" spans="2:11" ht="15" thickTop="1" x14ac:dyDescent="0.3"/>
    <row r="17" spans="2:5" x14ac:dyDescent="0.3">
      <c r="B17" s="136" t="s">
        <v>320</v>
      </c>
      <c r="C17" s="136"/>
      <c r="D17" s="136"/>
      <c r="E17" s="60">
        <f>'Instrisic Growth'!J66</f>
        <v>8.8711051289275047E-2</v>
      </c>
    </row>
    <row r="18" spans="2:5" x14ac:dyDescent="0.3">
      <c r="B18" s="136" t="s">
        <v>321</v>
      </c>
      <c r="C18" s="136"/>
      <c r="D18" s="136"/>
      <c r="E18" s="60">
        <v>5.3800000000000001E-2</v>
      </c>
    </row>
    <row r="19" spans="2:5" x14ac:dyDescent="0.3">
      <c r="B19" s="136" t="s">
        <v>253</v>
      </c>
      <c r="C19" s="136"/>
      <c r="D19" s="136"/>
      <c r="E19" s="60">
        <f>WAAC!K45</f>
        <v>0.11080938483817183</v>
      </c>
    </row>
    <row r="22" spans="2:5" x14ac:dyDescent="0.3">
      <c r="B22" s="91" t="s">
        <v>322</v>
      </c>
      <c r="C22" s="91"/>
      <c r="D22" s="91"/>
      <c r="E22" s="91"/>
    </row>
    <row r="24" spans="2:5" x14ac:dyDescent="0.3">
      <c r="B24" t="s">
        <v>323</v>
      </c>
      <c r="E24" s="15">
        <f>K11*(1+E17)</f>
        <v>1696.9618153131644</v>
      </c>
    </row>
    <row r="25" spans="2:5" x14ac:dyDescent="0.3">
      <c r="B25" t="s">
        <v>324</v>
      </c>
      <c r="E25" s="14">
        <f>E19</f>
        <v>0.11080938483817183</v>
      </c>
    </row>
    <row r="26" spans="2:5" x14ac:dyDescent="0.3">
      <c r="B26" t="s">
        <v>325</v>
      </c>
      <c r="E26" s="14">
        <f>E18</f>
        <v>5.3800000000000001E-2</v>
      </c>
    </row>
    <row r="27" spans="2:5" ht="3.6" customHeight="1" x14ac:dyDescent="0.3"/>
    <row r="28" spans="2:5" ht="15" thickBot="1" x14ac:dyDescent="0.35">
      <c r="B28" s="99" t="s">
        <v>326</v>
      </c>
      <c r="C28" s="99"/>
      <c r="D28" s="99"/>
      <c r="E28" s="143">
        <f>E24/(E25-E26)</f>
        <v>29766.358997386127</v>
      </c>
    </row>
    <row r="29" spans="2:5" ht="15" thickTop="1" x14ac:dyDescent="0.3"/>
    <row r="31" spans="2:5" x14ac:dyDescent="0.3">
      <c r="B31" s="91" t="s">
        <v>331</v>
      </c>
      <c r="C31" s="91"/>
      <c r="D31" s="91"/>
      <c r="E31" s="91"/>
    </row>
    <row r="33" spans="2:5" x14ac:dyDescent="0.3">
      <c r="B33" t="s">
        <v>319</v>
      </c>
      <c r="E33" s="15">
        <f>SUM(G15:K15)</f>
        <v>5184.3934807503938</v>
      </c>
    </row>
    <row r="34" spans="2:5" x14ac:dyDescent="0.3">
      <c r="B34" t="s">
        <v>327</v>
      </c>
      <c r="E34" s="15">
        <f>E28*K13</f>
        <v>18550.165299169901</v>
      </c>
    </row>
    <row r="35" spans="2:5" x14ac:dyDescent="0.3">
      <c r="B35" s="10" t="s">
        <v>328</v>
      </c>
      <c r="C35" s="10"/>
      <c r="D35" s="10"/>
      <c r="E35" s="103">
        <f>SUM(E33:E34)</f>
        <v>23734.558779920295</v>
      </c>
    </row>
    <row r="37" spans="2:5" x14ac:dyDescent="0.3">
      <c r="B37" t="s">
        <v>329</v>
      </c>
      <c r="E37">
        <f>'Data Sheet'!K69</f>
        <v>1928.48</v>
      </c>
    </row>
    <row r="38" spans="2:5" x14ac:dyDescent="0.3">
      <c r="B38" t="s">
        <v>330</v>
      </c>
      <c r="E38">
        <f>SUM('Raw FS'!N7:N8)</f>
        <v>824</v>
      </c>
    </row>
    <row r="39" spans="2:5" x14ac:dyDescent="0.3">
      <c r="B39" s="10" t="s">
        <v>332</v>
      </c>
      <c r="C39" s="10"/>
      <c r="D39" s="10"/>
      <c r="E39" s="103">
        <f>E35+E37-E38</f>
        <v>24839.038779920294</v>
      </c>
    </row>
    <row r="40" spans="2:5" x14ac:dyDescent="0.3">
      <c r="B40" t="s">
        <v>333</v>
      </c>
      <c r="E40" s="15">
        <f>'Data Sheet'!B6</f>
        <v>80.715064155064169</v>
      </c>
    </row>
    <row r="41" spans="2:5" ht="3" customHeight="1" x14ac:dyDescent="0.3"/>
    <row r="42" spans="2:5" ht="15" thickBot="1" x14ac:dyDescent="0.35">
      <c r="B42" s="99" t="s">
        <v>334</v>
      </c>
      <c r="C42" s="99"/>
      <c r="D42" s="99"/>
      <c r="E42" s="143">
        <f>E39/E40</f>
        <v>307.73733552638032</v>
      </c>
    </row>
    <row r="43" spans="2:5" ht="15" thickTop="1" x14ac:dyDescent="0.3"/>
    <row r="44" spans="2:5" x14ac:dyDescent="0.3">
      <c r="B44" s="10" t="s">
        <v>335</v>
      </c>
      <c r="E44">
        <v>907</v>
      </c>
    </row>
    <row r="45" spans="2:5" x14ac:dyDescent="0.3">
      <c r="B45" t="s">
        <v>336</v>
      </c>
      <c r="E45" s="144">
        <f>E44/E42</f>
        <v>2.9473186880252586</v>
      </c>
    </row>
  </sheetData>
  <pageMargins left="0.70866141732283472" right="0.70866141732283472" top="0.74803149606299213" bottom="0.74803149606299213" header="0.31496062992125984" footer="0.31496062992125984"/>
  <pageSetup paperSize="9" scale="78" orientation="landscape" r:id="rId1"/>
  <ignoredErrors>
    <ignoredError sqref="E38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8B0B-0420-4B0F-897F-5653BE623154}">
  <sheetPr>
    <pageSetUpPr fitToPage="1"/>
  </sheetPr>
  <dimension ref="B3:P37"/>
  <sheetViews>
    <sheetView showGridLines="0" tabSelected="1" topLeftCell="A14" zoomScale="69" zoomScaleNormal="69" workbookViewId="0">
      <selection activeCell="E34" sqref="E34"/>
    </sheetView>
  </sheetViews>
  <sheetFormatPr defaultRowHeight="14.4" x14ac:dyDescent="0.3"/>
  <cols>
    <col min="1" max="1" width="1.88671875" customWidth="1"/>
    <col min="2" max="2" width="28.77734375" bestFit="1" customWidth="1"/>
    <col min="3" max="3" width="9.88671875" customWidth="1"/>
    <col min="4" max="4" width="11.6640625" customWidth="1"/>
    <col min="5" max="5" width="13.44140625" customWidth="1"/>
    <col min="6" max="6" width="9.6640625" bestFit="1" customWidth="1"/>
    <col min="7" max="7" width="10.109375" customWidth="1"/>
    <col min="8" max="8" width="11.109375" customWidth="1"/>
    <col min="9" max="9" width="1.88671875" customWidth="1"/>
    <col min="10" max="10" width="9" bestFit="1" customWidth="1"/>
    <col min="11" max="11" width="9.109375" bestFit="1" customWidth="1"/>
    <col min="12" max="12" width="10.5546875" bestFit="1" customWidth="1"/>
    <col min="13" max="13" width="1.88671875" customWidth="1"/>
    <col min="14" max="16" width="12.5546875" bestFit="1" customWidth="1"/>
  </cols>
  <sheetData>
    <row r="3" spans="2:16" x14ac:dyDescent="0.3">
      <c r="B3" s="16" t="s">
        <v>363</v>
      </c>
    </row>
    <row r="4" spans="2:16" x14ac:dyDescent="0.3">
      <c r="B4" s="159" t="s">
        <v>337</v>
      </c>
      <c r="C4" s="46"/>
      <c r="D4" s="46"/>
      <c r="E4" s="46"/>
      <c r="F4" s="46"/>
      <c r="G4" s="46"/>
      <c r="H4" s="46"/>
      <c r="I4" s="46"/>
      <c r="J4" s="46"/>
      <c r="K4" s="46"/>
    </row>
    <row r="5" spans="2:16" ht="4.2" customHeight="1" x14ac:dyDescent="0.3"/>
    <row r="6" spans="2:16" x14ac:dyDescent="0.3">
      <c r="B6" s="116"/>
      <c r="C6" s="116"/>
      <c r="D6" s="171" t="s">
        <v>344</v>
      </c>
      <c r="E6" s="172"/>
      <c r="F6" s="172"/>
      <c r="G6" s="172"/>
      <c r="H6" s="172"/>
      <c r="I6" s="116"/>
      <c r="J6" s="171" t="s">
        <v>346</v>
      </c>
      <c r="K6" s="171"/>
      <c r="L6" s="171"/>
      <c r="M6" s="128"/>
      <c r="N6" s="171" t="s">
        <v>350</v>
      </c>
      <c r="O6" s="171"/>
      <c r="P6" s="171"/>
    </row>
    <row r="7" spans="2:16" ht="28.8" x14ac:dyDescent="0.3">
      <c r="B7" s="91" t="s">
        <v>338</v>
      </c>
      <c r="C7" s="91" t="s">
        <v>339</v>
      </c>
      <c r="D7" s="145" t="s">
        <v>335</v>
      </c>
      <c r="E7" s="145" t="s">
        <v>340</v>
      </c>
      <c r="F7" s="145" t="s">
        <v>341</v>
      </c>
      <c r="G7" s="145" t="s">
        <v>342</v>
      </c>
      <c r="H7" s="145" t="s">
        <v>343</v>
      </c>
      <c r="I7" s="116"/>
      <c r="J7" s="91" t="s">
        <v>345</v>
      </c>
      <c r="K7" s="91" t="s">
        <v>66</v>
      </c>
      <c r="L7" s="91" t="s">
        <v>347</v>
      </c>
      <c r="M7" s="116"/>
      <c r="N7" s="147" t="s">
        <v>351</v>
      </c>
      <c r="O7" s="147" t="s">
        <v>352</v>
      </c>
      <c r="P7" s="147" t="s">
        <v>353</v>
      </c>
    </row>
    <row r="9" spans="2:16" x14ac:dyDescent="0.3">
      <c r="B9" s="157" t="str">
        <f>'RV Data'!C3</f>
        <v>Cipla</v>
      </c>
      <c r="C9" s="149"/>
      <c r="D9" s="149">
        <f>'RV Data'!D3</f>
        <v>908.5</v>
      </c>
      <c r="E9" s="149">
        <f>'RV Data'!E3</f>
        <v>80.72</v>
      </c>
      <c r="F9" s="149">
        <f>D9*E9</f>
        <v>73334.12</v>
      </c>
      <c r="G9" s="149">
        <f>-('RV Data'!G3)</f>
        <v>-1067.6600000000001</v>
      </c>
      <c r="H9" s="149">
        <f>SUM(F9:G9)</f>
        <v>72266.459999999992</v>
      </c>
      <c r="I9" s="149"/>
      <c r="J9" s="149">
        <f>'RV Data'!J3</f>
        <v>22274.15</v>
      </c>
      <c r="K9" s="149">
        <f>'RV Data'!K3</f>
        <v>4900.3130000000001</v>
      </c>
      <c r="L9" s="149">
        <f>'RV Data'!L3</f>
        <v>2682.08</v>
      </c>
      <c r="M9" s="149"/>
      <c r="N9" s="149">
        <f>$F9/J9</f>
        <v>3.2923420197852664</v>
      </c>
      <c r="O9" s="149">
        <f>$F9/K9</f>
        <v>14.965190999023939</v>
      </c>
      <c r="P9" s="149">
        <f t="shared" ref="P9:P18" si="0">F9/L9</f>
        <v>27.342256755950604</v>
      </c>
    </row>
    <row r="10" spans="2:16" x14ac:dyDescent="0.3">
      <c r="B10" s="152" t="str">
        <f>'RV Data'!C4</f>
        <v>Sun Pharma.Inds.</v>
      </c>
      <c r="C10" s="152"/>
      <c r="D10" s="152">
        <f>'RV Data'!D4</f>
        <v>994.1</v>
      </c>
      <c r="E10" s="152">
        <f>'RV Data'!E4</f>
        <v>239.93</v>
      </c>
      <c r="F10" s="152">
        <f t="shared" ref="F10:F18" si="1">D10*E10</f>
        <v>238514.413</v>
      </c>
      <c r="G10" s="152">
        <f>-('RV Data'!G4)</f>
        <v>-4365.53</v>
      </c>
      <c r="H10" s="152">
        <f t="shared" ref="H10:H18" si="2">SUM(F10:G10)</f>
        <v>234148.883</v>
      </c>
      <c r="I10" s="152"/>
      <c r="J10" s="152">
        <f>'RV Data'!J4</f>
        <v>42401.77</v>
      </c>
      <c r="K10" s="152">
        <f>'RV Data'!K4</f>
        <v>11448.4779</v>
      </c>
      <c r="L10" s="152">
        <f>'RV Data'!L4</f>
        <v>4302.66</v>
      </c>
      <c r="M10" s="152"/>
      <c r="N10" s="152">
        <f t="shared" ref="N10:N18" si="3">$F10/J10</f>
        <v>5.6251051076405538</v>
      </c>
      <c r="O10" s="152">
        <f t="shared" ref="O10:O18" si="4">$F10/K10</f>
        <v>20.833722620890939</v>
      </c>
      <c r="P10" s="152">
        <f t="shared" si="0"/>
        <v>55.434176300242179</v>
      </c>
    </row>
    <row r="11" spans="2:16" x14ac:dyDescent="0.3">
      <c r="B11" s="152" t="str">
        <f>'RV Data'!C5</f>
        <v>Divi's Lab.</v>
      </c>
      <c r="C11" s="152"/>
      <c r="D11" s="152">
        <f>'RV Data'!D5</f>
        <v>3175.4</v>
      </c>
      <c r="E11" s="152">
        <f>'RV Data'!E5</f>
        <v>26.55</v>
      </c>
      <c r="F11" s="152">
        <f t="shared" si="1"/>
        <v>84306.87000000001</v>
      </c>
      <c r="G11" s="152">
        <f>-('RV Data'!G5)</f>
        <v>-3.29</v>
      </c>
      <c r="H11" s="152">
        <f t="shared" si="2"/>
        <v>84303.580000000016</v>
      </c>
      <c r="I11" s="152"/>
      <c r="J11" s="152">
        <f>'RV Data'!J5</f>
        <v>8335.18</v>
      </c>
      <c r="K11" s="152">
        <f>'RV Data'!K5</f>
        <v>3334.0720000000001</v>
      </c>
      <c r="L11" s="152">
        <f>'RV Data'!L5</f>
        <v>2397.0500000000002</v>
      </c>
      <c r="M11" s="152"/>
      <c r="N11" s="152">
        <f t="shared" si="3"/>
        <v>10.114583008405338</v>
      </c>
      <c r="O11" s="152">
        <f t="shared" si="4"/>
        <v>25.286457521013347</v>
      </c>
      <c r="P11" s="152">
        <f t="shared" si="0"/>
        <v>35.171093635927498</v>
      </c>
    </row>
    <row r="12" spans="2:16" x14ac:dyDescent="0.3">
      <c r="B12" s="152" t="str">
        <f>'RV Data'!C6</f>
        <v>Dr Reddy's Labs</v>
      </c>
      <c r="C12" s="152"/>
      <c r="D12" s="152">
        <f>'RV Data'!D6</f>
        <v>4905.75</v>
      </c>
      <c r="E12" s="152">
        <f>'RV Data'!E6</f>
        <v>16.649999999999999</v>
      </c>
      <c r="F12" s="152">
        <f t="shared" si="1"/>
        <v>81680.737499999988</v>
      </c>
      <c r="G12" s="152">
        <f>-('RV Data'!G6)</f>
        <v>-1728.9</v>
      </c>
      <c r="H12" s="152">
        <f t="shared" si="2"/>
        <v>79951.837499999994</v>
      </c>
      <c r="I12" s="152"/>
      <c r="J12" s="152">
        <f>'RV Data'!J6</f>
        <v>23829.5</v>
      </c>
      <c r="K12" s="152">
        <f>'RV Data'!K6</f>
        <v>6433.9650000000001</v>
      </c>
      <c r="L12" s="152">
        <f>'RV Data'!L6</f>
        <v>3644.1</v>
      </c>
      <c r="M12" s="152"/>
      <c r="N12" s="152">
        <f t="shared" si="3"/>
        <v>3.4277151220126307</v>
      </c>
      <c r="O12" s="152">
        <f t="shared" si="4"/>
        <v>12.695241192639374</v>
      </c>
      <c r="P12" s="152">
        <f t="shared" si="0"/>
        <v>22.41451592985922</v>
      </c>
    </row>
    <row r="13" spans="2:16" x14ac:dyDescent="0.3">
      <c r="B13" s="152" t="str">
        <f>'RV Data'!C7</f>
        <v>Torrent Pharma.</v>
      </c>
      <c r="C13" s="152"/>
      <c r="D13" s="152">
        <f>'RV Data'!D7</f>
        <v>1609.55</v>
      </c>
      <c r="E13" s="152">
        <f>'RV Data'!E7</f>
        <v>33.840000000000003</v>
      </c>
      <c r="F13" s="152">
        <f t="shared" si="1"/>
        <v>54467.172000000006</v>
      </c>
      <c r="G13" s="152">
        <f>-('RV Data'!G7)</f>
        <v>-4083</v>
      </c>
      <c r="H13" s="152">
        <f t="shared" si="2"/>
        <v>50384.172000000006</v>
      </c>
      <c r="I13" s="152"/>
      <c r="J13" s="152">
        <f>'RV Data'!J7</f>
        <v>9260</v>
      </c>
      <c r="K13" s="152">
        <f>'RV Data'!K7</f>
        <v>2778</v>
      </c>
      <c r="L13" s="152">
        <f>'RV Data'!L7</f>
        <v>831</v>
      </c>
      <c r="M13" s="152"/>
      <c r="N13" s="152">
        <f t="shared" si="3"/>
        <v>5.8819840172786186</v>
      </c>
      <c r="O13" s="152">
        <f t="shared" si="4"/>
        <v>19.606613390928729</v>
      </c>
      <c r="P13" s="152">
        <f t="shared" si="0"/>
        <v>65.544129963898925</v>
      </c>
    </row>
    <row r="14" spans="2:16" x14ac:dyDescent="0.3">
      <c r="B14" s="152" t="str">
        <f>'RV Data'!C8</f>
        <v>Zydus Lifesci.</v>
      </c>
      <c r="C14" s="152"/>
      <c r="D14" s="152">
        <f>'RV Data'!D8</f>
        <v>507.4</v>
      </c>
      <c r="E14" s="152">
        <f>'RV Data'!E8</f>
        <v>101.22</v>
      </c>
      <c r="F14" s="152">
        <f t="shared" si="1"/>
        <v>51359.027999999998</v>
      </c>
      <c r="G14" s="152">
        <f>-('RV Data'!G8)</f>
        <v>-2446</v>
      </c>
      <c r="H14" s="152">
        <f t="shared" si="2"/>
        <v>48913.027999999998</v>
      </c>
      <c r="I14" s="152"/>
      <c r="J14" s="152">
        <f>'RV Data'!J8</f>
        <v>16433.5</v>
      </c>
      <c r="K14" s="152">
        <f>'RV Data'!K8</f>
        <v>3615.37</v>
      </c>
      <c r="L14" s="152">
        <f>'RV Data'!L8</f>
        <v>2187</v>
      </c>
      <c r="M14" s="152"/>
      <c r="N14" s="152">
        <f t="shared" si="3"/>
        <v>3.1252641251102928</v>
      </c>
      <c r="O14" s="152">
        <f t="shared" si="4"/>
        <v>14.205746023228604</v>
      </c>
      <c r="P14" s="152">
        <f t="shared" si="0"/>
        <v>23.483780521262002</v>
      </c>
    </row>
    <row r="15" spans="2:16" x14ac:dyDescent="0.3">
      <c r="B15" s="152" t="str">
        <f>'RV Data'!C9</f>
        <v>Abbott India</v>
      </c>
      <c r="C15" s="152"/>
      <c r="D15" s="152">
        <f>'RV Data'!D9</f>
        <v>22524.85</v>
      </c>
      <c r="E15" s="152">
        <f>'RV Data'!E9</f>
        <v>2.12</v>
      </c>
      <c r="F15" s="152">
        <f t="shared" si="1"/>
        <v>47752.682000000001</v>
      </c>
      <c r="G15" s="152">
        <f>-('RV Data'!G9)</f>
        <v>-128.86000000000001</v>
      </c>
      <c r="H15" s="152">
        <f t="shared" si="2"/>
        <v>47623.822</v>
      </c>
      <c r="I15" s="152"/>
      <c r="J15" s="152">
        <f>'RV Data'!J9</f>
        <v>5265.35</v>
      </c>
      <c r="K15" s="152">
        <f>'RV Data'!K9</f>
        <v>1368.9910000000002</v>
      </c>
      <c r="L15" s="152">
        <f>'RV Data'!L9</f>
        <v>929.4</v>
      </c>
      <c r="M15" s="152"/>
      <c r="N15" s="152">
        <f t="shared" si="3"/>
        <v>9.0692322447700526</v>
      </c>
      <c r="O15" s="152">
        <f t="shared" si="4"/>
        <v>34.881662479884817</v>
      </c>
      <c r="P15" s="152">
        <f t="shared" si="0"/>
        <v>51.380118355928559</v>
      </c>
    </row>
    <row r="16" spans="2:16" x14ac:dyDescent="0.3">
      <c r="B16" s="152" t="str">
        <f>'RV Data'!C10</f>
        <v>Alkem Lab</v>
      </c>
      <c r="C16" s="152"/>
      <c r="D16" s="152">
        <f>'RV Data'!D10</f>
        <v>3376.4</v>
      </c>
      <c r="E16" s="152">
        <f>'RV Data'!E10</f>
        <v>11.96</v>
      </c>
      <c r="F16" s="152">
        <f t="shared" si="1"/>
        <v>40381.744000000006</v>
      </c>
      <c r="G16" s="152">
        <f>-('RV Data'!G10)</f>
        <v>-1854.59</v>
      </c>
      <c r="H16" s="152">
        <f t="shared" si="2"/>
        <v>38527.15400000001</v>
      </c>
      <c r="I16" s="152"/>
      <c r="J16" s="152">
        <f>'RV Data'!J10</f>
        <v>11180.52</v>
      </c>
      <c r="K16" s="152">
        <f>'RV Data'!K10</f>
        <v>1788.8832000000002</v>
      </c>
      <c r="L16" s="152">
        <f>'RV Data'!L10</f>
        <v>1047.3399999999999</v>
      </c>
      <c r="M16" s="152"/>
      <c r="N16" s="152">
        <f t="shared" si="3"/>
        <v>3.6117948002418494</v>
      </c>
      <c r="O16" s="152">
        <f t="shared" si="4"/>
        <v>22.57371750151156</v>
      </c>
      <c r="P16" s="152">
        <f t="shared" si="0"/>
        <v>38.556480226096596</v>
      </c>
    </row>
    <row r="17" spans="2:16" x14ac:dyDescent="0.3">
      <c r="B17" s="152" t="str">
        <f>'RV Data'!C11</f>
        <v>Aurobindo Pharma</v>
      </c>
      <c r="C17" s="152"/>
      <c r="D17" s="152">
        <f>'RV Data'!D11</f>
        <v>571.25</v>
      </c>
      <c r="E17" s="152">
        <f>'RV Data'!E11</f>
        <v>58.59</v>
      </c>
      <c r="F17" s="152">
        <f t="shared" si="1"/>
        <v>33469.537499999999</v>
      </c>
      <c r="G17" s="152">
        <f>-('RV Data'!G11)</f>
        <v>-4501.21</v>
      </c>
      <c r="H17" s="152">
        <f t="shared" si="2"/>
        <v>28968.327499999999</v>
      </c>
      <c r="I17" s="152"/>
      <c r="J17" s="152">
        <f>'RV Data'!J11</f>
        <v>24191.79</v>
      </c>
      <c r="K17" s="152">
        <f>'RV Data'!K11</f>
        <v>3870.6864</v>
      </c>
      <c r="L17" s="152">
        <f>'RV Data'!L11</f>
        <v>1997.9</v>
      </c>
      <c r="M17" s="152"/>
      <c r="N17" s="152">
        <f t="shared" si="3"/>
        <v>1.3835081033689527</v>
      </c>
      <c r="O17" s="152">
        <f t="shared" si="4"/>
        <v>8.6469256460559549</v>
      </c>
      <c r="P17" s="152">
        <f t="shared" si="0"/>
        <v>16.752358726662994</v>
      </c>
    </row>
    <row r="18" spans="2:16" x14ac:dyDescent="0.3">
      <c r="B18" s="152" t="str">
        <f>'RV Data'!C12</f>
        <v>Lupin</v>
      </c>
      <c r="C18" s="152"/>
      <c r="D18" s="152">
        <f>'RV Data'!D12</f>
        <v>684.3</v>
      </c>
      <c r="E18" s="152">
        <f>'RV Data'!E12</f>
        <v>45.5</v>
      </c>
      <c r="F18" s="152">
        <f t="shared" si="1"/>
        <v>31135.649999999998</v>
      </c>
      <c r="G18" s="152">
        <f>-('RV Data'!G12)</f>
        <v>-4388.95</v>
      </c>
      <c r="H18" s="152">
        <f t="shared" si="2"/>
        <v>26746.699999999997</v>
      </c>
      <c r="I18" s="152"/>
      <c r="J18" s="152">
        <f>'RV Data'!J12</f>
        <v>16094.61</v>
      </c>
      <c r="K18" s="152">
        <f>'RV Data'!K12</f>
        <v>1609.4610000000002</v>
      </c>
      <c r="L18" s="152">
        <f>'RV Data'!L12</f>
        <v>-306.43</v>
      </c>
      <c r="M18" s="152"/>
      <c r="N18" s="152">
        <f t="shared" si="3"/>
        <v>1.9345389543455851</v>
      </c>
      <c r="O18" s="152">
        <f t="shared" si="4"/>
        <v>19.345389543455848</v>
      </c>
      <c r="P18" s="152">
        <f t="shared" si="0"/>
        <v>-101.60770812257284</v>
      </c>
    </row>
    <row r="19" spans="2:16" ht="4.8" customHeight="1" x14ac:dyDescent="0.3"/>
    <row r="21" spans="2:16" x14ac:dyDescent="0.3">
      <c r="B21" s="155" t="s">
        <v>354</v>
      </c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6">
        <f>MAX(N9:N18)</f>
        <v>10.114583008405338</v>
      </c>
      <c r="O21" s="156">
        <f t="shared" ref="O21:P21" si="5">MAX(O9:O18)</f>
        <v>34.881662479884817</v>
      </c>
      <c r="P21" s="156">
        <f t="shared" si="5"/>
        <v>65.544129963898925</v>
      </c>
    </row>
    <row r="22" spans="2:16" x14ac:dyDescent="0.3">
      <c r="B22" s="155" t="s">
        <v>355</v>
      </c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6">
        <f>QUARTILE(N9:N18,3)</f>
        <v>5.8177642898691024</v>
      </c>
      <c r="O22" s="156">
        <f t="shared" ref="O22:P22" si="6">QUARTILE(O9:O18,3)</f>
        <v>22.138718781356403</v>
      </c>
      <c r="P22" s="156">
        <f t="shared" si="6"/>
        <v>48.174208823470565</v>
      </c>
    </row>
    <row r="23" spans="2:16" x14ac:dyDescent="0.3">
      <c r="B23" s="148" t="s">
        <v>180</v>
      </c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50">
        <f>AVERAGE(N9:N18)</f>
        <v>4.7466067502959133</v>
      </c>
      <c r="O23" s="150">
        <f t="shared" ref="O23:P23" si="7">AVERAGE(O9:O18)</f>
        <v>19.304066691863312</v>
      </c>
      <c r="P23" s="150">
        <f t="shared" si="7"/>
        <v>23.44712022932557</v>
      </c>
    </row>
    <row r="24" spans="2:16" x14ac:dyDescent="0.3">
      <c r="B24" s="148" t="s">
        <v>142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50">
        <f>MEDIAN(N9:N18)</f>
        <v>3.5197549611272398</v>
      </c>
      <c r="O24" s="150">
        <f t="shared" ref="O24:P24" si="8">MEDIAN(O9:O18)</f>
        <v>19.47600146719229</v>
      </c>
      <c r="P24" s="150">
        <f t="shared" si="8"/>
        <v>31.256675195939053</v>
      </c>
    </row>
    <row r="25" spans="2:16" x14ac:dyDescent="0.3">
      <c r="B25" s="155" t="s">
        <v>356</v>
      </c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6">
        <f>QUARTILE(N12:N21,1)</f>
        <v>2.8275828324191159</v>
      </c>
      <c r="O25" s="156">
        <f t="shared" ref="O25:P25" si="9">QUARTILE(O12:O21,1)</f>
        <v>13.828119815581296</v>
      </c>
      <c r="P25" s="156">
        <f t="shared" si="9"/>
        <v>20.998976629060163</v>
      </c>
    </row>
    <row r="26" spans="2:16" x14ac:dyDescent="0.3">
      <c r="B26" s="155" t="s">
        <v>357</v>
      </c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6">
        <f>MIN(N9:N18)</f>
        <v>1.3835081033689527</v>
      </c>
      <c r="O26" s="156">
        <f t="shared" ref="O26:P26" si="10">MIN(O9:O18)</f>
        <v>8.6469256460559549</v>
      </c>
      <c r="P26" s="156">
        <f t="shared" si="10"/>
        <v>-101.60770812257284</v>
      </c>
    </row>
    <row r="27" spans="2:16" x14ac:dyDescent="0.3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</row>
    <row r="28" spans="2:16" x14ac:dyDescent="0.3">
      <c r="B28" s="153" t="s">
        <v>358</v>
      </c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47" t="s">
        <v>351</v>
      </c>
      <c r="O28" s="147" t="s">
        <v>352</v>
      </c>
      <c r="P28" s="147" t="s">
        <v>353</v>
      </c>
    </row>
    <row r="30" spans="2:16" x14ac:dyDescent="0.3">
      <c r="B30" s="107" t="s">
        <v>359</v>
      </c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20">
        <f>N$24*J9</f>
        <v>78399.549967392319</v>
      </c>
      <c r="O30" s="120">
        <f>O$24*K9</f>
        <v>95438.503177701452</v>
      </c>
      <c r="P30" s="120">
        <f>P32+P31</f>
        <v>82765.243409524206</v>
      </c>
    </row>
    <row r="31" spans="2:16" x14ac:dyDescent="0.3">
      <c r="B31" s="107" t="s">
        <v>342</v>
      </c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51">
        <f>$G$9</f>
        <v>-1067.6600000000001</v>
      </c>
      <c r="O31" s="151">
        <f t="shared" ref="O31:P31" si="11">$G$9</f>
        <v>-1067.6600000000001</v>
      </c>
      <c r="P31" s="151">
        <f t="shared" si="11"/>
        <v>-1067.6600000000001</v>
      </c>
    </row>
    <row r="32" spans="2:16" x14ac:dyDescent="0.3">
      <c r="B32" s="107" t="s">
        <v>360</v>
      </c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51">
        <f>N30-N31</f>
        <v>79467.209967392322</v>
      </c>
      <c r="O32" s="151">
        <f t="shared" ref="O32" si="12">O30-O31</f>
        <v>96506.163177701455</v>
      </c>
      <c r="P32" s="151">
        <f>P24*L9</f>
        <v>83832.90340952421</v>
      </c>
    </row>
    <row r="33" spans="2:16" x14ac:dyDescent="0.3">
      <c r="B33" s="107" t="s">
        <v>361</v>
      </c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52">
        <f>$E$9</f>
        <v>80.72</v>
      </c>
      <c r="O33" s="152">
        <f t="shared" ref="O33:P33" si="13">$E$9</f>
        <v>80.72</v>
      </c>
      <c r="P33" s="152">
        <f t="shared" si="13"/>
        <v>80.72</v>
      </c>
    </row>
    <row r="34" spans="2:16" x14ac:dyDescent="0.3">
      <c r="B34" s="52" t="s">
        <v>362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154">
        <f>N32/N33</f>
        <v>984.47980633538555</v>
      </c>
      <c r="O34" s="154">
        <f t="shared" ref="O34:P34" si="14">O32/O33</f>
        <v>1195.5669372856969</v>
      </c>
      <c r="P34" s="154">
        <f t="shared" si="14"/>
        <v>1038.5642146868709</v>
      </c>
    </row>
    <row r="35" spans="2:16" ht="4.8" customHeight="1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69"/>
      <c r="O35" s="69"/>
      <c r="P35" s="69"/>
    </row>
    <row r="36" spans="2:16" x14ac:dyDescent="0.3">
      <c r="B36" s="96"/>
    </row>
    <row r="37" spans="2:16" x14ac:dyDescent="0.3">
      <c r="B37" s="158"/>
      <c r="C37" s="158"/>
      <c r="N37" s="10" t="str">
        <f>IF(N34&gt;D86,"Undervalued","Overvalued")</f>
        <v>Undervalued</v>
      </c>
      <c r="O37" s="10" t="str">
        <f>IF(O34&gt;E86,"Undervalued","Overvalued")</f>
        <v>Undervalued</v>
      </c>
      <c r="P37" s="10" t="str">
        <f>IF(P34&gt;F86,"Undervalued","Overvalued")</f>
        <v>Undervalued</v>
      </c>
    </row>
  </sheetData>
  <mergeCells count="3">
    <mergeCell ref="D6:H6"/>
    <mergeCell ref="J6:L6"/>
    <mergeCell ref="N6:P6"/>
  </mergeCells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CF26-113B-48F8-B6BA-7CD8872A7CC4}">
  <sheetPr>
    <tabColor rgb="FF002060"/>
    <pageSetUpPr fitToPage="1"/>
  </sheetPr>
  <dimension ref="A1"/>
  <sheetViews>
    <sheetView showGridLines="0" tabSelected="1" zoomScale="69" zoomScaleNormal="69" workbookViewId="0">
      <selection activeCell="E34" sqref="E34"/>
    </sheetView>
  </sheetViews>
  <sheetFormatPr defaultRowHeight="14.4" x14ac:dyDescent="0.3"/>
  <sheetData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923F-34A4-4488-9E79-568A84DC056C}">
  <sheetPr>
    <pageSetUpPr fitToPage="1"/>
  </sheetPr>
  <dimension ref="B3:V114"/>
  <sheetViews>
    <sheetView showGridLines="0" tabSelected="1" topLeftCell="C1" zoomScale="69" zoomScaleNormal="69" workbookViewId="0">
      <selection activeCell="E34" sqref="E34"/>
    </sheetView>
  </sheetViews>
  <sheetFormatPr defaultRowHeight="14.4" x14ac:dyDescent="0.3"/>
  <cols>
    <col min="1" max="1" width="1.88671875" customWidth="1"/>
    <col min="2" max="2" width="11.21875" style="67" customWidth="1"/>
    <col min="3" max="3" width="11" style="68" customWidth="1"/>
    <col min="4" max="4" width="15.21875" customWidth="1"/>
    <col min="5" max="5" width="2.77734375" customWidth="1"/>
    <col min="6" max="6" width="10.33203125" bestFit="1" customWidth="1"/>
    <col min="7" max="7" width="12" style="68" bestFit="1" customWidth="1"/>
    <col min="12" max="12" width="17.44140625" bestFit="1" customWidth="1"/>
    <col min="13" max="13" width="17.44140625" style="77" customWidth="1"/>
    <col min="14" max="14" width="12" bestFit="1" customWidth="1"/>
    <col min="15" max="15" width="17.44140625" bestFit="1" customWidth="1"/>
    <col min="16" max="16" width="12.88671875" bestFit="1" customWidth="1"/>
    <col min="17" max="17" width="14.109375" bestFit="1" customWidth="1"/>
    <col min="18" max="18" width="13.44140625" bestFit="1" customWidth="1"/>
    <col min="19" max="19" width="12.88671875" bestFit="1" customWidth="1"/>
    <col min="20" max="20" width="13.44140625" bestFit="1" customWidth="1"/>
  </cols>
  <sheetData>
    <row r="3" spans="2:15" x14ac:dyDescent="0.3">
      <c r="B3" s="66" t="s">
        <v>234</v>
      </c>
    </row>
    <row r="5" spans="2:15" x14ac:dyDescent="0.3">
      <c r="B5" s="169" t="s">
        <v>235</v>
      </c>
      <c r="C5" s="169"/>
      <c r="D5" s="169"/>
      <c r="F5" s="169" t="s">
        <v>201</v>
      </c>
      <c r="G5" s="169"/>
      <c r="H5" s="169"/>
      <c r="J5" s="169" t="s">
        <v>229</v>
      </c>
      <c r="K5" s="169"/>
      <c r="L5" s="169"/>
      <c r="M5" s="78"/>
    </row>
    <row r="7" spans="2:15" x14ac:dyDescent="0.3">
      <c r="B7" s="70" t="s">
        <v>197</v>
      </c>
      <c r="C7" s="71" t="s">
        <v>198</v>
      </c>
      <c r="D7" s="56" t="s">
        <v>200</v>
      </c>
      <c r="F7" s="70" t="s">
        <v>197</v>
      </c>
      <c r="G7" s="71" t="s">
        <v>198</v>
      </c>
      <c r="H7" s="56" t="s">
        <v>200</v>
      </c>
      <c r="J7" t="s">
        <v>187</v>
      </c>
      <c r="L7" s="49">
        <f>O11</f>
        <v>0.56335167267307062</v>
      </c>
    </row>
    <row r="8" spans="2:15" x14ac:dyDescent="0.3">
      <c r="B8" s="67">
        <v>44298</v>
      </c>
      <c r="C8" s="68">
        <v>632.46691899999996</v>
      </c>
      <c r="F8" s="80">
        <v>44298</v>
      </c>
      <c r="G8" s="68">
        <v>14617.849609000001</v>
      </c>
      <c r="J8" t="s">
        <v>230</v>
      </c>
      <c r="L8" s="14">
        <v>0.75</v>
      </c>
      <c r="N8" t="s">
        <v>203</v>
      </c>
      <c r="O8" s="49">
        <f>SLOPE(D9:D113,H9:H113)</f>
        <v>0.56335167267307085</v>
      </c>
    </row>
    <row r="9" spans="2:15" x14ac:dyDescent="0.3">
      <c r="B9" s="67">
        <v>44305</v>
      </c>
      <c r="C9" s="68">
        <v>624.53723100000002</v>
      </c>
      <c r="D9" s="14">
        <f>C9/C8-1</f>
        <v>-1.2537711873591206E-2</v>
      </c>
      <c r="F9" s="72">
        <v>44305</v>
      </c>
      <c r="G9" s="68">
        <v>14341.349609000001</v>
      </c>
      <c r="H9" s="14">
        <f>G9/G8-1</f>
        <v>-1.8915230857879606E-2</v>
      </c>
      <c r="N9" t="s">
        <v>202</v>
      </c>
      <c r="O9" s="49">
        <f>_xlfn.COVARIANCE.S(D8:D113,H8:H113)/_xlfn.VAR.S(H8:H113)</f>
        <v>0.56335167267307062</v>
      </c>
    </row>
    <row r="10" spans="2:15" x14ac:dyDescent="0.3">
      <c r="B10" s="67">
        <v>44312</v>
      </c>
      <c r="C10" s="68">
        <v>640.69030799999996</v>
      </c>
      <c r="D10" s="14">
        <f t="shared" ref="D10:D73" si="0">C10/C9-1</f>
        <v>2.5864073746469707E-2</v>
      </c>
      <c r="F10" s="72">
        <v>44312</v>
      </c>
      <c r="G10" s="68">
        <v>14631.099609000001</v>
      </c>
      <c r="H10" s="14">
        <f t="shared" ref="H10:H73" si="1">G10/G9-1</f>
        <v>2.0203816788495699E-2</v>
      </c>
      <c r="J10" t="s">
        <v>232</v>
      </c>
      <c r="L10" s="49">
        <v>1</v>
      </c>
    </row>
    <row r="11" spans="2:15" x14ac:dyDescent="0.3">
      <c r="B11" s="67">
        <v>44319</v>
      </c>
      <c r="C11" s="68">
        <v>665.16467299999999</v>
      </c>
      <c r="D11" s="14">
        <f t="shared" si="0"/>
        <v>3.8199992561772866E-2</v>
      </c>
      <c r="F11" s="72">
        <v>44319</v>
      </c>
      <c r="G11" s="68">
        <v>14823.150390999999</v>
      </c>
      <c r="H11" s="14">
        <f t="shared" si="1"/>
        <v>1.3126202891945438E-2</v>
      </c>
      <c r="J11" t="s">
        <v>231</v>
      </c>
      <c r="L11" s="14">
        <f>1-L8</f>
        <v>0.25</v>
      </c>
      <c r="N11" s="10" t="s">
        <v>204</v>
      </c>
      <c r="O11" s="82">
        <f>O33</f>
        <v>0.56335167267307062</v>
      </c>
    </row>
    <row r="12" spans="2:15" x14ac:dyDescent="0.3">
      <c r="B12" s="67">
        <v>44326</v>
      </c>
      <c r="C12" s="68">
        <v>676.91241500000001</v>
      </c>
      <c r="D12" s="14">
        <f t="shared" si="0"/>
        <v>1.7661403975373302E-2</v>
      </c>
      <c r="F12" s="72">
        <v>44326</v>
      </c>
      <c r="G12" s="68">
        <v>14677.799805000001</v>
      </c>
      <c r="H12" s="14">
        <f t="shared" si="1"/>
        <v>-9.8056473938393784E-3</v>
      </c>
    </row>
    <row r="13" spans="2:15" ht="15" thickBot="1" x14ac:dyDescent="0.35">
      <c r="B13" s="67">
        <v>44333</v>
      </c>
      <c r="C13" s="68">
        <v>675.88445999999999</v>
      </c>
      <c r="D13" s="14">
        <f t="shared" si="0"/>
        <v>-1.518593805078905E-3</v>
      </c>
      <c r="F13" s="72">
        <v>44333</v>
      </c>
      <c r="G13" s="68">
        <v>15175.299805000001</v>
      </c>
      <c r="H13" s="14">
        <f t="shared" si="1"/>
        <v>3.3894725817865901E-2</v>
      </c>
      <c r="J13" s="79" t="s">
        <v>233</v>
      </c>
      <c r="K13" s="79"/>
      <c r="L13" s="81">
        <f>(L7*L8)+(L10*L11)</f>
        <v>0.672513754504803</v>
      </c>
      <c r="M13"/>
    </row>
    <row r="14" spans="2:15" ht="15" thickTop="1" x14ac:dyDescent="0.3">
      <c r="B14" s="67">
        <v>44340</v>
      </c>
      <c r="C14" s="68">
        <v>655.66863999999998</v>
      </c>
      <c r="D14" s="14">
        <f t="shared" si="0"/>
        <v>-2.9910171333129898E-2</v>
      </c>
      <c r="F14" s="72">
        <v>44340</v>
      </c>
      <c r="G14" s="68">
        <v>15435.650390999999</v>
      </c>
      <c r="H14" s="14">
        <f t="shared" si="1"/>
        <v>1.7156207082921426E-2</v>
      </c>
      <c r="M14"/>
    </row>
    <row r="15" spans="2:15" x14ac:dyDescent="0.3">
      <c r="B15" s="67">
        <v>44347</v>
      </c>
      <c r="C15" s="68">
        <v>659.78033400000004</v>
      </c>
      <c r="D15" s="14">
        <f t="shared" si="0"/>
        <v>6.2709938361549256E-3</v>
      </c>
      <c r="F15" s="72">
        <v>44347</v>
      </c>
      <c r="G15" s="68">
        <v>15670.25</v>
      </c>
      <c r="H15" s="14">
        <f t="shared" si="1"/>
        <v>1.5198556786229611E-2</v>
      </c>
      <c r="M15"/>
    </row>
    <row r="16" spans="2:15" x14ac:dyDescent="0.3">
      <c r="B16" s="67">
        <v>44354</v>
      </c>
      <c r="C16" s="68">
        <v>666.97576900000001</v>
      </c>
      <c r="D16" s="14">
        <f t="shared" si="0"/>
        <v>1.0905803991423602E-2</v>
      </c>
      <c r="F16" s="72">
        <v>44354</v>
      </c>
      <c r="G16" s="68">
        <v>15799.349609000001</v>
      </c>
      <c r="H16" s="14">
        <f t="shared" si="1"/>
        <v>8.2385162329892125E-3</v>
      </c>
      <c r="M16"/>
      <c r="N16" t="s">
        <v>205</v>
      </c>
    </row>
    <row r="17" spans="2:22" ht="15" thickBot="1" x14ac:dyDescent="0.35">
      <c r="B17" s="67">
        <v>44361</v>
      </c>
      <c r="C17" s="68">
        <v>654.444885</v>
      </c>
      <c r="D17" s="14">
        <f t="shared" si="0"/>
        <v>-1.8787615056522378E-2</v>
      </c>
      <c r="F17" s="72">
        <v>44361</v>
      </c>
      <c r="G17" s="68">
        <v>15683.349609000001</v>
      </c>
      <c r="H17" s="14">
        <f t="shared" si="1"/>
        <v>-7.3420743809555766E-3</v>
      </c>
      <c r="M17"/>
    </row>
    <row r="18" spans="2:22" x14ac:dyDescent="0.3">
      <c r="B18" s="67">
        <v>44368</v>
      </c>
      <c r="C18" s="68">
        <v>658.11608899999999</v>
      </c>
      <c r="D18" s="14">
        <f t="shared" si="0"/>
        <v>5.6096457992791393E-3</v>
      </c>
      <c r="F18" s="72">
        <v>44368</v>
      </c>
      <c r="G18" s="68">
        <v>15860.349609000001</v>
      </c>
      <c r="H18" s="14">
        <f t="shared" si="1"/>
        <v>1.1285854387791394E-2</v>
      </c>
      <c r="M18"/>
      <c r="N18" s="75" t="s">
        <v>206</v>
      </c>
      <c r="O18" s="75"/>
    </row>
    <row r="19" spans="2:22" x14ac:dyDescent="0.3">
      <c r="B19" s="67">
        <v>44375</v>
      </c>
      <c r="C19" s="68">
        <v>666.92681900000002</v>
      </c>
      <c r="D19" s="14">
        <f t="shared" si="0"/>
        <v>1.3387805202252245E-2</v>
      </c>
      <c r="F19" s="72">
        <v>44375</v>
      </c>
      <c r="G19" s="68">
        <v>15722.200194999999</v>
      </c>
      <c r="H19" s="14">
        <f t="shared" si="1"/>
        <v>-8.7103637313018512E-3</v>
      </c>
      <c r="M19"/>
      <c r="N19" t="s">
        <v>207</v>
      </c>
      <c r="O19">
        <v>0.37564119428571968</v>
      </c>
    </row>
    <row r="20" spans="2:22" x14ac:dyDescent="0.3">
      <c r="B20" s="67">
        <v>44382</v>
      </c>
      <c r="C20" s="68">
        <v>653.857483</v>
      </c>
      <c r="D20" s="14">
        <f t="shared" si="0"/>
        <v>-1.959635694302464E-2</v>
      </c>
      <c r="F20" s="72">
        <v>44382</v>
      </c>
      <c r="G20" s="68">
        <v>15689.799805000001</v>
      </c>
      <c r="H20" s="14">
        <f t="shared" si="1"/>
        <v>-2.0608050780515086E-3</v>
      </c>
      <c r="M20"/>
      <c r="N20" t="s">
        <v>208</v>
      </c>
      <c r="O20">
        <v>0.14110630684440181</v>
      </c>
    </row>
    <row r="21" spans="2:22" x14ac:dyDescent="0.3">
      <c r="B21" s="67">
        <v>44389</v>
      </c>
      <c r="C21" s="68">
        <v>674.12231399999996</v>
      </c>
      <c r="D21" s="14">
        <f t="shared" si="0"/>
        <v>3.0992733931898719E-2</v>
      </c>
      <c r="F21" s="72">
        <v>44389</v>
      </c>
      <c r="G21" s="68">
        <v>15923.400390999999</v>
      </c>
      <c r="H21" s="14">
        <f t="shared" si="1"/>
        <v>1.488869130921322E-2</v>
      </c>
      <c r="M21"/>
      <c r="N21" t="s">
        <v>209</v>
      </c>
      <c r="O21">
        <v>0.13276753312444453</v>
      </c>
    </row>
    <row r="22" spans="2:22" x14ac:dyDescent="0.3">
      <c r="B22" s="67">
        <v>44396</v>
      </c>
      <c r="C22" s="68">
        <v>679.40875200000005</v>
      </c>
      <c r="D22" s="14">
        <f t="shared" si="0"/>
        <v>7.8419567046108529E-3</v>
      </c>
      <c r="F22" s="72">
        <v>44396</v>
      </c>
      <c r="G22" s="68">
        <v>15856.049805000001</v>
      </c>
      <c r="H22" s="14">
        <f t="shared" si="1"/>
        <v>-4.2296610237889665E-3</v>
      </c>
      <c r="M22"/>
      <c r="N22" t="s">
        <v>210</v>
      </c>
      <c r="O22">
        <v>2.798030217558798E-2</v>
      </c>
    </row>
    <row r="23" spans="2:22" ht="15" thickBot="1" x14ac:dyDescent="0.35">
      <c r="B23" s="67">
        <v>44403</v>
      </c>
      <c r="C23" s="68">
        <v>757.67791699999998</v>
      </c>
      <c r="D23" s="14">
        <f t="shared" si="0"/>
        <v>0.11520187923631564</v>
      </c>
      <c r="F23" s="72">
        <v>44403</v>
      </c>
      <c r="G23" s="68">
        <v>15763.049805000001</v>
      </c>
      <c r="H23" s="14">
        <f t="shared" si="1"/>
        <v>-5.8652691650018518E-3</v>
      </c>
      <c r="M23"/>
      <c r="N23" s="73" t="s">
        <v>211</v>
      </c>
      <c r="O23" s="73">
        <v>105</v>
      </c>
    </row>
    <row r="24" spans="2:22" x14ac:dyDescent="0.3">
      <c r="B24" s="67">
        <v>44410</v>
      </c>
      <c r="C24" s="68">
        <v>768.691284</v>
      </c>
      <c r="D24" s="14">
        <f t="shared" si="0"/>
        <v>1.4535684296576923E-2</v>
      </c>
      <c r="F24" s="72">
        <v>44410</v>
      </c>
      <c r="G24" s="68">
        <v>16238.200194999999</v>
      </c>
      <c r="H24" s="14">
        <f t="shared" si="1"/>
        <v>3.0143303223547635E-2</v>
      </c>
      <c r="M24"/>
    </row>
    <row r="25" spans="2:22" ht="15" thickBot="1" x14ac:dyDescent="0.35">
      <c r="B25" s="67">
        <v>44417</v>
      </c>
      <c r="C25" s="68">
        <v>761.93640100000005</v>
      </c>
      <c r="D25" s="14">
        <f t="shared" si="0"/>
        <v>-8.7875108520157896E-3</v>
      </c>
      <c r="F25" s="72">
        <v>44417</v>
      </c>
      <c r="G25" s="68">
        <v>16529.099609000001</v>
      </c>
      <c r="H25" s="14">
        <f t="shared" si="1"/>
        <v>1.79145108760006E-2</v>
      </c>
      <c r="M25"/>
      <c r="N25" t="s">
        <v>212</v>
      </c>
    </row>
    <row r="26" spans="2:22" x14ac:dyDescent="0.3">
      <c r="B26" s="67">
        <v>44424</v>
      </c>
      <c r="C26" s="68">
        <v>745.14691200000004</v>
      </c>
      <c r="D26" s="14">
        <f t="shared" si="0"/>
        <v>-2.2035289268191871E-2</v>
      </c>
      <c r="F26" s="72">
        <v>44424</v>
      </c>
      <c r="G26" s="68">
        <v>16450.5</v>
      </c>
      <c r="H26" s="14">
        <f t="shared" si="1"/>
        <v>-4.7552262893499897E-3</v>
      </c>
      <c r="M26"/>
      <c r="N26" s="74"/>
      <c r="O26" s="74" t="s">
        <v>216</v>
      </c>
      <c r="P26" s="74" t="s">
        <v>217</v>
      </c>
      <c r="Q26" s="74" t="s">
        <v>218</v>
      </c>
      <c r="R26" s="74" t="s">
        <v>219</v>
      </c>
      <c r="S26" s="74" t="s">
        <v>220</v>
      </c>
    </row>
    <row r="27" spans="2:22" x14ac:dyDescent="0.3">
      <c r="B27" s="67">
        <v>44431</v>
      </c>
      <c r="C27" s="68">
        <v>755.57305899999994</v>
      </c>
      <c r="D27" s="14">
        <f t="shared" si="0"/>
        <v>1.3992068989477247E-2</v>
      </c>
      <c r="F27" s="72">
        <v>44431</v>
      </c>
      <c r="G27" s="68">
        <v>16705.199218999998</v>
      </c>
      <c r="H27" s="14">
        <f t="shared" si="1"/>
        <v>1.5482764596820742E-2</v>
      </c>
      <c r="M27"/>
      <c r="N27" t="s">
        <v>213</v>
      </c>
      <c r="O27">
        <v>1</v>
      </c>
      <c r="P27">
        <v>1.3247960880045651E-2</v>
      </c>
      <c r="Q27">
        <v>1.3247960880045651E-2</v>
      </c>
      <c r="R27">
        <v>16.921709544257187</v>
      </c>
      <c r="S27">
        <v>7.856823380232201E-5</v>
      </c>
    </row>
    <row r="28" spans="2:22" x14ac:dyDescent="0.3">
      <c r="B28" s="67">
        <v>44438</v>
      </c>
      <c r="C28" s="68">
        <v>774.83898899999997</v>
      </c>
      <c r="D28" s="14">
        <f t="shared" si="0"/>
        <v>2.5498434295021744E-2</v>
      </c>
      <c r="F28" s="72">
        <v>44438</v>
      </c>
      <c r="G28" s="68">
        <v>17323.599609000001</v>
      </c>
      <c r="H28" s="14">
        <f t="shared" si="1"/>
        <v>3.7018438504860862E-2</v>
      </c>
      <c r="M28"/>
      <c r="N28" t="s">
        <v>214</v>
      </c>
      <c r="O28">
        <v>103</v>
      </c>
      <c r="P28">
        <v>8.063842291323299E-2</v>
      </c>
      <c r="Q28">
        <v>7.8289730983721346E-4</v>
      </c>
    </row>
    <row r="29" spans="2:22" ht="15" thickBot="1" x14ac:dyDescent="0.35">
      <c r="B29" s="67">
        <v>44445</v>
      </c>
      <c r="C29" s="68">
        <v>761.980591</v>
      </c>
      <c r="D29" s="14">
        <f t="shared" si="0"/>
        <v>-1.6594928988530766E-2</v>
      </c>
      <c r="F29" s="72">
        <v>44445</v>
      </c>
      <c r="G29" s="68">
        <v>17369.25</v>
      </c>
      <c r="H29" s="14">
        <f t="shared" si="1"/>
        <v>2.6351562048503308E-3</v>
      </c>
      <c r="M29"/>
      <c r="N29" s="73" t="s">
        <v>35</v>
      </c>
      <c r="O29" s="73">
        <v>104</v>
      </c>
      <c r="P29" s="73">
        <v>9.3886383793278641E-2</v>
      </c>
      <c r="Q29" s="73"/>
      <c r="R29" s="73"/>
      <c r="S29" s="73"/>
    </row>
    <row r="30" spans="2:22" ht="15" thickBot="1" x14ac:dyDescent="0.35">
      <c r="B30" s="67">
        <v>44452</v>
      </c>
      <c r="C30" s="68">
        <v>755.698669</v>
      </c>
      <c r="D30" s="14">
        <f t="shared" si="0"/>
        <v>-8.2442021151165612E-3</v>
      </c>
      <c r="F30" s="72">
        <v>44452</v>
      </c>
      <c r="G30" s="68">
        <v>17585.150390999999</v>
      </c>
      <c r="H30" s="14">
        <f t="shared" si="1"/>
        <v>1.2430035321041366E-2</v>
      </c>
      <c r="L30" s="49"/>
      <c r="M30"/>
    </row>
    <row r="31" spans="2:22" x14ac:dyDescent="0.3">
      <c r="B31" s="67">
        <v>44459</v>
      </c>
      <c r="C31" s="68">
        <v>756.23852499999998</v>
      </c>
      <c r="D31" s="14">
        <f t="shared" si="0"/>
        <v>7.1437997993872848E-4</v>
      </c>
      <c r="F31" s="72">
        <v>44459</v>
      </c>
      <c r="G31" s="68">
        <v>17853.199218999998</v>
      </c>
      <c r="H31" s="14">
        <f t="shared" si="1"/>
        <v>1.5242907910368864E-2</v>
      </c>
      <c r="M31"/>
      <c r="N31" s="74"/>
      <c r="O31" s="74" t="s">
        <v>221</v>
      </c>
      <c r="P31" s="74" t="s">
        <v>210</v>
      </c>
      <c r="Q31" s="74" t="s">
        <v>222</v>
      </c>
      <c r="R31" s="74" t="s">
        <v>223</v>
      </c>
      <c r="S31" s="74" t="s">
        <v>224</v>
      </c>
      <c r="T31" s="74" t="s">
        <v>225</v>
      </c>
      <c r="U31" s="74" t="s">
        <v>226</v>
      </c>
      <c r="V31" s="74" t="s">
        <v>227</v>
      </c>
    </row>
    <row r="32" spans="2:22" x14ac:dyDescent="0.3">
      <c r="B32" s="67">
        <v>44466</v>
      </c>
      <c r="C32" s="68">
        <v>811.35278300000004</v>
      </c>
      <c r="D32" s="14">
        <f t="shared" si="0"/>
        <v>7.2879463526405397E-2</v>
      </c>
      <c r="F32" s="72">
        <v>44466</v>
      </c>
      <c r="G32" s="68">
        <v>17532.050781000002</v>
      </c>
      <c r="H32" s="14">
        <f t="shared" si="1"/>
        <v>-1.7988285128091697E-2</v>
      </c>
      <c r="M32"/>
      <c r="N32" t="s">
        <v>215</v>
      </c>
      <c r="O32">
        <v>3.6654252572851762E-3</v>
      </c>
      <c r="P32">
        <v>2.7455870964071308E-3</v>
      </c>
      <c r="Q32">
        <v>1.3350242147050237</v>
      </c>
      <c r="R32">
        <v>0.18481167489504352</v>
      </c>
      <c r="S32">
        <v>-1.7797991873717603E-3</v>
      </c>
      <c r="T32">
        <v>9.1106497019421123E-3</v>
      </c>
      <c r="U32">
        <v>-1.7797991873717603E-3</v>
      </c>
      <c r="V32">
        <v>9.1106497019421123E-3</v>
      </c>
    </row>
    <row r="33" spans="2:22" ht="15" thickBot="1" x14ac:dyDescent="0.35">
      <c r="B33" s="67">
        <v>44473</v>
      </c>
      <c r="C33" s="68">
        <v>806.24871800000005</v>
      </c>
      <c r="D33" s="14">
        <f t="shared" si="0"/>
        <v>-6.2908085199727681E-3</v>
      </c>
      <c r="F33" s="72">
        <v>44473</v>
      </c>
      <c r="G33" s="68">
        <v>17895.199218999998</v>
      </c>
      <c r="H33" s="14">
        <f t="shared" si="1"/>
        <v>2.0713403271313213E-2</v>
      </c>
      <c r="M33"/>
      <c r="N33" s="76" t="s">
        <v>228</v>
      </c>
      <c r="O33" s="76">
        <v>0.56335167267307062</v>
      </c>
      <c r="P33" s="73">
        <v>0.13694855998743616</v>
      </c>
      <c r="Q33" s="73">
        <v>4.1136005572074161</v>
      </c>
      <c r="R33" s="73">
        <v>7.8568233802322687E-5</v>
      </c>
      <c r="S33" s="73">
        <v>0.2917465039716311</v>
      </c>
      <c r="T33" s="73">
        <v>0.83495684137451009</v>
      </c>
      <c r="U33" s="73">
        <v>0.2917465039716311</v>
      </c>
      <c r="V33" s="73">
        <v>0.83495684137451009</v>
      </c>
    </row>
    <row r="34" spans="2:22" x14ac:dyDescent="0.3">
      <c r="B34" s="67">
        <v>44480</v>
      </c>
      <c r="C34" s="68">
        <v>825.78161599999999</v>
      </c>
      <c r="D34" s="14">
        <f t="shared" si="0"/>
        <v>2.4226888755189302E-2</v>
      </c>
      <c r="F34" s="72">
        <v>44480</v>
      </c>
      <c r="G34" s="68">
        <v>18338.550781000002</v>
      </c>
      <c r="H34" s="14">
        <f t="shared" si="1"/>
        <v>2.4774888313580767E-2</v>
      </c>
    </row>
    <row r="35" spans="2:22" x14ac:dyDescent="0.3">
      <c r="B35" s="67">
        <v>44487</v>
      </c>
      <c r="C35" s="68">
        <v>797.56195100000002</v>
      </c>
      <c r="D35" s="14">
        <f t="shared" si="0"/>
        <v>-3.4173278325924761E-2</v>
      </c>
      <c r="F35" s="72">
        <v>44487</v>
      </c>
      <c r="G35" s="68">
        <v>18114.900390999999</v>
      </c>
      <c r="H35" s="14">
        <f t="shared" si="1"/>
        <v>-1.2195641447944716E-2</v>
      </c>
    </row>
    <row r="36" spans="2:22" x14ac:dyDescent="0.3">
      <c r="C36" s="68">
        <v>780.33569299999999</v>
      </c>
      <c r="D36" s="14">
        <f t="shared" si="0"/>
        <v>-2.1598645695674601E-2</v>
      </c>
      <c r="F36" s="72">
        <v>44494</v>
      </c>
      <c r="G36" s="68">
        <v>17671.650390999999</v>
      </c>
      <c r="H36" s="14">
        <f t="shared" si="1"/>
        <v>-2.4468806917658736E-2</v>
      </c>
    </row>
    <row r="37" spans="2:22" x14ac:dyDescent="0.3">
      <c r="B37" s="67">
        <v>44501</v>
      </c>
      <c r="C37" s="68">
        <v>780.77740500000004</v>
      </c>
      <c r="D37" s="14">
        <f t="shared" si="0"/>
        <v>5.6605382012175909E-4</v>
      </c>
      <c r="F37" s="72">
        <v>44501</v>
      </c>
      <c r="G37" s="68">
        <v>17916.800781000002</v>
      </c>
      <c r="H37" s="14">
        <f t="shared" si="1"/>
        <v>1.3872523764099309E-2</v>
      </c>
    </row>
    <row r="38" spans="2:22" x14ac:dyDescent="0.3">
      <c r="B38" s="67">
        <v>44508</v>
      </c>
      <c r="C38" s="68">
        <v>791.62353499999995</v>
      </c>
      <c r="D38" s="14">
        <f t="shared" si="0"/>
        <v>1.38914496379412E-2</v>
      </c>
      <c r="F38" s="72">
        <v>44508</v>
      </c>
      <c r="G38" s="68">
        <v>18102.75</v>
      </c>
      <c r="H38" s="14">
        <f t="shared" si="1"/>
        <v>1.0378483372834646E-2</v>
      </c>
    </row>
    <row r="39" spans="2:22" x14ac:dyDescent="0.3">
      <c r="B39" s="67">
        <v>44515</v>
      </c>
      <c r="C39" s="68">
        <v>776.06591800000001</v>
      </c>
      <c r="D39" s="14">
        <f t="shared" si="0"/>
        <v>-1.9652797462622051E-2</v>
      </c>
      <c r="F39" s="72">
        <v>44515</v>
      </c>
      <c r="G39" s="68">
        <v>17764.800781000002</v>
      </c>
      <c r="H39" s="14">
        <f t="shared" si="1"/>
        <v>-1.8668391211279944E-2</v>
      </c>
    </row>
    <row r="40" spans="2:22" x14ac:dyDescent="0.3">
      <c r="B40" s="67">
        <v>44522</v>
      </c>
      <c r="C40" s="68">
        <v>753.14660600000002</v>
      </c>
      <c r="D40" s="14">
        <f t="shared" si="0"/>
        <v>-2.9532687196295648E-2</v>
      </c>
      <c r="F40" s="72">
        <v>44522</v>
      </c>
      <c r="G40" s="68">
        <v>17026.449218999998</v>
      </c>
      <c r="H40" s="14">
        <f t="shared" si="1"/>
        <v>-4.1562614245001406E-2</v>
      </c>
    </row>
    <row r="41" spans="2:22" x14ac:dyDescent="0.3">
      <c r="B41" s="67">
        <v>44529</v>
      </c>
      <c r="C41" s="68">
        <v>737.93255599999998</v>
      </c>
      <c r="D41" s="14">
        <f t="shared" si="0"/>
        <v>-2.0200648690170242E-2</v>
      </c>
      <c r="F41" s="72">
        <v>44529</v>
      </c>
      <c r="G41" s="68">
        <v>17196.699218999998</v>
      </c>
      <c r="H41" s="14">
        <f t="shared" si="1"/>
        <v>9.9991488424970854E-3</v>
      </c>
    </row>
    <row r="42" spans="2:22" x14ac:dyDescent="0.3">
      <c r="B42" s="67">
        <v>44536</v>
      </c>
      <c r="C42" s="68">
        <v>747.30639599999995</v>
      </c>
      <c r="D42" s="14">
        <f t="shared" si="0"/>
        <v>1.2702841098123363E-2</v>
      </c>
      <c r="F42" s="72">
        <v>44536</v>
      </c>
      <c r="G42" s="68">
        <v>17511.300781000002</v>
      </c>
      <c r="H42" s="14">
        <f t="shared" si="1"/>
        <v>1.8294299271828462E-2</v>
      </c>
    </row>
    <row r="43" spans="2:22" x14ac:dyDescent="0.3">
      <c r="B43" s="67">
        <v>44543</v>
      </c>
      <c r="C43" s="68">
        <v>754.76617399999998</v>
      </c>
      <c r="D43" s="14">
        <f t="shared" si="0"/>
        <v>9.9822215358102984E-3</v>
      </c>
      <c r="F43" s="72">
        <v>44543</v>
      </c>
      <c r="G43" s="68">
        <v>16985.199218999998</v>
      </c>
      <c r="H43" s="14">
        <f t="shared" si="1"/>
        <v>-3.0043545512668635E-2</v>
      </c>
    </row>
    <row r="44" spans="2:22" x14ac:dyDescent="0.3">
      <c r="B44" s="67">
        <v>44550</v>
      </c>
      <c r="C44" s="68">
        <v>770.912781</v>
      </c>
      <c r="D44" s="14">
        <f t="shared" si="0"/>
        <v>2.1392859876627091E-2</v>
      </c>
      <c r="F44" s="72">
        <v>44550</v>
      </c>
      <c r="G44" s="68">
        <v>17003.75</v>
      </c>
      <c r="H44" s="14">
        <f t="shared" si="1"/>
        <v>1.0921732951623131E-3</v>
      </c>
    </row>
    <row r="45" spans="2:22" x14ac:dyDescent="0.3">
      <c r="B45" s="67">
        <v>44557</v>
      </c>
      <c r="C45" s="68">
        <v>830.10052499999995</v>
      </c>
      <c r="D45" s="14">
        <f t="shared" si="0"/>
        <v>7.6776187214361302E-2</v>
      </c>
      <c r="F45" s="72">
        <v>44557</v>
      </c>
      <c r="G45" s="68">
        <v>17354.050781000002</v>
      </c>
      <c r="H45" s="14">
        <f t="shared" si="1"/>
        <v>2.0601383871204915E-2</v>
      </c>
    </row>
    <row r="46" spans="2:22" x14ac:dyDescent="0.3">
      <c r="B46" s="67">
        <v>44564</v>
      </c>
      <c r="C46" s="68">
        <v>813.65948500000002</v>
      </c>
      <c r="D46" s="14">
        <f t="shared" si="0"/>
        <v>-1.9806083124691343E-2</v>
      </c>
      <c r="F46" s="72">
        <v>44564</v>
      </c>
      <c r="G46" s="68">
        <v>17812.699218999998</v>
      </c>
      <c r="H46" s="14">
        <f t="shared" si="1"/>
        <v>2.6428898001275014E-2</v>
      </c>
    </row>
    <row r="47" spans="2:22" x14ac:dyDescent="0.3">
      <c r="B47" s="67">
        <v>44571</v>
      </c>
      <c r="C47" s="68">
        <v>843.89129600000001</v>
      </c>
      <c r="D47" s="14">
        <f t="shared" si="0"/>
        <v>3.7155359898496165E-2</v>
      </c>
      <c r="F47" s="72">
        <v>44571</v>
      </c>
      <c r="G47" s="68">
        <v>18255.75</v>
      </c>
      <c r="H47" s="14">
        <f t="shared" si="1"/>
        <v>2.4872748119354027E-2</v>
      </c>
    </row>
    <row r="48" spans="2:22" x14ac:dyDescent="0.3">
      <c r="B48" s="67">
        <v>44578</v>
      </c>
      <c r="C48" s="68">
        <v>793.83203100000003</v>
      </c>
      <c r="D48" s="14">
        <f t="shared" si="0"/>
        <v>-5.9319565490577042E-2</v>
      </c>
      <c r="F48" s="72">
        <v>44578</v>
      </c>
      <c r="G48" s="68">
        <v>17617.150390999999</v>
      </c>
      <c r="H48" s="14">
        <f t="shared" si="1"/>
        <v>-3.4980738068827621E-2</v>
      </c>
    </row>
    <row r="49" spans="2:8" x14ac:dyDescent="0.3">
      <c r="B49" s="67">
        <v>44585</v>
      </c>
      <c r="C49" s="68">
        <v>812.08898899999997</v>
      </c>
      <c r="D49" s="14">
        <f t="shared" si="0"/>
        <v>2.2998515160696398E-2</v>
      </c>
      <c r="F49" s="72">
        <v>44585</v>
      </c>
      <c r="G49" s="68">
        <v>17101.949218999998</v>
      </c>
      <c r="H49" s="14">
        <f t="shared" si="1"/>
        <v>-2.9244296640800638E-2</v>
      </c>
    </row>
    <row r="50" spans="2:8" x14ac:dyDescent="0.3">
      <c r="B50" s="67">
        <v>44592</v>
      </c>
      <c r="C50" s="68">
        <v>877.46051</v>
      </c>
      <c r="D50" s="14">
        <f t="shared" si="0"/>
        <v>8.0497977297411705E-2</v>
      </c>
      <c r="F50" s="72">
        <v>44592</v>
      </c>
      <c r="G50" s="68">
        <v>17516.300781000002</v>
      </c>
      <c r="H50" s="14">
        <f t="shared" si="1"/>
        <v>2.4228323724623468E-2</v>
      </c>
    </row>
    <row r="51" spans="2:8" x14ac:dyDescent="0.3">
      <c r="B51" s="67">
        <v>44599</v>
      </c>
      <c r="C51" s="68">
        <v>863.865906</v>
      </c>
      <c r="D51" s="14">
        <f t="shared" si="0"/>
        <v>-1.5493123445521229E-2</v>
      </c>
      <c r="F51" s="72">
        <v>44599</v>
      </c>
      <c r="G51" s="68">
        <v>17374.75</v>
      </c>
      <c r="H51" s="14">
        <f t="shared" si="1"/>
        <v>-8.0810887395552644E-3</v>
      </c>
    </row>
    <row r="52" spans="2:8" x14ac:dyDescent="0.3">
      <c r="B52" s="67">
        <v>44606</v>
      </c>
      <c r="C52" s="68">
        <v>853.66668700000002</v>
      </c>
      <c r="D52" s="14">
        <f t="shared" si="0"/>
        <v>-1.1806484003085482E-2</v>
      </c>
      <c r="F52" s="72">
        <v>44606</v>
      </c>
      <c r="G52" s="68">
        <v>17276.300781000002</v>
      </c>
      <c r="H52" s="14">
        <f t="shared" si="1"/>
        <v>-5.66622362911684E-3</v>
      </c>
    </row>
    <row r="53" spans="2:8" x14ac:dyDescent="0.3">
      <c r="B53" s="67">
        <v>44613</v>
      </c>
      <c r="C53" s="68">
        <v>822.65210000000002</v>
      </c>
      <c r="D53" s="14">
        <f t="shared" si="0"/>
        <v>-3.6331026467710803E-2</v>
      </c>
      <c r="F53" s="72">
        <v>44613</v>
      </c>
      <c r="G53" s="68">
        <v>16658.400390999999</v>
      </c>
      <c r="H53" s="14">
        <f t="shared" si="1"/>
        <v>-3.5765780987070617E-2</v>
      </c>
    </row>
    <row r="54" spans="2:8" x14ac:dyDescent="0.3">
      <c r="B54" s="67">
        <v>44620</v>
      </c>
      <c r="C54" s="68">
        <v>820.77246100000002</v>
      </c>
      <c r="D54" s="14">
        <f t="shared" si="0"/>
        <v>-2.2848528557819492E-3</v>
      </c>
      <c r="F54" s="72">
        <v>44620</v>
      </c>
      <c r="G54" s="68">
        <v>16245.349609000001</v>
      </c>
      <c r="H54" s="14">
        <f t="shared" si="1"/>
        <v>-2.479534482933643E-2</v>
      </c>
    </row>
    <row r="55" spans="2:8" x14ac:dyDescent="0.3">
      <c r="B55" s="67">
        <v>44627</v>
      </c>
      <c r="C55" s="68">
        <v>892.34826699999996</v>
      </c>
      <c r="D55" s="14">
        <f t="shared" si="0"/>
        <v>8.720541855509456E-2</v>
      </c>
      <c r="F55" s="72">
        <v>44627</v>
      </c>
      <c r="G55" s="68">
        <v>16630.449218999998</v>
      </c>
      <c r="H55" s="14">
        <f t="shared" si="1"/>
        <v>2.3705221449137115E-2</v>
      </c>
    </row>
    <row r="56" spans="2:8" x14ac:dyDescent="0.3">
      <c r="B56" s="67">
        <v>44634</v>
      </c>
      <c r="C56" s="68">
        <v>901.84551999999996</v>
      </c>
      <c r="D56" s="14">
        <f t="shared" si="0"/>
        <v>1.064298923550222E-2</v>
      </c>
      <c r="F56" s="72">
        <v>44634</v>
      </c>
      <c r="G56" s="68">
        <v>17287.050781000002</v>
      </c>
      <c r="H56" s="14">
        <f t="shared" si="1"/>
        <v>3.9481889716475482E-2</v>
      </c>
    </row>
    <row r="57" spans="2:8" x14ac:dyDescent="0.3">
      <c r="B57" s="67">
        <v>44641</v>
      </c>
      <c r="C57" s="68">
        <v>892.69451900000001</v>
      </c>
      <c r="D57" s="14">
        <f t="shared" si="0"/>
        <v>-1.0146971734139032E-2</v>
      </c>
      <c r="F57" s="72">
        <v>44641</v>
      </c>
      <c r="G57" s="68">
        <v>17153</v>
      </c>
      <c r="H57" s="14">
        <f t="shared" si="1"/>
        <v>-7.7544043051771538E-3</v>
      </c>
    </row>
    <row r="58" spans="2:8" x14ac:dyDescent="0.3">
      <c r="B58" s="67">
        <v>44648</v>
      </c>
      <c r="C58" s="68">
        <v>898.97662400000002</v>
      </c>
      <c r="D58" s="14">
        <f t="shared" si="0"/>
        <v>7.0372393537683209E-3</v>
      </c>
      <c r="F58" s="72">
        <v>44648</v>
      </c>
      <c r="G58" s="68">
        <v>17670.449218999998</v>
      </c>
      <c r="H58" s="14">
        <f t="shared" si="1"/>
        <v>3.0166689150585846E-2</v>
      </c>
    </row>
    <row r="59" spans="2:8" x14ac:dyDescent="0.3">
      <c r="B59" s="67">
        <v>44655</v>
      </c>
      <c r="C59" s="68">
        <v>914.70642099999998</v>
      </c>
      <c r="D59" s="14">
        <f t="shared" si="0"/>
        <v>1.7497448298499974E-2</v>
      </c>
      <c r="F59" s="72">
        <v>44655</v>
      </c>
      <c r="G59" s="68">
        <v>17784.349609000001</v>
      </c>
      <c r="H59" s="14">
        <f t="shared" si="1"/>
        <v>6.4458117950692007E-3</v>
      </c>
    </row>
    <row r="60" spans="2:8" x14ac:dyDescent="0.3">
      <c r="B60" s="67">
        <v>44662</v>
      </c>
      <c r="C60" s="68">
        <v>926.72644000000003</v>
      </c>
      <c r="D60" s="14">
        <f t="shared" si="0"/>
        <v>1.3140849046253678E-2</v>
      </c>
      <c r="F60" s="72">
        <v>44662</v>
      </c>
      <c r="G60" s="68">
        <v>17475.650390999999</v>
      </c>
      <c r="H60" s="14">
        <f t="shared" si="1"/>
        <v>-1.7357914390289553E-2</v>
      </c>
    </row>
    <row r="61" spans="2:8" x14ac:dyDescent="0.3">
      <c r="B61" s="67">
        <v>44669</v>
      </c>
      <c r="C61" s="68">
        <v>914.904358</v>
      </c>
      <c r="D61" s="14">
        <f t="shared" si="0"/>
        <v>-1.2756819585292067E-2</v>
      </c>
      <c r="F61" s="72">
        <v>44669</v>
      </c>
      <c r="G61" s="68">
        <v>17171.949218999998</v>
      </c>
      <c r="H61" s="14">
        <f t="shared" si="1"/>
        <v>-1.7378533285170805E-2</v>
      </c>
    </row>
    <row r="62" spans="2:8" x14ac:dyDescent="0.3">
      <c r="B62" s="67">
        <v>44676</v>
      </c>
      <c r="C62" s="68">
        <v>918.71313499999997</v>
      </c>
      <c r="D62" s="14">
        <f t="shared" si="0"/>
        <v>4.163032962621438E-3</v>
      </c>
      <c r="F62" s="72">
        <v>44676</v>
      </c>
      <c r="G62" s="68">
        <v>17102.550781000002</v>
      </c>
      <c r="H62" s="14">
        <f t="shared" si="1"/>
        <v>-4.041383835634127E-3</v>
      </c>
    </row>
    <row r="63" spans="2:8" x14ac:dyDescent="0.3">
      <c r="B63" s="67">
        <v>44683</v>
      </c>
      <c r="C63" s="68">
        <v>873.848389</v>
      </c>
      <c r="D63" s="14">
        <f t="shared" si="0"/>
        <v>-4.8834336084680019E-2</v>
      </c>
      <c r="F63" s="72">
        <v>44683</v>
      </c>
      <c r="G63" s="68">
        <v>16411.25</v>
      </c>
      <c r="H63" s="14">
        <f t="shared" si="1"/>
        <v>-4.0420916730619982E-2</v>
      </c>
    </row>
    <row r="64" spans="2:8" x14ac:dyDescent="0.3">
      <c r="B64" s="67">
        <v>44690</v>
      </c>
      <c r="C64" s="68">
        <v>873.057007</v>
      </c>
      <c r="D64" s="14">
        <f t="shared" si="0"/>
        <v>-9.0562849341135898E-4</v>
      </c>
      <c r="F64" s="72">
        <v>44690</v>
      </c>
      <c r="G64" s="68">
        <v>15782.150390999999</v>
      </c>
      <c r="H64" s="14">
        <f t="shared" si="1"/>
        <v>-3.8333436453652281E-2</v>
      </c>
    </row>
    <row r="65" spans="2:8" x14ac:dyDescent="0.3">
      <c r="B65" s="67">
        <v>44697</v>
      </c>
      <c r="C65" s="68">
        <v>905.85223399999995</v>
      </c>
      <c r="D65" s="14">
        <f t="shared" si="0"/>
        <v>3.7563671944734756E-2</v>
      </c>
      <c r="F65" s="72">
        <v>44697</v>
      </c>
      <c r="G65" s="68">
        <v>16266.150390999999</v>
      </c>
      <c r="H65" s="14">
        <f t="shared" si="1"/>
        <v>3.0667557209187901E-2</v>
      </c>
    </row>
    <row r="66" spans="2:8" x14ac:dyDescent="0.3">
      <c r="B66" s="67">
        <v>44704</v>
      </c>
      <c r="C66" s="68">
        <v>894.22796600000004</v>
      </c>
      <c r="D66" s="14">
        <f t="shared" si="0"/>
        <v>-1.2832410810171835E-2</v>
      </c>
      <c r="F66" s="72">
        <v>44704</v>
      </c>
      <c r="G66" s="68">
        <v>16352.450194999999</v>
      </c>
      <c r="H66" s="14">
        <f t="shared" si="1"/>
        <v>5.3054842064996777E-3</v>
      </c>
    </row>
    <row r="67" spans="2:8" x14ac:dyDescent="0.3">
      <c r="B67" s="67">
        <v>44711</v>
      </c>
      <c r="C67" s="68">
        <v>855.84307899999999</v>
      </c>
      <c r="D67" s="14">
        <f t="shared" si="0"/>
        <v>-4.2925169486367931E-2</v>
      </c>
      <c r="F67" s="72">
        <v>44711</v>
      </c>
      <c r="G67" s="68">
        <v>16584.300781000002</v>
      </c>
      <c r="H67" s="14">
        <f t="shared" si="1"/>
        <v>1.4178339223494207E-2</v>
      </c>
    </row>
    <row r="68" spans="2:8" x14ac:dyDescent="0.3">
      <c r="B68" s="67">
        <v>44718</v>
      </c>
      <c r="C68" s="68">
        <v>836.650757</v>
      </c>
      <c r="D68" s="14">
        <f t="shared" si="0"/>
        <v>-2.24250478515583E-2</v>
      </c>
      <c r="F68" s="72">
        <v>44718</v>
      </c>
      <c r="G68" s="68">
        <v>16201.799805000001</v>
      </c>
      <c r="H68" s="14">
        <f t="shared" si="1"/>
        <v>-2.3064039964724836E-2</v>
      </c>
    </row>
    <row r="69" spans="2:8" x14ac:dyDescent="0.3">
      <c r="B69" s="67">
        <v>44725</v>
      </c>
      <c r="C69" s="68">
        <v>784.91039999999998</v>
      </c>
      <c r="D69" s="14">
        <f t="shared" si="0"/>
        <v>-6.1842240106883661E-2</v>
      </c>
      <c r="F69" s="72">
        <v>44725</v>
      </c>
      <c r="G69" s="68">
        <v>15293.5</v>
      </c>
      <c r="H69" s="14">
        <f t="shared" si="1"/>
        <v>-5.606166079892505E-2</v>
      </c>
    </row>
    <row r="70" spans="2:8" x14ac:dyDescent="0.3">
      <c r="B70" s="67">
        <v>44732</v>
      </c>
      <c r="C70" s="68">
        <v>815.77648899999997</v>
      </c>
      <c r="D70" s="14">
        <f t="shared" si="0"/>
        <v>3.9324347084711775E-2</v>
      </c>
      <c r="F70" s="72">
        <v>44732</v>
      </c>
      <c r="G70" s="68">
        <v>15699.25</v>
      </c>
      <c r="H70" s="14">
        <f t="shared" si="1"/>
        <v>2.6530879131657192E-2</v>
      </c>
    </row>
    <row r="71" spans="2:8" x14ac:dyDescent="0.3">
      <c r="B71" s="67">
        <v>44739</v>
      </c>
      <c r="C71" s="68">
        <v>820.37676999999996</v>
      </c>
      <c r="D71" s="14">
        <f t="shared" si="0"/>
        <v>5.6391438856482345E-3</v>
      </c>
      <c r="F71" s="72">
        <v>44739</v>
      </c>
      <c r="G71" s="68">
        <v>15752.049805000001</v>
      </c>
      <c r="H71" s="14">
        <f t="shared" si="1"/>
        <v>3.3632055671448668E-3</v>
      </c>
    </row>
    <row r="72" spans="2:8" x14ac:dyDescent="0.3">
      <c r="B72" s="67">
        <v>44746</v>
      </c>
      <c r="C72" s="68">
        <v>848.52233899999999</v>
      </c>
      <c r="D72" s="14">
        <f t="shared" si="0"/>
        <v>3.4308100898566396E-2</v>
      </c>
      <c r="F72" s="72">
        <v>44746</v>
      </c>
      <c r="G72" s="68">
        <v>16220.599609000001</v>
      </c>
      <c r="H72" s="14">
        <f t="shared" si="1"/>
        <v>2.9745322659611828E-2</v>
      </c>
    </row>
    <row r="73" spans="2:8" x14ac:dyDescent="0.3">
      <c r="B73" s="67">
        <v>44753</v>
      </c>
      <c r="C73" s="68">
        <v>869.000854</v>
      </c>
      <c r="D73" s="14">
        <f t="shared" si="0"/>
        <v>2.4134326297330366E-2</v>
      </c>
      <c r="F73" s="72">
        <v>44753</v>
      </c>
      <c r="G73" s="68">
        <v>16049.200194999999</v>
      </c>
      <c r="H73" s="14">
        <f t="shared" si="1"/>
        <v>-1.0566774233481513E-2</v>
      </c>
    </row>
    <row r="74" spans="2:8" x14ac:dyDescent="0.3">
      <c r="B74" s="67">
        <v>44760</v>
      </c>
      <c r="C74" s="68">
        <v>865.142517</v>
      </c>
      <c r="D74" s="14">
        <f t="shared" ref="D74:D113" si="2">C74/C73-1</f>
        <v>-4.4399691694664289E-3</v>
      </c>
      <c r="F74" s="72">
        <v>44760</v>
      </c>
      <c r="G74" s="68">
        <v>16719.449218999998</v>
      </c>
      <c r="H74" s="14">
        <f t="shared" ref="H74:H113" si="3">G74/G73-1</f>
        <v>4.1762144895470144E-2</v>
      </c>
    </row>
    <row r="75" spans="2:8" x14ac:dyDescent="0.3">
      <c r="B75" s="67">
        <v>44767</v>
      </c>
      <c r="C75" s="68">
        <v>933.10742200000004</v>
      </c>
      <c r="D75" s="14">
        <f t="shared" si="2"/>
        <v>7.8559201131020107E-2</v>
      </c>
      <c r="F75" s="72">
        <v>44767</v>
      </c>
      <c r="G75" s="68">
        <v>17158.25</v>
      </c>
      <c r="H75" s="14">
        <f t="shared" si="3"/>
        <v>2.6244930395275645E-2</v>
      </c>
    </row>
    <row r="76" spans="2:8" x14ac:dyDescent="0.3">
      <c r="B76" s="67">
        <v>44774</v>
      </c>
      <c r="C76" s="68">
        <v>906.14904799999999</v>
      </c>
      <c r="D76" s="14">
        <f t="shared" si="2"/>
        <v>-2.8890965139059865E-2</v>
      </c>
      <c r="F76" s="72">
        <v>44774</v>
      </c>
      <c r="G76" s="68">
        <v>17397.5</v>
      </c>
      <c r="H76" s="14">
        <f t="shared" si="3"/>
        <v>1.3943729692713402E-2</v>
      </c>
    </row>
    <row r="77" spans="2:8" x14ac:dyDescent="0.3">
      <c r="B77" s="67">
        <v>44781</v>
      </c>
      <c r="C77" s="68">
        <v>903.67578100000003</v>
      </c>
      <c r="D77" s="14">
        <f t="shared" si="2"/>
        <v>-2.7294262521809776E-3</v>
      </c>
      <c r="F77" s="72">
        <v>44781</v>
      </c>
      <c r="G77" s="68">
        <v>17698.150390999999</v>
      </c>
      <c r="H77" s="14">
        <f t="shared" si="3"/>
        <v>1.7281241040379314E-2</v>
      </c>
    </row>
    <row r="78" spans="2:8" x14ac:dyDescent="0.3">
      <c r="B78" s="67">
        <v>44788</v>
      </c>
      <c r="C78" s="68">
        <v>891.70526099999995</v>
      </c>
      <c r="D78" s="14">
        <f t="shared" si="2"/>
        <v>-1.3246476503723015E-2</v>
      </c>
      <c r="F78" s="72">
        <v>44788</v>
      </c>
      <c r="G78" s="68">
        <v>17758.449218999998</v>
      </c>
      <c r="H78" s="14">
        <f t="shared" si="3"/>
        <v>3.4070694771959342E-3</v>
      </c>
    </row>
    <row r="79" spans="2:8" x14ac:dyDescent="0.3">
      <c r="B79" s="67">
        <v>44795</v>
      </c>
      <c r="C79" s="68">
        <v>873.59088099999997</v>
      </c>
      <c r="D79" s="14">
        <f t="shared" si="2"/>
        <v>-2.0314313251539762E-2</v>
      </c>
      <c r="F79" s="72">
        <v>44795</v>
      </c>
      <c r="G79" s="68">
        <v>17558.900390999999</v>
      </c>
      <c r="H79" s="14">
        <f t="shared" si="3"/>
        <v>-1.1236838619134604E-2</v>
      </c>
    </row>
    <row r="80" spans="2:8" x14ac:dyDescent="0.3">
      <c r="B80" s="67">
        <v>44802</v>
      </c>
      <c r="C80" s="68">
        <v>863.06982400000004</v>
      </c>
      <c r="D80" s="14">
        <f t="shared" si="2"/>
        <v>-1.2043460192666444E-2</v>
      </c>
      <c r="F80" s="72">
        <v>44802</v>
      </c>
      <c r="G80" s="68">
        <v>17539.449218999998</v>
      </c>
      <c r="H80" s="14">
        <f t="shared" si="3"/>
        <v>-1.1077670905844661E-3</v>
      </c>
    </row>
    <row r="81" spans="2:8" x14ac:dyDescent="0.3">
      <c r="B81" s="67">
        <v>44809</v>
      </c>
      <c r="C81" s="68">
        <v>883.36743200000001</v>
      </c>
      <c r="D81" s="14">
        <f t="shared" si="2"/>
        <v>2.3517921071470438E-2</v>
      </c>
      <c r="F81" s="72">
        <v>44809</v>
      </c>
      <c r="G81" s="68">
        <v>17833.349609000001</v>
      </c>
      <c r="H81" s="14">
        <f t="shared" si="3"/>
        <v>1.6756534730955508E-2</v>
      </c>
    </row>
    <row r="82" spans="2:8" x14ac:dyDescent="0.3">
      <c r="B82" s="67">
        <v>44816</v>
      </c>
      <c r="C82" s="68">
        <v>861.58099400000003</v>
      </c>
      <c r="D82" s="14">
        <f t="shared" si="2"/>
        <v>-2.4662940030145908E-2</v>
      </c>
      <c r="F82" s="72">
        <v>44816</v>
      </c>
      <c r="G82" s="68">
        <v>17530.849609000001</v>
      </c>
      <c r="H82" s="14">
        <f t="shared" si="3"/>
        <v>-1.6962601341440453E-2</v>
      </c>
    </row>
    <row r="83" spans="2:8" x14ac:dyDescent="0.3">
      <c r="B83" s="67">
        <v>44823</v>
      </c>
      <c r="C83" s="68">
        <v>914.23565699999995</v>
      </c>
      <c r="D83" s="14">
        <f t="shared" si="2"/>
        <v>6.1114002475314511E-2</v>
      </c>
      <c r="F83" s="72">
        <v>44823</v>
      </c>
      <c r="G83" s="68">
        <v>17327.349609000001</v>
      </c>
      <c r="H83" s="14">
        <f t="shared" si="3"/>
        <v>-1.1608108251383698E-2</v>
      </c>
    </row>
    <row r="84" spans="2:8" x14ac:dyDescent="0.3">
      <c r="B84" s="67">
        <v>44830</v>
      </c>
      <c r="C84" s="68">
        <v>941.58038299999998</v>
      </c>
      <c r="D84" s="14">
        <f t="shared" si="2"/>
        <v>2.9909931635930587E-2</v>
      </c>
      <c r="F84" s="72">
        <v>44830</v>
      </c>
      <c r="G84" s="68">
        <v>17094.349609000001</v>
      </c>
      <c r="H84" s="14">
        <f t="shared" si="3"/>
        <v>-1.3446949779265527E-2</v>
      </c>
    </row>
    <row r="85" spans="2:8" x14ac:dyDescent="0.3">
      <c r="B85" s="67">
        <v>44837</v>
      </c>
      <c r="C85" s="68">
        <v>948.03192100000001</v>
      </c>
      <c r="D85" s="14">
        <f t="shared" si="2"/>
        <v>6.8518186195050124E-3</v>
      </c>
      <c r="F85" s="72">
        <v>44837</v>
      </c>
      <c r="G85" s="68">
        <v>17314.650390999999</v>
      </c>
      <c r="H85" s="14">
        <f t="shared" si="3"/>
        <v>1.2887345060733635E-2</v>
      </c>
    </row>
    <row r="86" spans="2:8" x14ac:dyDescent="0.3">
      <c r="B86" s="67">
        <v>44844</v>
      </c>
      <c r="C86" s="68">
        <v>969.02429199999995</v>
      </c>
      <c r="D86" s="14">
        <f t="shared" si="2"/>
        <v>2.2143105664476748E-2</v>
      </c>
      <c r="F86" s="72">
        <v>44844</v>
      </c>
      <c r="G86" s="68">
        <v>17185.699218999998</v>
      </c>
      <c r="H86" s="14">
        <f t="shared" si="3"/>
        <v>-7.4475180894804094E-3</v>
      </c>
    </row>
    <row r="87" spans="2:8" x14ac:dyDescent="0.3">
      <c r="B87" s="67">
        <v>44851</v>
      </c>
      <c r="C87" s="68">
        <v>970.41387899999995</v>
      </c>
      <c r="D87" s="14">
        <f t="shared" si="2"/>
        <v>1.4340063623503596E-3</v>
      </c>
      <c r="F87" s="72">
        <v>44851</v>
      </c>
      <c r="G87" s="68">
        <v>17576.300781000002</v>
      </c>
      <c r="H87" s="14">
        <f t="shared" si="3"/>
        <v>2.2728290366455628E-2</v>
      </c>
    </row>
    <row r="88" spans="2:8" x14ac:dyDescent="0.3">
      <c r="B88" s="67">
        <v>44858</v>
      </c>
      <c r="C88" s="68">
        <v>982.62219200000004</v>
      </c>
      <c r="D88" s="14">
        <f t="shared" si="2"/>
        <v>1.2580521841444092E-2</v>
      </c>
      <c r="F88" s="72">
        <v>44858</v>
      </c>
      <c r="G88" s="68">
        <v>17786.800781000002</v>
      </c>
      <c r="H88" s="14">
        <f t="shared" si="3"/>
        <v>1.197635399068453E-2</v>
      </c>
    </row>
    <row r="89" spans="2:8" x14ac:dyDescent="0.3">
      <c r="B89" s="67">
        <v>44865</v>
      </c>
      <c r="C89" s="68">
        <v>1032.1503909999999</v>
      </c>
      <c r="D89" s="14">
        <f t="shared" si="2"/>
        <v>5.0404111980405952E-2</v>
      </c>
      <c r="F89" s="72">
        <v>44865</v>
      </c>
      <c r="G89" s="68">
        <v>18117.150390999999</v>
      </c>
      <c r="H89" s="14">
        <f t="shared" si="3"/>
        <v>1.8572739081492262E-2</v>
      </c>
    </row>
    <row r="90" spans="2:8" x14ac:dyDescent="0.3">
      <c r="B90" s="67">
        <v>44872</v>
      </c>
      <c r="C90" s="68">
        <v>1005.996704</v>
      </c>
      <c r="D90" s="14">
        <f t="shared" si="2"/>
        <v>-2.5339027362728417E-2</v>
      </c>
      <c r="F90" s="72">
        <v>44872</v>
      </c>
      <c r="G90" s="68">
        <v>18349.699218999998</v>
      </c>
      <c r="H90" s="14">
        <f t="shared" si="3"/>
        <v>1.2835839134808014E-2</v>
      </c>
    </row>
    <row r="91" spans="2:8" x14ac:dyDescent="0.3">
      <c r="B91" s="67">
        <v>44879</v>
      </c>
      <c r="C91" s="68">
        <v>1002.076111</v>
      </c>
      <c r="D91" s="14">
        <f t="shared" si="2"/>
        <v>-3.8972225101843172E-3</v>
      </c>
      <c r="F91" s="72">
        <v>44879</v>
      </c>
      <c r="G91" s="68">
        <v>18307.650390999999</v>
      </c>
      <c r="H91" s="14">
        <f t="shared" si="3"/>
        <v>-2.2915268254892762E-3</v>
      </c>
    </row>
    <row r="92" spans="2:8" x14ac:dyDescent="0.3">
      <c r="B92" s="67">
        <v>44886</v>
      </c>
      <c r="C92" s="68">
        <v>1026.1453859999999</v>
      </c>
      <c r="D92" s="14">
        <f t="shared" si="2"/>
        <v>2.4019408042748935E-2</v>
      </c>
      <c r="F92" s="72">
        <v>44886</v>
      </c>
      <c r="G92" s="68">
        <v>18512.75</v>
      </c>
      <c r="H92" s="14">
        <f t="shared" si="3"/>
        <v>1.1202945469224623E-2</v>
      </c>
    </row>
    <row r="93" spans="2:8" x14ac:dyDescent="0.3">
      <c r="B93" s="67">
        <v>44893</v>
      </c>
      <c r="C93" s="68">
        <v>1032.249634</v>
      </c>
      <c r="D93" s="14">
        <f t="shared" si="2"/>
        <v>5.9487165106251183E-3</v>
      </c>
      <c r="F93" s="72">
        <v>44893</v>
      </c>
      <c r="G93" s="68">
        <v>18696.099609000001</v>
      </c>
      <c r="H93" s="14">
        <f t="shared" si="3"/>
        <v>9.9039639707769744E-3</v>
      </c>
    </row>
    <row r="94" spans="2:8" x14ac:dyDescent="0.3">
      <c r="B94" s="67">
        <v>44900</v>
      </c>
      <c r="C94" s="68">
        <v>985.45092799999998</v>
      </c>
      <c r="D94" s="14">
        <f t="shared" si="2"/>
        <v>-4.5336616704482191E-2</v>
      </c>
      <c r="F94" s="72">
        <v>44900</v>
      </c>
      <c r="G94" s="68">
        <v>18496.599609000001</v>
      </c>
      <c r="H94" s="14">
        <f t="shared" si="3"/>
        <v>-1.0670674855838058E-2</v>
      </c>
    </row>
    <row r="95" spans="2:8" x14ac:dyDescent="0.3">
      <c r="B95" s="67">
        <v>44907</v>
      </c>
      <c r="C95" s="68">
        <v>986.24505599999998</v>
      </c>
      <c r="D95" s="14">
        <f t="shared" si="2"/>
        <v>8.0585240465680386E-4</v>
      </c>
      <c r="F95" s="72">
        <v>44907</v>
      </c>
      <c r="G95" s="68">
        <v>18269</v>
      </c>
      <c r="H95" s="14">
        <f t="shared" si="3"/>
        <v>-1.2304943276668867E-2</v>
      </c>
    </row>
    <row r="96" spans="2:8" x14ac:dyDescent="0.3">
      <c r="B96" s="67">
        <v>44914</v>
      </c>
      <c r="C96" s="68">
        <v>994.08612100000005</v>
      </c>
      <c r="D96" s="14">
        <f t="shared" si="2"/>
        <v>7.9504226178854775E-3</v>
      </c>
      <c r="F96" s="72">
        <v>44914</v>
      </c>
      <c r="G96" s="68">
        <v>17806.800781000002</v>
      </c>
      <c r="H96" s="14">
        <f t="shared" si="3"/>
        <v>-2.529964524604511E-2</v>
      </c>
    </row>
    <row r="97" spans="2:8" x14ac:dyDescent="0.3">
      <c r="B97" s="67">
        <v>44921</v>
      </c>
      <c r="C97" s="68">
        <v>993.93725600000005</v>
      </c>
      <c r="D97" s="14">
        <f t="shared" si="2"/>
        <v>-1.4975060696975628E-4</v>
      </c>
      <c r="F97" s="72">
        <v>44921</v>
      </c>
      <c r="G97" s="68">
        <v>18105.300781000002</v>
      </c>
      <c r="H97" s="14">
        <f t="shared" si="3"/>
        <v>1.6763258244484991E-2</v>
      </c>
    </row>
    <row r="98" spans="2:8" x14ac:dyDescent="0.3">
      <c r="B98" s="67">
        <v>44928</v>
      </c>
      <c r="C98" s="68">
        <v>1001.182861</v>
      </c>
      <c r="D98" s="14">
        <f t="shared" si="2"/>
        <v>7.2898011984772193E-3</v>
      </c>
      <c r="F98" s="72">
        <v>44928</v>
      </c>
      <c r="G98" s="68">
        <v>17859.449218999998</v>
      </c>
      <c r="H98" s="14">
        <f t="shared" si="3"/>
        <v>-1.3578982474458767E-2</v>
      </c>
    </row>
    <row r="99" spans="2:8" x14ac:dyDescent="0.3">
      <c r="B99" s="67">
        <v>44935</v>
      </c>
      <c r="C99" s="68">
        <v>1023.9121699999999</v>
      </c>
      <c r="D99" s="14">
        <f t="shared" si="2"/>
        <v>2.2702455151197398E-2</v>
      </c>
      <c r="F99" s="72">
        <v>44935</v>
      </c>
      <c r="G99" s="68">
        <v>17956.599609000001</v>
      </c>
      <c r="H99" s="14">
        <f t="shared" si="3"/>
        <v>5.4397192661825855E-3</v>
      </c>
    </row>
    <row r="100" spans="2:8" x14ac:dyDescent="0.3">
      <c r="B100" s="67">
        <v>44942</v>
      </c>
      <c r="C100" s="68">
        <v>1022.671509</v>
      </c>
      <c r="D100" s="14">
        <f t="shared" si="2"/>
        <v>-1.2116869359994897E-3</v>
      </c>
      <c r="F100" s="72">
        <v>44942</v>
      </c>
      <c r="G100" s="68">
        <v>18027.650390999999</v>
      </c>
      <c r="H100" s="14">
        <f t="shared" si="3"/>
        <v>3.9568060516528281E-3</v>
      </c>
    </row>
    <row r="101" spans="2:8" x14ac:dyDescent="0.3">
      <c r="B101" s="67">
        <v>44949</v>
      </c>
      <c r="C101" s="68">
        <v>1035.624268</v>
      </c>
      <c r="D101" s="14">
        <f t="shared" si="2"/>
        <v>1.2665610497612834E-2</v>
      </c>
      <c r="F101" s="72">
        <v>44949</v>
      </c>
      <c r="G101" s="68">
        <v>17604.349609000001</v>
      </c>
      <c r="H101" s="14">
        <f t="shared" si="3"/>
        <v>-2.3480640727941093E-2</v>
      </c>
    </row>
    <row r="102" spans="2:8" x14ac:dyDescent="0.3">
      <c r="B102" s="67">
        <v>44956</v>
      </c>
      <c r="C102" s="68">
        <v>1020.487915</v>
      </c>
      <c r="D102" s="14">
        <f t="shared" si="2"/>
        <v>-1.4615680095283357E-2</v>
      </c>
      <c r="F102" s="72">
        <v>44956</v>
      </c>
      <c r="G102" s="68">
        <v>17854.050781000002</v>
      </c>
      <c r="H102" s="14">
        <f t="shared" si="3"/>
        <v>1.4184061186352848E-2</v>
      </c>
    </row>
    <row r="103" spans="2:8" x14ac:dyDescent="0.3">
      <c r="B103" s="67">
        <v>44963</v>
      </c>
      <c r="C103" s="68">
        <v>999.09851100000003</v>
      </c>
      <c r="D103" s="14">
        <f t="shared" si="2"/>
        <v>-2.0959977757306403E-2</v>
      </c>
      <c r="F103" s="72">
        <v>44963</v>
      </c>
      <c r="G103" s="68">
        <v>17856.5</v>
      </c>
      <c r="H103" s="14">
        <f t="shared" si="3"/>
        <v>1.371800175793414E-4</v>
      </c>
    </row>
    <row r="104" spans="2:8" x14ac:dyDescent="0.3">
      <c r="B104" s="67">
        <v>44970</v>
      </c>
      <c r="C104" s="68">
        <v>984.5</v>
      </c>
      <c r="D104" s="14">
        <f t="shared" si="2"/>
        <v>-1.4611683271741005E-2</v>
      </c>
      <c r="F104" s="72">
        <v>44970</v>
      </c>
      <c r="G104" s="68">
        <v>17944.199218999998</v>
      </c>
      <c r="H104" s="14">
        <f t="shared" si="3"/>
        <v>4.9113330719905424E-3</v>
      </c>
    </row>
    <row r="105" spans="2:8" x14ac:dyDescent="0.3">
      <c r="B105" s="67">
        <v>44977</v>
      </c>
      <c r="C105" s="68">
        <v>970.5</v>
      </c>
      <c r="D105" s="14">
        <f t="shared" si="2"/>
        <v>-1.4220416455053342E-2</v>
      </c>
      <c r="F105" s="72">
        <v>44977</v>
      </c>
      <c r="G105" s="68">
        <v>17465.800781000002</v>
      </c>
      <c r="H105" s="14">
        <f t="shared" si="3"/>
        <v>-2.6660339208308015E-2</v>
      </c>
    </row>
    <row r="106" spans="2:8" x14ac:dyDescent="0.3">
      <c r="B106" s="67">
        <v>44984</v>
      </c>
      <c r="C106" s="68">
        <v>966.90002400000003</v>
      </c>
      <c r="D106" s="14">
        <f t="shared" si="2"/>
        <v>-3.7094034003091192E-3</v>
      </c>
      <c r="F106" s="72">
        <v>44984</v>
      </c>
      <c r="G106" s="68">
        <v>17594.349609000001</v>
      </c>
      <c r="H106" s="14">
        <f t="shared" si="3"/>
        <v>7.3600305884538031E-3</v>
      </c>
    </row>
    <row r="107" spans="2:8" x14ac:dyDescent="0.3">
      <c r="B107" s="67">
        <v>44991</v>
      </c>
      <c r="C107" s="68">
        <v>955.54998799999998</v>
      </c>
      <c r="D107" s="14">
        <f t="shared" si="2"/>
        <v>-1.1738582809260545E-2</v>
      </c>
      <c r="F107" s="72">
        <v>44991</v>
      </c>
      <c r="G107" s="68">
        <v>17412.900390999999</v>
      </c>
      <c r="H107" s="14">
        <f t="shared" si="3"/>
        <v>-1.0312925571695164E-2</v>
      </c>
    </row>
    <row r="108" spans="2:8" x14ac:dyDescent="0.3">
      <c r="B108" s="67">
        <v>44998</v>
      </c>
      <c r="C108" s="68">
        <v>957.70001200000002</v>
      </c>
      <c r="D108" s="14">
        <f t="shared" si="2"/>
        <v>2.250038226152995E-3</v>
      </c>
      <c r="F108" s="72">
        <v>44998</v>
      </c>
      <c r="G108" s="68">
        <v>17100.050781000002</v>
      </c>
      <c r="H108" s="14">
        <f t="shared" si="3"/>
        <v>-1.7966542217268788E-2</v>
      </c>
    </row>
    <row r="109" spans="2:8" x14ac:dyDescent="0.3">
      <c r="B109" s="67">
        <v>45005</v>
      </c>
      <c r="C109" s="68">
        <v>972.84997599999997</v>
      </c>
      <c r="D109" s="14">
        <f t="shared" si="2"/>
        <v>1.581911225871413E-2</v>
      </c>
      <c r="F109" s="72">
        <v>45005</v>
      </c>
      <c r="G109" s="68">
        <v>16945.050781000002</v>
      </c>
      <c r="H109" s="14">
        <f t="shared" si="3"/>
        <v>-9.0643005675878907E-3</v>
      </c>
    </row>
    <row r="110" spans="2:8" x14ac:dyDescent="0.3">
      <c r="B110" s="67">
        <v>45012</v>
      </c>
      <c r="C110" s="68">
        <v>983.09997599999997</v>
      </c>
      <c r="D110" s="14">
        <f t="shared" si="2"/>
        <v>1.0536054122285421E-2</v>
      </c>
      <c r="F110" s="72">
        <v>45012</v>
      </c>
      <c r="G110" s="68">
        <v>17359.75</v>
      </c>
      <c r="H110" s="14">
        <f t="shared" si="3"/>
        <v>2.4473176525678486E-2</v>
      </c>
    </row>
    <row r="111" spans="2:8" x14ac:dyDescent="0.3">
      <c r="B111" s="67">
        <v>45019</v>
      </c>
      <c r="C111" s="68">
        <v>1012.099976</v>
      </c>
      <c r="D111" s="14">
        <f t="shared" si="2"/>
        <v>2.9498525793881125E-2</v>
      </c>
      <c r="F111" s="72">
        <v>45019</v>
      </c>
      <c r="G111" s="68">
        <v>17599.150390999999</v>
      </c>
      <c r="H111" s="14">
        <f t="shared" si="3"/>
        <v>1.3790543700226143E-2</v>
      </c>
    </row>
    <row r="112" spans="2:8" x14ac:dyDescent="0.3">
      <c r="B112" s="67">
        <v>45026</v>
      </c>
      <c r="C112" s="68">
        <v>1003.5</v>
      </c>
      <c r="D112" s="14">
        <f t="shared" si="2"/>
        <v>-8.4971605611420253E-3</v>
      </c>
      <c r="F112" s="72">
        <v>45026</v>
      </c>
      <c r="G112" s="68">
        <v>17828</v>
      </c>
      <c r="H112" s="14">
        <f t="shared" si="3"/>
        <v>1.3003446411653519E-2</v>
      </c>
    </row>
    <row r="113" spans="2:8" x14ac:dyDescent="0.3">
      <c r="B113" s="67">
        <v>45029</v>
      </c>
      <c r="C113" s="68">
        <v>1003.5</v>
      </c>
      <c r="D113" s="14">
        <f t="shared" si="2"/>
        <v>0</v>
      </c>
      <c r="F113" s="72">
        <v>45029</v>
      </c>
      <c r="G113" s="68">
        <v>17828</v>
      </c>
      <c r="H113" s="14">
        <f t="shared" si="3"/>
        <v>0</v>
      </c>
    </row>
    <row r="114" spans="2:8" x14ac:dyDescent="0.3">
      <c r="B114" s="66"/>
      <c r="C114" s="69"/>
      <c r="D114" s="14"/>
    </row>
  </sheetData>
  <mergeCells count="3">
    <mergeCell ref="B5:D5"/>
    <mergeCell ref="F5:H5"/>
    <mergeCell ref="J5:L5"/>
  </mergeCells>
  <pageMargins left="0.70866141732283472" right="0.70866141732283472" top="0.74803149606299213" bottom="0.74803149606299213" header="0.31496062992125984" footer="0.31496062992125984"/>
  <pageSetup paperSize="9" scale="2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53BB-BB75-4E59-8F25-9D2B1FE4663A}">
  <sheetPr>
    <pageSetUpPr fitToPage="1"/>
  </sheetPr>
  <dimension ref="B3:V114"/>
  <sheetViews>
    <sheetView showGridLines="0" tabSelected="1" topLeftCell="A4" zoomScale="69" zoomScaleNormal="69" workbookViewId="0">
      <selection activeCell="E34" sqref="E34"/>
    </sheetView>
  </sheetViews>
  <sheetFormatPr defaultRowHeight="14.4" x14ac:dyDescent="0.3"/>
  <cols>
    <col min="1" max="1" width="1.88671875" customWidth="1"/>
    <col min="2" max="2" width="11.21875" style="67" customWidth="1"/>
    <col min="3" max="3" width="11" style="68" customWidth="1"/>
    <col min="4" max="4" width="15.21875" customWidth="1"/>
    <col min="5" max="5" width="2.77734375" customWidth="1"/>
    <col min="6" max="6" width="10.33203125" bestFit="1" customWidth="1"/>
    <col min="7" max="7" width="12" style="68" bestFit="1" customWidth="1"/>
    <col min="12" max="12" width="17.44140625" bestFit="1" customWidth="1"/>
    <col min="13" max="13" width="17.44140625" style="77" customWidth="1"/>
    <col min="14" max="14" width="12" bestFit="1" customWidth="1"/>
    <col min="15" max="15" width="17.44140625" bestFit="1" customWidth="1"/>
    <col min="16" max="16" width="12.88671875" bestFit="1" customWidth="1"/>
    <col min="17" max="17" width="14.109375" bestFit="1" customWidth="1"/>
    <col min="18" max="18" width="13.44140625" bestFit="1" customWidth="1"/>
    <col min="19" max="19" width="12.88671875" bestFit="1" customWidth="1"/>
    <col min="20" max="20" width="13.44140625" bestFit="1" customWidth="1"/>
  </cols>
  <sheetData>
    <row r="3" spans="2:15" x14ac:dyDescent="0.3">
      <c r="B3" s="66" t="s">
        <v>234</v>
      </c>
    </row>
    <row r="5" spans="2:15" x14ac:dyDescent="0.3">
      <c r="B5" s="169" t="s">
        <v>237</v>
      </c>
      <c r="C5" s="169"/>
      <c r="D5" s="169"/>
      <c r="F5" s="169" t="s">
        <v>201</v>
      </c>
      <c r="G5" s="169"/>
      <c r="H5" s="169"/>
      <c r="J5" s="169" t="s">
        <v>229</v>
      </c>
      <c r="K5" s="169"/>
      <c r="L5" s="169"/>
      <c r="M5" s="78"/>
    </row>
    <row r="7" spans="2:15" x14ac:dyDescent="0.3">
      <c r="B7" s="70" t="s">
        <v>197</v>
      </c>
      <c r="C7" s="71" t="s">
        <v>198</v>
      </c>
      <c r="D7" s="56" t="s">
        <v>200</v>
      </c>
      <c r="F7" s="70" t="s">
        <v>197</v>
      </c>
      <c r="G7" s="71" t="s">
        <v>198</v>
      </c>
      <c r="H7" s="56" t="s">
        <v>200</v>
      </c>
      <c r="J7" t="s">
        <v>187</v>
      </c>
      <c r="L7" s="49">
        <f>O11</f>
        <v>0.52772347744903592</v>
      </c>
    </row>
    <row r="8" spans="2:15" x14ac:dyDescent="0.3">
      <c r="B8" s="67">
        <v>44298</v>
      </c>
      <c r="C8" s="68">
        <v>4783.4628910000001</v>
      </c>
      <c r="F8" s="80">
        <v>44298</v>
      </c>
      <c r="G8" s="68">
        <v>14617.849609000001</v>
      </c>
      <c r="J8" t="s">
        <v>230</v>
      </c>
      <c r="L8" s="14">
        <v>0.75</v>
      </c>
      <c r="N8" t="s">
        <v>203</v>
      </c>
      <c r="O8" s="49">
        <f>SLOPE(D9:D113,H9:H113)</f>
        <v>0.52772347744903614</v>
      </c>
    </row>
    <row r="9" spans="2:15" x14ac:dyDescent="0.3">
      <c r="B9" s="67">
        <v>44305</v>
      </c>
      <c r="C9" s="68">
        <v>4953.0214839999999</v>
      </c>
      <c r="D9" s="14">
        <f>C9/C8-1</f>
        <v>3.5446829391949652E-2</v>
      </c>
      <c r="F9" s="72">
        <v>44305</v>
      </c>
      <c r="G9" s="68">
        <v>14341.349609000001</v>
      </c>
      <c r="H9" s="14">
        <f>G9/G8-1</f>
        <v>-1.8915230857879606E-2</v>
      </c>
      <c r="N9" t="s">
        <v>202</v>
      </c>
      <c r="O9" s="49">
        <f>_xlfn.COVARIANCE.S(D8:D113,H8:H113)/_xlfn.VAR.S(H8:H113)</f>
        <v>0.52772347744903603</v>
      </c>
    </row>
    <row r="10" spans="2:15" x14ac:dyDescent="0.3">
      <c r="B10" s="67">
        <v>44312</v>
      </c>
      <c r="C10" s="68">
        <v>5047.2583009999998</v>
      </c>
      <c r="D10" s="14">
        <f t="shared" ref="D10:D73" si="0">C10/C9-1</f>
        <v>1.9026127244635926E-2</v>
      </c>
      <c r="F10" s="72">
        <v>44312</v>
      </c>
      <c r="G10" s="68">
        <v>14631.099609000001</v>
      </c>
      <c r="H10" s="14">
        <f t="shared" ref="H10:H73" si="1">G10/G9-1</f>
        <v>2.0203816788495699E-2</v>
      </c>
      <c r="J10" t="s">
        <v>232</v>
      </c>
      <c r="L10" s="49">
        <v>1</v>
      </c>
    </row>
    <row r="11" spans="2:15" x14ac:dyDescent="0.3">
      <c r="B11" s="67">
        <v>44319</v>
      </c>
      <c r="C11" s="68">
        <v>5058.5981449999999</v>
      </c>
      <c r="D11" s="14">
        <f t="shared" si="0"/>
        <v>2.2467334389748572E-3</v>
      </c>
      <c r="F11" s="72">
        <v>44319</v>
      </c>
      <c r="G11" s="68">
        <v>14823.150390999999</v>
      </c>
      <c r="H11" s="14">
        <f t="shared" si="1"/>
        <v>1.3126202891945438E-2</v>
      </c>
      <c r="J11" t="s">
        <v>231</v>
      </c>
      <c r="L11" s="14">
        <f>1-L8</f>
        <v>0.25</v>
      </c>
      <c r="N11" s="10" t="s">
        <v>204</v>
      </c>
      <c r="O11" s="82">
        <f>O33</f>
        <v>0.52772347744903592</v>
      </c>
    </row>
    <row r="12" spans="2:15" x14ac:dyDescent="0.3">
      <c r="B12" s="67">
        <v>44326</v>
      </c>
      <c r="C12" s="68">
        <v>5080.2509769999997</v>
      </c>
      <c r="D12" s="14">
        <f t="shared" si="0"/>
        <v>4.2804016803354994E-3</v>
      </c>
      <c r="F12" s="72">
        <v>44326</v>
      </c>
      <c r="G12" s="68">
        <v>14677.799805000001</v>
      </c>
      <c r="H12" s="14">
        <f t="shared" si="1"/>
        <v>-9.8056473938393784E-3</v>
      </c>
      <c r="O12" s="49"/>
    </row>
    <row r="13" spans="2:15" ht="15" thickBot="1" x14ac:dyDescent="0.35">
      <c r="B13" s="67">
        <v>44333</v>
      </c>
      <c r="C13" s="68">
        <v>5099.4116210000002</v>
      </c>
      <c r="D13" s="14">
        <f t="shared" si="0"/>
        <v>3.7715939796572062E-3</v>
      </c>
      <c r="F13" s="72">
        <v>44333</v>
      </c>
      <c r="G13" s="68">
        <v>15175.299805000001</v>
      </c>
      <c r="H13" s="14">
        <f t="shared" si="1"/>
        <v>3.3894725817865901E-2</v>
      </c>
      <c r="J13" s="79" t="s">
        <v>233</v>
      </c>
      <c r="K13" s="79"/>
      <c r="L13" s="81">
        <f>(L7*L8)+(L10*L11)</f>
        <v>0.64579260808677696</v>
      </c>
      <c r="M13"/>
    </row>
    <row r="14" spans="2:15" ht="15" thickTop="1" x14ac:dyDescent="0.3">
      <c r="B14" s="67">
        <v>44340</v>
      </c>
      <c r="C14" s="68">
        <v>5078.0024409999996</v>
      </c>
      <c r="D14" s="14">
        <f t="shared" si="0"/>
        <v>-4.1983627899020437E-3</v>
      </c>
      <c r="F14" s="72">
        <v>44340</v>
      </c>
      <c r="G14" s="68">
        <v>15435.650390999999</v>
      </c>
      <c r="H14" s="14">
        <f t="shared" si="1"/>
        <v>1.7156207082921426E-2</v>
      </c>
      <c r="M14"/>
    </row>
    <row r="15" spans="2:15" x14ac:dyDescent="0.3">
      <c r="B15" s="67">
        <v>44347</v>
      </c>
      <c r="C15" s="68">
        <v>5137.0961909999996</v>
      </c>
      <c r="D15" s="14">
        <f t="shared" si="0"/>
        <v>1.1637203937295171E-2</v>
      </c>
      <c r="F15" s="72">
        <v>44347</v>
      </c>
      <c r="G15" s="68">
        <v>15670.25</v>
      </c>
      <c r="H15" s="14">
        <f t="shared" si="1"/>
        <v>1.5198556786229611E-2</v>
      </c>
      <c r="M15"/>
    </row>
    <row r="16" spans="2:15" x14ac:dyDescent="0.3">
      <c r="B16" s="67">
        <v>44354</v>
      </c>
      <c r="C16" s="68">
        <v>5330.654297</v>
      </c>
      <c r="D16" s="14">
        <f t="shared" si="0"/>
        <v>3.7678505288475383E-2</v>
      </c>
      <c r="F16" s="72">
        <v>44354</v>
      </c>
      <c r="G16" s="68">
        <v>15799.349609000001</v>
      </c>
      <c r="H16" s="14">
        <f t="shared" si="1"/>
        <v>8.2385162329892125E-3</v>
      </c>
      <c r="M16"/>
      <c r="N16" t="s">
        <v>205</v>
      </c>
    </row>
    <row r="17" spans="2:22" ht="15" thickBot="1" x14ac:dyDescent="0.35">
      <c r="B17" s="67">
        <v>44361</v>
      </c>
      <c r="C17" s="68">
        <v>5165.3476559999999</v>
      </c>
      <c r="D17" s="14">
        <f t="shared" si="0"/>
        <v>-3.1010572396906633E-2</v>
      </c>
      <c r="F17" s="72">
        <v>44361</v>
      </c>
      <c r="G17" s="68">
        <v>15683.349609000001</v>
      </c>
      <c r="H17" s="14">
        <f t="shared" si="1"/>
        <v>-7.3420743809555766E-3</v>
      </c>
      <c r="M17"/>
    </row>
    <row r="18" spans="2:22" x14ac:dyDescent="0.3">
      <c r="B18" s="67">
        <v>44368</v>
      </c>
      <c r="C18" s="68">
        <v>5190.1777339999999</v>
      </c>
      <c r="D18" s="14">
        <f t="shared" si="0"/>
        <v>4.8070487513376392E-3</v>
      </c>
      <c r="F18" s="72">
        <v>44368</v>
      </c>
      <c r="G18" s="68">
        <v>15860.349609000001</v>
      </c>
      <c r="H18" s="14">
        <f t="shared" si="1"/>
        <v>1.1285854387791394E-2</v>
      </c>
      <c r="M18"/>
      <c r="N18" s="75" t="s">
        <v>206</v>
      </c>
      <c r="O18" s="75"/>
    </row>
    <row r="19" spans="2:22" x14ac:dyDescent="0.3">
      <c r="B19" s="67">
        <v>44375</v>
      </c>
      <c r="C19" s="68">
        <v>5450.6020509999998</v>
      </c>
      <c r="D19" s="14">
        <f t="shared" si="0"/>
        <v>5.0176377447346932E-2</v>
      </c>
      <c r="F19" s="72">
        <v>44375</v>
      </c>
      <c r="G19" s="68">
        <v>15722.200194999999</v>
      </c>
      <c r="H19" s="14">
        <f t="shared" si="1"/>
        <v>-8.7103637313018512E-3</v>
      </c>
      <c r="M19"/>
      <c r="N19" t="s">
        <v>207</v>
      </c>
      <c r="O19">
        <v>0.33008614847321355</v>
      </c>
    </row>
    <row r="20" spans="2:22" x14ac:dyDescent="0.3">
      <c r="B20" s="67">
        <v>44382</v>
      </c>
      <c r="C20" s="68">
        <v>5337.7900390000004</v>
      </c>
      <c r="D20" s="14">
        <f t="shared" si="0"/>
        <v>-2.0697165367136283E-2</v>
      </c>
      <c r="F20" s="72">
        <v>44382</v>
      </c>
      <c r="G20" s="68">
        <v>15689.799805000001</v>
      </c>
      <c r="H20" s="14">
        <f t="shared" si="1"/>
        <v>-2.0608050780515086E-3</v>
      </c>
      <c r="M20"/>
      <c r="N20" t="s">
        <v>208</v>
      </c>
      <c r="O20">
        <v>0.10895686541388036</v>
      </c>
    </row>
    <row r="21" spans="2:22" x14ac:dyDescent="0.3">
      <c r="B21" s="67">
        <v>44389</v>
      </c>
      <c r="C21" s="68">
        <v>5309.5268550000001</v>
      </c>
      <c r="D21" s="14">
        <f t="shared" si="0"/>
        <v>-5.2949223917573285E-3</v>
      </c>
      <c r="F21" s="72">
        <v>44389</v>
      </c>
      <c r="G21" s="68">
        <v>15923.400390999999</v>
      </c>
      <c r="H21" s="14">
        <f t="shared" si="1"/>
        <v>1.488869130921322E-2</v>
      </c>
      <c r="M21"/>
      <c r="N21" t="s">
        <v>209</v>
      </c>
      <c r="O21">
        <v>0.10030596119459764</v>
      </c>
    </row>
    <row r="22" spans="2:22" x14ac:dyDescent="0.3">
      <c r="B22" s="67">
        <v>44396</v>
      </c>
      <c r="C22" s="68">
        <v>5349.3393550000001</v>
      </c>
      <c r="D22" s="14">
        <f t="shared" si="0"/>
        <v>7.498314084711355E-3</v>
      </c>
      <c r="F22" s="72">
        <v>44396</v>
      </c>
      <c r="G22" s="68">
        <v>15856.049805000001</v>
      </c>
      <c r="H22" s="14">
        <f t="shared" si="1"/>
        <v>-4.2296610237889665E-3</v>
      </c>
      <c r="M22"/>
      <c r="N22" t="s">
        <v>210</v>
      </c>
      <c r="O22">
        <v>3.038119117370093E-2</v>
      </c>
    </row>
    <row r="23" spans="2:22" ht="15" thickBot="1" x14ac:dyDescent="0.35">
      <c r="B23" s="67">
        <v>44403</v>
      </c>
      <c r="C23" s="68">
        <v>4647.9365230000003</v>
      </c>
      <c r="D23" s="14">
        <f t="shared" si="0"/>
        <v>-0.13111952438470786</v>
      </c>
      <c r="F23" s="72">
        <v>44403</v>
      </c>
      <c r="G23" s="68">
        <v>15763.049805000001</v>
      </c>
      <c r="H23" s="14">
        <f t="shared" si="1"/>
        <v>-5.8652691650018518E-3</v>
      </c>
      <c r="M23"/>
      <c r="N23" s="73" t="s">
        <v>211</v>
      </c>
      <c r="O23" s="73">
        <v>105</v>
      </c>
    </row>
    <row r="24" spans="2:22" x14ac:dyDescent="0.3">
      <c r="B24" s="67">
        <v>44410</v>
      </c>
      <c r="C24" s="68">
        <v>4722.0278319999998</v>
      </c>
      <c r="D24" s="14">
        <f t="shared" si="0"/>
        <v>1.5940688654710211E-2</v>
      </c>
      <c r="F24" s="72">
        <v>44410</v>
      </c>
      <c r="G24" s="68">
        <v>16238.200194999999</v>
      </c>
      <c r="H24" s="14">
        <f t="shared" si="1"/>
        <v>3.0143303223547635E-2</v>
      </c>
      <c r="M24"/>
    </row>
    <row r="25" spans="2:22" ht="15" thickBot="1" x14ac:dyDescent="0.35">
      <c r="B25" s="67">
        <v>44417</v>
      </c>
      <c r="C25" s="68">
        <v>4589.7290039999998</v>
      </c>
      <c r="D25" s="14">
        <f t="shared" si="0"/>
        <v>-2.8017375734942451E-2</v>
      </c>
      <c r="F25" s="72">
        <v>44417</v>
      </c>
      <c r="G25" s="68">
        <v>16529.099609000001</v>
      </c>
      <c r="H25" s="14">
        <f t="shared" si="1"/>
        <v>1.79145108760006E-2</v>
      </c>
      <c r="M25"/>
      <c r="N25" t="s">
        <v>212</v>
      </c>
    </row>
    <row r="26" spans="2:22" x14ac:dyDescent="0.3">
      <c r="B26" s="67">
        <v>44424</v>
      </c>
      <c r="C26" s="68">
        <v>4494.8203130000002</v>
      </c>
      <c r="D26" s="14">
        <f t="shared" si="0"/>
        <v>-2.067849559686108E-2</v>
      </c>
      <c r="F26" s="72">
        <v>44424</v>
      </c>
      <c r="G26" s="68">
        <v>16450.5</v>
      </c>
      <c r="H26" s="14">
        <f t="shared" si="1"/>
        <v>-4.7552262893499897E-3</v>
      </c>
      <c r="M26"/>
      <c r="N26" s="74"/>
      <c r="O26" s="74" t="s">
        <v>216</v>
      </c>
      <c r="P26" s="74" t="s">
        <v>217</v>
      </c>
      <c r="Q26" s="74" t="s">
        <v>218</v>
      </c>
      <c r="R26" s="74" t="s">
        <v>219</v>
      </c>
      <c r="S26" s="74" t="s">
        <v>220</v>
      </c>
    </row>
    <row r="27" spans="2:22" x14ac:dyDescent="0.3">
      <c r="B27" s="67">
        <v>44431</v>
      </c>
      <c r="C27" s="68">
        <v>4538.7719729999999</v>
      </c>
      <c r="D27" s="14">
        <f t="shared" si="0"/>
        <v>9.7782907745793679E-3</v>
      </c>
      <c r="F27" s="72">
        <v>44431</v>
      </c>
      <c r="G27" s="68">
        <v>16705.199218999998</v>
      </c>
      <c r="H27" s="14">
        <f t="shared" si="1"/>
        <v>1.5482764596820742E-2</v>
      </c>
      <c r="M27"/>
      <c r="N27" t="s">
        <v>213</v>
      </c>
      <c r="O27">
        <v>1</v>
      </c>
      <c r="P27">
        <v>1.1625260459671174E-2</v>
      </c>
      <c r="Q27">
        <v>1.1625260459671174E-2</v>
      </c>
      <c r="R27">
        <v>12.594852821398415</v>
      </c>
      <c r="S27">
        <v>5.8429877480437563E-4</v>
      </c>
    </row>
    <row r="28" spans="2:22" x14ac:dyDescent="0.3">
      <c r="B28" s="67">
        <v>44438</v>
      </c>
      <c r="C28" s="68">
        <v>4832.7705079999996</v>
      </c>
      <c r="D28" s="14">
        <f t="shared" si="0"/>
        <v>6.4774907562865414E-2</v>
      </c>
      <c r="F28" s="72">
        <v>44438</v>
      </c>
      <c r="G28" s="68">
        <v>17323.599609000001</v>
      </c>
      <c r="H28" s="14">
        <f t="shared" si="1"/>
        <v>3.7018438504860862E-2</v>
      </c>
      <c r="M28"/>
      <c r="N28" t="s">
        <v>214</v>
      </c>
      <c r="O28">
        <v>103</v>
      </c>
      <c r="P28">
        <v>9.5070728044695213E-2</v>
      </c>
      <c r="Q28">
        <v>9.2301677713296326E-4</v>
      </c>
    </row>
    <row r="29" spans="2:22" ht="15" thickBot="1" x14ac:dyDescent="0.35">
      <c r="B29" s="67">
        <v>44445</v>
      </c>
      <c r="C29" s="68">
        <v>4846.0893550000001</v>
      </c>
      <c r="D29" s="14">
        <f t="shared" si="0"/>
        <v>2.7559444376581421E-3</v>
      </c>
      <c r="F29" s="72">
        <v>44445</v>
      </c>
      <c r="G29" s="68">
        <v>17369.25</v>
      </c>
      <c r="H29" s="14">
        <f t="shared" si="1"/>
        <v>2.6351562048503308E-3</v>
      </c>
      <c r="M29"/>
      <c r="N29" s="73" t="s">
        <v>35</v>
      </c>
      <c r="O29" s="73">
        <v>104</v>
      </c>
      <c r="P29" s="73">
        <v>0.10669598850436639</v>
      </c>
      <c r="Q29" s="73"/>
      <c r="R29" s="73"/>
      <c r="S29" s="73"/>
    </row>
    <row r="30" spans="2:22" ht="15" thickBot="1" x14ac:dyDescent="0.35">
      <c r="B30" s="67">
        <v>44452</v>
      </c>
      <c r="C30" s="68">
        <v>4818.9584960000002</v>
      </c>
      <c r="D30" s="14">
        <f t="shared" si="0"/>
        <v>-5.5985057254479553E-3</v>
      </c>
      <c r="F30" s="72">
        <v>44452</v>
      </c>
      <c r="G30" s="68">
        <v>17585.150390999999</v>
      </c>
      <c r="H30" s="14">
        <f t="shared" si="1"/>
        <v>1.2430035321041366E-2</v>
      </c>
      <c r="M30"/>
    </row>
    <row r="31" spans="2:22" x14ac:dyDescent="0.3">
      <c r="B31" s="67">
        <v>44459</v>
      </c>
      <c r="C31" s="68">
        <v>4726.0239259999998</v>
      </c>
      <c r="D31" s="14">
        <f t="shared" si="0"/>
        <v>-1.9285198259570202E-2</v>
      </c>
      <c r="F31" s="72">
        <v>44459</v>
      </c>
      <c r="G31" s="68">
        <v>17853.199218999998</v>
      </c>
      <c r="H31" s="14">
        <f t="shared" si="1"/>
        <v>1.5242907910368864E-2</v>
      </c>
      <c r="M31"/>
      <c r="N31" s="74"/>
      <c r="O31" s="74" t="s">
        <v>221</v>
      </c>
      <c r="P31" s="74" t="s">
        <v>210</v>
      </c>
      <c r="Q31" s="74" t="s">
        <v>222</v>
      </c>
      <c r="R31" s="74" t="s">
        <v>223</v>
      </c>
      <c r="S31" s="74" t="s">
        <v>224</v>
      </c>
      <c r="T31" s="74" t="s">
        <v>225</v>
      </c>
      <c r="U31" s="74" t="s">
        <v>226</v>
      </c>
      <c r="V31" s="74" t="s">
        <v>227</v>
      </c>
    </row>
    <row r="32" spans="2:22" x14ac:dyDescent="0.3">
      <c r="B32" s="67">
        <v>44466</v>
      </c>
      <c r="C32" s="68">
        <v>4889.3012699999999</v>
      </c>
      <c r="D32" s="14">
        <f t="shared" si="0"/>
        <v>3.4548564830943373E-2</v>
      </c>
      <c r="F32" s="72">
        <v>44466</v>
      </c>
      <c r="G32" s="68">
        <v>17532.050781000002</v>
      </c>
      <c r="H32" s="14">
        <f t="shared" si="1"/>
        <v>-1.7988285128091697E-2</v>
      </c>
      <c r="M32"/>
      <c r="N32" t="s">
        <v>215</v>
      </c>
      <c r="O32">
        <v>-4.5084467494056648E-4</v>
      </c>
      <c r="P32">
        <v>2.9811760407922974E-3</v>
      </c>
      <c r="Q32">
        <v>-0.15123047709076146</v>
      </c>
      <c r="R32">
        <v>0.88008970699760214</v>
      </c>
      <c r="S32">
        <v>-6.3633042259016335E-3</v>
      </c>
      <c r="T32">
        <v>5.4616148760205001E-3</v>
      </c>
      <c r="U32">
        <v>-6.3633042259016335E-3</v>
      </c>
      <c r="V32">
        <v>5.4616148760205001E-3</v>
      </c>
    </row>
    <row r="33" spans="2:22" ht="15" thickBot="1" x14ac:dyDescent="0.35">
      <c r="B33" s="67">
        <v>44473</v>
      </c>
      <c r="C33" s="68">
        <v>4784.0834960000002</v>
      </c>
      <c r="D33" s="14">
        <f t="shared" si="0"/>
        <v>-2.1520002182234044E-2</v>
      </c>
      <c r="F33" s="72">
        <v>44473</v>
      </c>
      <c r="G33" s="68">
        <v>17895.199218999998</v>
      </c>
      <c r="H33" s="14">
        <f t="shared" si="1"/>
        <v>2.0713403271313213E-2</v>
      </c>
      <c r="M33"/>
      <c r="N33" s="83" t="s">
        <v>228</v>
      </c>
      <c r="O33" s="83">
        <v>0.52772347744903592</v>
      </c>
      <c r="P33" s="73">
        <v>0.14869962289297239</v>
      </c>
      <c r="Q33" s="73">
        <v>3.5489227691509924</v>
      </c>
      <c r="R33" s="73">
        <v>5.8429877480439558E-4</v>
      </c>
      <c r="S33" s="73">
        <v>0.23281284702406896</v>
      </c>
      <c r="T33" s="73">
        <v>0.82263410787400293</v>
      </c>
      <c r="U33" s="73">
        <v>0.23281284702406896</v>
      </c>
      <c r="V33" s="73">
        <v>0.82263410787400293</v>
      </c>
    </row>
    <row r="34" spans="2:22" x14ac:dyDescent="0.3">
      <c r="B34" s="67">
        <v>44480</v>
      </c>
      <c r="C34" s="68">
        <v>4892.1127930000002</v>
      </c>
      <c r="D34" s="14">
        <f t="shared" si="0"/>
        <v>2.2580980681111473E-2</v>
      </c>
      <c r="F34" s="72">
        <v>44480</v>
      </c>
      <c r="G34" s="68">
        <v>18338.550781000002</v>
      </c>
      <c r="H34" s="14">
        <f t="shared" si="1"/>
        <v>2.4774888313580767E-2</v>
      </c>
    </row>
    <row r="35" spans="2:22" x14ac:dyDescent="0.3">
      <c r="B35" s="67">
        <v>44487</v>
      </c>
      <c r="C35" s="68">
        <v>4575.1772460000002</v>
      </c>
      <c r="D35" s="14">
        <f t="shared" si="0"/>
        <v>-6.4785004028013238E-2</v>
      </c>
      <c r="F35" s="72">
        <v>44487</v>
      </c>
      <c r="G35" s="68">
        <v>18114.900390999999</v>
      </c>
      <c r="H35" s="14">
        <f t="shared" si="1"/>
        <v>-1.2195641447944716E-2</v>
      </c>
    </row>
    <row r="36" spans="2:22" x14ac:dyDescent="0.3">
      <c r="C36" s="68">
        <v>4596.6347660000001</v>
      </c>
      <c r="D36" s="14">
        <f t="shared" si="0"/>
        <v>4.6899866051659522E-3</v>
      </c>
      <c r="F36" s="72">
        <v>44494</v>
      </c>
      <c r="G36" s="68">
        <v>17671.650390999999</v>
      </c>
      <c r="H36" s="14">
        <f t="shared" si="1"/>
        <v>-2.4468806917658736E-2</v>
      </c>
    </row>
    <row r="37" spans="2:22" x14ac:dyDescent="0.3">
      <c r="B37" s="67">
        <v>44501</v>
      </c>
      <c r="C37" s="68">
        <v>4702.1484380000002</v>
      </c>
      <c r="D37" s="14">
        <f t="shared" si="0"/>
        <v>2.2954547700951622E-2</v>
      </c>
      <c r="F37" s="72">
        <v>44501</v>
      </c>
      <c r="G37" s="68">
        <v>17916.800781000002</v>
      </c>
      <c r="H37" s="14">
        <f t="shared" si="1"/>
        <v>1.3872523764099309E-2</v>
      </c>
    </row>
    <row r="38" spans="2:22" x14ac:dyDescent="0.3">
      <c r="B38" s="67">
        <v>44508</v>
      </c>
      <c r="C38" s="68">
        <v>4778.2128910000001</v>
      </c>
      <c r="D38" s="14">
        <f t="shared" si="0"/>
        <v>1.6176531643555148E-2</v>
      </c>
      <c r="F38" s="72">
        <v>44508</v>
      </c>
      <c r="G38" s="68">
        <v>18102.75</v>
      </c>
      <c r="H38" s="14">
        <f t="shared" si="1"/>
        <v>1.0378483372834646E-2</v>
      </c>
    </row>
    <row r="39" spans="2:22" x14ac:dyDescent="0.3">
      <c r="B39" s="67">
        <v>44515</v>
      </c>
      <c r="C39" s="68">
        <v>4608.7202150000003</v>
      </c>
      <c r="D39" s="14">
        <f t="shared" si="0"/>
        <v>-3.5471980815096726E-2</v>
      </c>
      <c r="F39" s="72">
        <v>44515</v>
      </c>
      <c r="G39" s="68">
        <v>17764.800781000002</v>
      </c>
      <c r="H39" s="14">
        <f t="shared" si="1"/>
        <v>-1.8668391211279944E-2</v>
      </c>
    </row>
    <row r="40" spans="2:22" x14ac:dyDescent="0.3">
      <c r="B40" s="67">
        <v>44522</v>
      </c>
      <c r="C40" s="68">
        <v>4687.1030270000001</v>
      </c>
      <c r="D40" s="14">
        <f t="shared" si="0"/>
        <v>1.7007500638656081E-2</v>
      </c>
      <c r="F40" s="72">
        <v>44522</v>
      </c>
      <c r="G40" s="68">
        <v>17026.449218999998</v>
      </c>
      <c r="H40" s="14">
        <f t="shared" si="1"/>
        <v>-4.1562614245001406E-2</v>
      </c>
    </row>
    <row r="41" spans="2:22" x14ac:dyDescent="0.3">
      <c r="B41" s="67">
        <v>44529</v>
      </c>
      <c r="C41" s="68">
        <v>4534.7768550000001</v>
      </c>
      <c r="D41" s="14">
        <f t="shared" si="0"/>
        <v>-3.2499002288306267E-2</v>
      </c>
      <c r="F41" s="72">
        <v>44529</v>
      </c>
      <c r="G41" s="68">
        <v>17196.699218999998</v>
      </c>
      <c r="H41" s="14">
        <f t="shared" si="1"/>
        <v>9.9991488424970854E-3</v>
      </c>
    </row>
    <row r="42" spans="2:22" x14ac:dyDescent="0.3">
      <c r="B42" s="67">
        <v>44536</v>
      </c>
      <c r="C42" s="68">
        <v>4531.6191410000001</v>
      </c>
      <c r="D42" s="14">
        <f t="shared" si="0"/>
        <v>-6.9633282981018674E-4</v>
      </c>
      <c r="F42" s="72">
        <v>44536</v>
      </c>
      <c r="G42" s="68">
        <v>17511.300781000002</v>
      </c>
      <c r="H42" s="14">
        <f t="shared" si="1"/>
        <v>1.8294299271828462E-2</v>
      </c>
    </row>
    <row r="43" spans="2:22" x14ac:dyDescent="0.3">
      <c r="B43" s="67">
        <v>44543</v>
      </c>
      <c r="C43" s="68">
        <v>4457.2817379999997</v>
      </c>
      <c r="D43" s="14">
        <f t="shared" si="0"/>
        <v>-1.6404159459790013E-2</v>
      </c>
      <c r="F43" s="72">
        <v>44543</v>
      </c>
      <c r="G43" s="68">
        <v>16985.199218999998</v>
      </c>
      <c r="H43" s="14">
        <f t="shared" si="1"/>
        <v>-3.0043545512668635E-2</v>
      </c>
    </row>
    <row r="44" spans="2:22" x14ac:dyDescent="0.3">
      <c r="B44" s="67">
        <v>44550</v>
      </c>
      <c r="C44" s="68">
        <v>4576.3603519999997</v>
      </c>
      <c r="D44" s="14">
        <f t="shared" si="0"/>
        <v>2.6715523271686026E-2</v>
      </c>
      <c r="F44" s="72">
        <v>44550</v>
      </c>
      <c r="G44" s="68">
        <v>17003.75</v>
      </c>
      <c r="H44" s="14">
        <f t="shared" si="1"/>
        <v>1.0921732951623131E-3</v>
      </c>
    </row>
    <row r="45" spans="2:22" x14ac:dyDescent="0.3">
      <c r="B45" s="67">
        <v>44557</v>
      </c>
      <c r="C45" s="68">
        <v>4841.1069340000004</v>
      </c>
      <c r="D45" s="14">
        <f t="shared" si="0"/>
        <v>5.785090369561896E-2</v>
      </c>
      <c r="F45" s="72">
        <v>44557</v>
      </c>
      <c r="G45" s="68">
        <v>17354.050781000002</v>
      </c>
      <c r="H45" s="14">
        <f t="shared" si="1"/>
        <v>2.0601383871204915E-2</v>
      </c>
    </row>
    <row r="46" spans="2:22" x14ac:dyDescent="0.3">
      <c r="B46" s="67">
        <v>44564</v>
      </c>
      <c r="C46" s="68">
        <v>4645.173828</v>
      </c>
      <c r="D46" s="14">
        <f t="shared" si="0"/>
        <v>-4.0472790349646126E-2</v>
      </c>
      <c r="F46" s="72">
        <v>44564</v>
      </c>
      <c r="G46" s="68">
        <v>17812.699218999998</v>
      </c>
      <c r="H46" s="14">
        <f t="shared" si="1"/>
        <v>2.6428898001275014E-2</v>
      </c>
    </row>
    <row r="47" spans="2:22" x14ac:dyDescent="0.3">
      <c r="B47" s="67">
        <v>44571</v>
      </c>
      <c r="C47" s="68">
        <v>4626.2319340000004</v>
      </c>
      <c r="D47" s="14">
        <f t="shared" si="0"/>
        <v>-4.0777578410139403E-3</v>
      </c>
      <c r="F47" s="72">
        <v>44571</v>
      </c>
      <c r="G47" s="68">
        <v>18255.75</v>
      </c>
      <c r="H47" s="14">
        <f t="shared" si="1"/>
        <v>2.4872748119354027E-2</v>
      </c>
    </row>
    <row r="48" spans="2:22" x14ac:dyDescent="0.3">
      <c r="B48" s="67">
        <v>44578</v>
      </c>
      <c r="C48" s="68">
        <v>4435.7739259999998</v>
      </c>
      <c r="D48" s="14">
        <f t="shared" si="0"/>
        <v>-4.1169143855553259E-2</v>
      </c>
      <c r="F48" s="72">
        <v>44578</v>
      </c>
      <c r="G48" s="68">
        <v>17617.150390999999</v>
      </c>
      <c r="H48" s="14">
        <f t="shared" si="1"/>
        <v>-3.4980738068827621E-2</v>
      </c>
    </row>
    <row r="49" spans="2:8" x14ac:dyDescent="0.3">
      <c r="B49" s="67">
        <v>44585</v>
      </c>
      <c r="C49" s="68">
        <v>4161.951172</v>
      </c>
      <c r="D49" s="14">
        <f t="shared" si="0"/>
        <v>-6.1730547716826956E-2</v>
      </c>
      <c r="F49" s="72">
        <v>44585</v>
      </c>
      <c r="G49" s="68">
        <v>17101.949218999998</v>
      </c>
      <c r="H49" s="14">
        <f t="shared" si="1"/>
        <v>-2.9244296640800638E-2</v>
      </c>
    </row>
    <row r="50" spans="2:8" x14ac:dyDescent="0.3">
      <c r="B50" s="67">
        <v>44592</v>
      </c>
      <c r="C50" s="68">
        <v>4293.5107420000004</v>
      </c>
      <c r="D50" s="14">
        <f t="shared" si="0"/>
        <v>3.1610070508535149E-2</v>
      </c>
      <c r="F50" s="72">
        <v>44592</v>
      </c>
      <c r="G50" s="68">
        <v>17516.300781000002</v>
      </c>
      <c r="H50" s="14">
        <f t="shared" si="1"/>
        <v>2.4228323724623468E-2</v>
      </c>
    </row>
    <row r="51" spans="2:8" x14ac:dyDescent="0.3">
      <c r="B51" s="67">
        <v>44599</v>
      </c>
      <c r="C51" s="68">
        <v>4267.3168949999999</v>
      </c>
      <c r="D51" s="14">
        <f t="shared" si="0"/>
        <v>-6.1007992232945396E-3</v>
      </c>
      <c r="F51" s="72">
        <v>44599</v>
      </c>
      <c r="G51" s="68">
        <v>17374.75</v>
      </c>
      <c r="H51" s="14">
        <f t="shared" si="1"/>
        <v>-8.0810887395552644E-3</v>
      </c>
    </row>
    <row r="52" spans="2:8" x14ac:dyDescent="0.3">
      <c r="B52" s="67">
        <v>44606</v>
      </c>
      <c r="C52" s="68">
        <v>4263.1240230000003</v>
      </c>
      <c r="D52" s="14">
        <f t="shared" si="0"/>
        <v>-9.8255463635998908E-4</v>
      </c>
      <c r="F52" s="72">
        <v>44606</v>
      </c>
      <c r="G52" s="68">
        <v>17276.300781000002</v>
      </c>
      <c r="H52" s="14">
        <f t="shared" si="1"/>
        <v>-5.66622362911684E-3</v>
      </c>
    </row>
    <row r="53" spans="2:8" x14ac:dyDescent="0.3">
      <c r="B53" s="67">
        <v>44613</v>
      </c>
      <c r="C53" s="68">
        <v>4120.5151370000003</v>
      </c>
      <c r="D53" s="14">
        <f t="shared" si="0"/>
        <v>-3.3451732867871065E-2</v>
      </c>
      <c r="F53" s="72">
        <v>44613</v>
      </c>
      <c r="G53" s="68">
        <v>16658.400390999999</v>
      </c>
      <c r="H53" s="14">
        <f t="shared" si="1"/>
        <v>-3.5765780987070617E-2</v>
      </c>
    </row>
    <row r="54" spans="2:8" x14ac:dyDescent="0.3">
      <c r="B54" s="67">
        <v>44620</v>
      </c>
      <c r="C54" s="68">
        <v>3777.2373050000001</v>
      </c>
      <c r="D54" s="14">
        <f t="shared" si="0"/>
        <v>-8.3309445684970451E-2</v>
      </c>
      <c r="F54" s="72">
        <v>44620</v>
      </c>
      <c r="G54" s="68">
        <v>16245.349609000001</v>
      </c>
      <c r="H54" s="14">
        <f t="shared" si="1"/>
        <v>-2.479534482933643E-2</v>
      </c>
    </row>
    <row r="55" spans="2:8" x14ac:dyDescent="0.3">
      <c r="B55" s="67">
        <v>44627</v>
      </c>
      <c r="C55" s="68">
        <v>3922.2143550000001</v>
      </c>
      <c r="D55" s="14">
        <f t="shared" si="0"/>
        <v>3.8381769079769201E-2</v>
      </c>
      <c r="F55" s="72">
        <v>44627</v>
      </c>
      <c r="G55" s="68">
        <v>16630.449218999998</v>
      </c>
      <c r="H55" s="14">
        <f t="shared" si="1"/>
        <v>2.3705221449137115E-2</v>
      </c>
    </row>
    <row r="56" spans="2:8" x14ac:dyDescent="0.3">
      <c r="B56" s="67">
        <v>44634</v>
      </c>
      <c r="C56" s="68">
        <v>3987.8703609999998</v>
      </c>
      <c r="D56" s="14">
        <f t="shared" si="0"/>
        <v>1.6739525190993643E-2</v>
      </c>
      <c r="F56" s="72">
        <v>44634</v>
      </c>
      <c r="G56" s="68">
        <v>17287.050781000002</v>
      </c>
      <c r="H56" s="14">
        <f t="shared" si="1"/>
        <v>3.9481889716475482E-2</v>
      </c>
    </row>
    <row r="57" spans="2:8" x14ac:dyDescent="0.3">
      <c r="B57" s="67">
        <v>44641</v>
      </c>
      <c r="C57" s="68">
        <v>4302.8828130000002</v>
      </c>
      <c r="D57" s="14">
        <f t="shared" si="0"/>
        <v>7.8992651085329602E-2</v>
      </c>
      <c r="F57" s="72">
        <v>44641</v>
      </c>
      <c r="G57" s="68">
        <v>17153</v>
      </c>
      <c r="H57" s="14">
        <f t="shared" si="1"/>
        <v>-7.7544043051771538E-3</v>
      </c>
    </row>
    <row r="58" spans="2:8" x14ac:dyDescent="0.3">
      <c r="B58" s="67">
        <v>44648</v>
      </c>
      <c r="C58" s="68">
        <v>4221.9838870000003</v>
      </c>
      <c r="D58" s="14">
        <f t="shared" si="0"/>
        <v>-1.8801099057493609E-2</v>
      </c>
      <c r="F58" s="72">
        <v>44648</v>
      </c>
      <c r="G58" s="68">
        <v>17670.449218999998</v>
      </c>
      <c r="H58" s="14">
        <f t="shared" si="1"/>
        <v>3.0166689150585846E-2</v>
      </c>
    </row>
    <row r="59" spans="2:8" x14ac:dyDescent="0.3">
      <c r="B59" s="67">
        <v>44655</v>
      </c>
      <c r="C59" s="68">
        <v>4370.857422</v>
      </c>
      <c r="D59" s="14">
        <f t="shared" si="0"/>
        <v>3.5261511882695551E-2</v>
      </c>
      <c r="F59" s="72">
        <v>44655</v>
      </c>
      <c r="G59" s="68">
        <v>17784.349609000001</v>
      </c>
      <c r="H59" s="14">
        <f t="shared" si="1"/>
        <v>6.4458117950692007E-3</v>
      </c>
    </row>
    <row r="60" spans="2:8" x14ac:dyDescent="0.3">
      <c r="B60" s="67">
        <v>44662</v>
      </c>
      <c r="C60" s="68">
        <v>4241.46875</v>
      </c>
      <c r="D60" s="14">
        <f t="shared" si="0"/>
        <v>-2.9602583545448868E-2</v>
      </c>
      <c r="F60" s="72">
        <v>44662</v>
      </c>
      <c r="G60" s="68">
        <v>17475.650390999999</v>
      </c>
      <c r="H60" s="14">
        <f t="shared" si="1"/>
        <v>-1.7357914390289553E-2</v>
      </c>
    </row>
    <row r="61" spans="2:8" x14ac:dyDescent="0.3">
      <c r="B61" s="67">
        <v>44669</v>
      </c>
      <c r="C61" s="68">
        <v>4136.4482420000004</v>
      </c>
      <c r="D61" s="14">
        <f t="shared" si="0"/>
        <v>-2.4760410647844511E-2</v>
      </c>
      <c r="F61" s="72">
        <v>44669</v>
      </c>
      <c r="G61" s="68">
        <v>17171.949218999998</v>
      </c>
      <c r="H61" s="14">
        <f t="shared" si="1"/>
        <v>-1.7378533285170805E-2</v>
      </c>
    </row>
    <row r="62" spans="2:8" x14ac:dyDescent="0.3">
      <c r="B62" s="67">
        <v>44676</v>
      </c>
      <c r="C62" s="68">
        <v>4076.4648440000001</v>
      </c>
      <c r="D62" s="14">
        <f t="shared" si="0"/>
        <v>-1.4501184226349162E-2</v>
      </c>
      <c r="F62" s="72">
        <v>44676</v>
      </c>
      <c r="G62" s="68">
        <v>17102.550781000002</v>
      </c>
      <c r="H62" s="14">
        <f t="shared" si="1"/>
        <v>-4.041383835634127E-3</v>
      </c>
    </row>
    <row r="63" spans="2:8" x14ac:dyDescent="0.3">
      <c r="B63" s="67">
        <v>44683</v>
      </c>
      <c r="C63" s="68">
        <v>3877.8676759999998</v>
      </c>
      <c r="D63" s="14">
        <f t="shared" si="0"/>
        <v>-4.8717988649480959E-2</v>
      </c>
      <c r="F63" s="72">
        <v>44683</v>
      </c>
      <c r="G63" s="68">
        <v>16411.25</v>
      </c>
      <c r="H63" s="14">
        <f t="shared" si="1"/>
        <v>-4.0420916730619982E-2</v>
      </c>
    </row>
    <row r="64" spans="2:8" x14ac:dyDescent="0.3">
      <c r="B64" s="67">
        <v>44690</v>
      </c>
      <c r="C64" s="68">
        <v>3871.6030270000001</v>
      </c>
      <c r="D64" s="14">
        <f t="shared" si="0"/>
        <v>-1.6154880783507686E-3</v>
      </c>
      <c r="F64" s="72">
        <v>44690</v>
      </c>
      <c r="G64" s="68">
        <v>15782.150390999999</v>
      </c>
      <c r="H64" s="14">
        <f t="shared" si="1"/>
        <v>-3.8333436453652281E-2</v>
      </c>
    </row>
    <row r="65" spans="2:8" x14ac:dyDescent="0.3">
      <c r="B65" s="67">
        <v>44697</v>
      </c>
      <c r="C65" s="68">
        <v>4192.0419920000004</v>
      </c>
      <c r="D65" s="14">
        <f t="shared" si="0"/>
        <v>8.2766482711503553E-2</v>
      </c>
      <c r="F65" s="72">
        <v>44697</v>
      </c>
      <c r="G65" s="68">
        <v>16266.150390999999</v>
      </c>
      <c r="H65" s="14">
        <f t="shared" si="1"/>
        <v>3.0667557209187901E-2</v>
      </c>
    </row>
    <row r="66" spans="2:8" x14ac:dyDescent="0.3">
      <c r="B66" s="67">
        <v>44704</v>
      </c>
      <c r="C66" s="68">
        <v>4331.5429690000001</v>
      </c>
      <c r="D66" s="14">
        <f t="shared" si="0"/>
        <v>3.3277571471426182E-2</v>
      </c>
      <c r="F66" s="72">
        <v>44704</v>
      </c>
      <c r="G66" s="68">
        <v>16352.450194999999</v>
      </c>
      <c r="H66" s="14">
        <f t="shared" si="1"/>
        <v>5.3054842064996777E-3</v>
      </c>
    </row>
    <row r="67" spans="2:8" x14ac:dyDescent="0.3">
      <c r="B67" s="67">
        <v>44711</v>
      </c>
      <c r="C67" s="68">
        <v>4281.720703</v>
      </c>
      <c r="D67" s="14">
        <f t="shared" si="0"/>
        <v>-1.1502198259735197E-2</v>
      </c>
      <c r="F67" s="72">
        <v>44711</v>
      </c>
      <c r="G67" s="68">
        <v>16584.300781000002</v>
      </c>
      <c r="H67" s="14">
        <f t="shared" si="1"/>
        <v>1.4178339223494207E-2</v>
      </c>
    </row>
    <row r="68" spans="2:8" x14ac:dyDescent="0.3">
      <c r="B68" s="67">
        <v>44718</v>
      </c>
      <c r="C68" s="68">
        <v>4293.1157229999999</v>
      </c>
      <c r="D68" s="14">
        <f t="shared" si="0"/>
        <v>2.6613179117489505E-3</v>
      </c>
      <c r="F68" s="72">
        <v>44718</v>
      </c>
      <c r="G68" s="68">
        <v>16201.799805000001</v>
      </c>
      <c r="H68" s="14">
        <f t="shared" si="1"/>
        <v>-2.3064039964724836E-2</v>
      </c>
    </row>
    <row r="69" spans="2:8" x14ac:dyDescent="0.3">
      <c r="B69" s="67">
        <v>44725</v>
      </c>
      <c r="C69" s="68">
        <v>4091.0170899999998</v>
      </c>
      <c r="D69" s="14">
        <f t="shared" si="0"/>
        <v>-4.7075048994666968E-2</v>
      </c>
      <c r="F69" s="72">
        <v>44725</v>
      </c>
      <c r="G69" s="68">
        <v>15293.5</v>
      </c>
      <c r="H69" s="14">
        <f t="shared" si="1"/>
        <v>-5.606166079892505E-2</v>
      </c>
    </row>
    <row r="70" spans="2:8" x14ac:dyDescent="0.3">
      <c r="B70" s="67">
        <v>44732</v>
      </c>
      <c r="C70" s="68">
        <v>4251.7783200000003</v>
      </c>
      <c r="D70" s="14">
        <f t="shared" si="0"/>
        <v>3.9296152145871455E-2</v>
      </c>
      <c r="F70" s="72">
        <v>44732</v>
      </c>
      <c r="G70" s="68">
        <v>15699.25</v>
      </c>
      <c r="H70" s="14">
        <f t="shared" si="1"/>
        <v>2.6530879131657192E-2</v>
      </c>
    </row>
    <row r="71" spans="2:8" x14ac:dyDescent="0.3">
      <c r="B71" s="67">
        <v>44739</v>
      </c>
      <c r="C71" s="68">
        <v>4327.0043949999999</v>
      </c>
      <c r="D71" s="14">
        <f t="shared" si="0"/>
        <v>1.7692849753276674E-2</v>
      </c>
      <c r="F71" s="72">
        <v>44739</v>
      </c>
      <c r="G71" s="68">
        <v>15752.049805000001</v>
      </c>
      <c r="H71" s="14">
        <f t="shared" si="1"/>
        <v>3.3632055671448668E-3</v>
      </c>
    </row>
    <row r="72" spans="2:8" x14ac:dyDescent="0.3">
      <c r="B72" s="67">
        <v>44746</v>
      </c>
      <c r="C72" s="68">
        <v>4347.0322269999997</v>
      </c>
      <c r="D72" s="14">
        <f t="shared" si="0"/>
        <v>4.6285675196315879E-3</v>
      </c>
      <c r="F72" s="72">
        <v>44746</v>
      </c>
      <c r="G72" s="68">
        <v>16220.599609000001</v>
      </c>
      <c r="H72" s="14">
        <f t="shared" si="1"/>
        <v>2.9745322659611828E-2</v>
      </c>
    </row>
    <row r="73" spans="2:8" x14ac:dyDescent="0.3">
      <c r="B73" s="67">
        <v>44753</v>
      </c>
      <c r="C73" s="68">
        <v>4484.9545900000003</v>
      </c>
      <c r="D73" s="14">
        <f t="shared" si="0"/>
        <v>3.1727936623829445E-2</v>
      </c>
      <c r="F73" s="72">
        <v>44753</v>
      </c>
      <c r="G73" s="68">
        <v>16049.200194999999</v>
      </c>
      <c r="H73" s="14">
        <f t="shared" si="1"/>
        <v>-1.0566774233481513E-2</v>
      </c>
    </row>
    <row r="74" spans="2:8" x14ac:dyDescent="0.3">
      <c r="B74" s="67">
        <v>44760</v>
      </c>
      <c r="C74" s="68">
        <v>4373.5</v>
      </c>
      <c r="D74" s="14">
        <f t="shared" ref="D74:D113" si="2">C74/C73-1</f>
        <v>-2.4850773349747612E-2</v>
      </c>
      <c r="F74" s="72">
        <v>44760</v>
      </c>
      <c r="G74" s="68">
        <v>16719.449218999998</v>
      </c>
      <c r="H74" s="14">
        <f t="shared" ref="H74:H113" si="3">G74/G73-1</f>
        <v>4.1762144895470144E-2</v>
      </c>
    </row>
    <row r="75" spans="2:8" x14ac:dyDescent="0.3">
      <c r="B75" s="67">
        <v>44767</v>
      </c>
      <c r="C75" s="68">
        <v>4090.3500979999999</v>
      </c>
      <c r="D75" s="14">
        <f t="shared" si="2"/>
        <v>-6.4742174917114426E-2</v>
      </c>
      <c r="F75" s="72">
        <v>44767</v>
      </c>
      <c r="G75" s="68">
        <v>17158.25</v>
      </c>
      <c r="H75" s="14">
        <f t="shared" si="3"/>
        <v>2.6244930395275645E-2</v>
      </c>
    </row>
    <row r="76" spans="2:8" x14ac:dyDescent="0.3">
      <c r="B76" s="67">
        <v>44774</v>
      </c>
      <c r="C76" s="68">
        <v>4156.8500979999999</v>
      </c>
      <c r="D76" s="14">
        <f t="shared" si="2"/>
        <v>1.6257777062290035E-2</v>
      </c>
      <c r="F76" s="72">
        <v>44774</v>
      </c>
      <c r="G76" s="68">
        <v>17397.5</v>
      </c>
      <c r="H76" s="14">
        <f t="shared" si="3"/>
        <v>1.3943729692713402E-2</v>
      </c>
    </row>
    <row r="77" spans="2:8" x14ac:dyDescent="0.3">
      <c r="B77" s="67">
        <v>44781</v>
      </c>
      <c r="C77" s="68">
        <v>4260.7998049999997</v>
      </c>
      <c r="D77" s="14">
        <f t="shared" si="2"/>
        <v>2.50068452191754E-2</v>
      </c>
      <c r="F77" s="72">
        <v>44781</v>
      </c>
      <c r="G77" s="68">
        <v>17698.150390999999</v>
      </c>
      <c r="H77" s="14">
        <f t="shared" si="3"/>
        <v>1.7281241040379314E-2</v>
      </c>
    </row>
    <row r="78" spans="2:8" x14ac:dyDescent="0.3">
      <c r="B78" s="67">
        <v>44788</v>
      </c>
      <c r="C78" s="68">
        <v>4204</v>
      </c>
      <c r="D78" s="14">
        <f t="shared" si="2"/>
        <v>-1.3330784735144263E-2</v>
      </c>
      <c r="F78" s="72">
        <v>44788</v>
      </c>
      <c r="G78" s="68">
        <v>17758.449218999998</v>
      </c>
      <c r="H78" s="14">
        <f t="shared" si="3"/>
        <v>3.4070694771959342E-3</v>
      </c>
    </row>
    <row r="79" spans="2:8" x14ac:dyDescent="0.3">
      <c r="B79" s="67">
        <v>44795</v>
      </c>
      <c r="C79" s="68">
        <v>4223.2998049999997</v>
      </c>
      <c r="D79" s="14">
        <f t="shared" si="2"/>
        <v>4.5908194576593786E-3</v>
      </c>
      <c r="F79" s="72">
        <v>44795</v>
      </c>
      <c r="G79" s="68">
        <v>17558.900390999999</v>
      </c>
      <c r="H79" s="14">
        <f t="shared" si="3"/>
        <v>-1.1236838619134604E-2</v>
      </c>
    </row>
    <row r="80" spans="2:8" x14ac:dyDescent="0.3">
      <c r="B80" s="67">
        <v>44802</v>
      </c>
      <c r="C80" s="68">
        <v>4189.9501950000003</v>
      </c>
      <c r="D80" s="14">
        <f t="shared" si="2"/>
        <v>-7.8965765017479095E-3</v>
      </c>
      <c r="F80" s="72">
        <v>44802</v>
      </c>
      <c r="G80" s="68">
        <v>17539.449218999998</v>
      </c>
      <c r="H80" s="14">
        <f t="shared" si="3"/>
        <v>-1.1077670905844661E-3</v>
      </c>
    </row>
    <row r="81" spans="2:8" x14ac:dyDescent="0.3">
      <c r="B81" s="67">
        <v>44809</v>
      </c>
      <c r="C81" s="68">
        <v>4255.1000979999999</v>
      </c>
      <c r="D81" s="14">
        <f t="shared" si="2"/>
        <v>1.5549087690289287E-2</v>
      </c>
      <c r="F81" s="72">
        <v>44809</v>
      </c>
      <c r="G81" s="68">
        <v>17833.349609000001</v>
      </c>
      <c r="H81" s="14">
        <f t="shared" si="3"/>
        <v>1.6756534730955508E-2</v>
      </c>
    </row>
    <row r="82" spans="2:8" x14ac:dyDescent="0.3">
      <c r="B82" s="67">
        <v>44816</v>
      </c>
      <c r="C82" s="68">
        <v>4077.3500979999999</v>
      </c>
      <c r="D82" s="14">
        <f t="shared" si="2"/>
        <v>-4.1773400368077529E-2</v>
      </c>
      <c r="F82" s="72">
        <v>44816</v>
      </c>
      <c r="G82" s="68">
        <v>17530.849609000001</v>
      </c>
      <c r="H82" s="14">
        <f t="shared" si="3"/>
        <v>-1.6962601341440453E-2</v>
      </c>
    </row>
    <row r="83" spans="2:8" x14ac:dyDescent="0.3">
      <c r="B83" s="67">
        <v>44823</v>
      </c>
      <c r="C83" s="68">
        <v>4139.2001950000003</v>
      </c>
      <c r="D83" s="14">
        <f t="shared" si="2"/>
        <v>1.5169189673052363E-2</v>
      </c>
      <c r="F83" s="72">
        <v>44823</v>
      </c>
      <c r="G83" s="68">
        <v>17327.349609000001</v>
      </c>
      <c r="H83" s="14">
        <f t="shared" si="3"/>
        <v>-1.1608108251383698E-2</v>
      </c>
    </row>
    <row r="84" spans="2:8" x14ac:dyDescent="0.3">
      <c r="B84" s="67">
        <v>44830</v>
      </c>
      <c r="C84" s="68">
        <v>4335.7001950000003</v>
      </c>
      <c r="D84" s="14">
        <f t="shared" si="2"/>
        <v>4.7472939394756608E-2</v>
      </c>
      <c r="F84" s="72">
        <v>44830</v>
      </c>
      <c r="G84" s="68">
        <v>17094.349609000001</v>
      </c>
      <c r="H84" s="14">
        <f t="shared" si="3"/>
        <v>-1.3446949779265527E-2</v>
      </c>
    </row>
    <row r="85" spans="2:8" x14ac:dyDescent="0.3">
      <c r="B85" s="67">
        <v>44837</v>
      </c>
      <c r="C85" s="68">
        <v>4376.6499020000001</v>
      </c>
      <c r="D85" s="14">
        <f t="shared" si="2"/>
        <v>9.4447736601399601E-3</v>
      </c>
      <c r="F85" s="72">
        <v>44837</v>
      </c>
      <c r="G85" s="68">
        <v>17314.650390999999</v>
      </c>
      <c r="H85" s="14">
        <f t="shared" si="3"/>
        <v>1.2887345060733635E-2</v>
      </c>
    </row>
    <row r="86" spans="2:8" x14ac:dyDescent="0.3">
      <c r="B86" s="67">
        <v>44844</v>
      </c>
      <c r="C86" s="68">
        <v>4310.7998049999997</v>
      </c>
      <c r="D86" s="14">
        <f t="shared" si="2"/>
        <v>-1.5045776672680367E-2</v>
      </c>
      <c r="F86" s="72">
        <v>44844</v>
      </c>
      <c r="G86" s="68">
        <v>17185.699218999998</v>
      </c>
      <c r="H86" s="14">
        <f t="shared" si="3"/>
        <v>-7.4475180894804094E-3</v>
      </c>
    </row>
    <row r="87" spans="2:8" x14ac:dyDescent="0.3">
      <c r="B87" s="67">
        <v>44851</v>
      </c>
      <c r="C87" s="68">
        <v>4330.7998049999997</v>
      </c>
      <c r="D87" s="14">
        <f t="shared" si="2"/>
        <v>4.6395102776062291E-3</v>
      </c>
      <c r="F87" s="72">
        <v>44851</v>
      </c>
      <c r="G87" s="68">
        <v>17576.300781000002</v>
      </c>
      <c r="H87" s="14">
        <f t="shared" si="3"/>
        <v>2.2728290366455628E-2</v>
      </c>
    </row>
    <row r="88" spans="2:8" x14ac:dyDescent="0.3">
      <c r="B88" s="67">
        <v>44858</v>
      </c>
      <c r="C88" s="68">
        <v>4459.9501950000003</v>
      </c>
      <c r="D88" s="14">
        <f t="shared" si="2"/>
        <v>2.9821371528393925E-2</v>
      </c>
      <c r="F88" s="72">
        <v>44858</v>
      </c>
      <c r="G88" s="68">
        <v>17786.800781000002</v>
      </c>
      <c r="H88" s="14">
        <f t="shared" si="3"/>
        <v>1.197635399068453E-2</v>
      </c>
    </row>
    <row r="89" spans="2:8" x14ac:dyDescent="0.3">
      <c r="B89" s="67">
        <v>44865</v>
      </c>
      <c r="C89" s="68">
        <v>4525.1000979999999</v>
      </c>
      <c r="D89" s="14">
        <f t="shared" si="2"/>
        <v>1.4607764695004466E-2</v>
      </c>
      <c r="F89" s="72">
        <v>44865</v>
      </c>
      <c r="G89" s="68">
        <v>18117.150390999999</v>
      </c>
      <c r="H89" s="14">
        <f t="shared" si="3"/>
        <v>1.8572739081492262E-2</v>
      </c>
    </row>
    <row r="90" spans="2:8" x14ac:dyDescent="0.3">
      <c r="B90" s="67">
        <v>44872</v>
      </c>
      <c r="C90" s="68">
        <v>4539.4501950000003</v>
      </c>
      <c r="D90" s="14">
        <f t="shared" si="2"/>
        <v>3.1712220037614092E-3</v>
      </c>
      <c r="F90" s="72">
        <v>44872</v>
      </c>
      <c r="G90" s="68">
        <v>18349.699218999998</v>
      </c>
      <c r="H90" s="14">
        <f t="shared" si="3"/>
        <v>1.2835839134808014E-2</v>
      </c>
    </row>
    <row r="91" spans="2:8" x14ac:dyDescent="0.3">
      <c r="B91" s="67">
        <v>44879</v>
      </c>
      <c r="C91" s="68">
        <v>4409.0498049999997</v>
      </c>
      <c r="D91" s="14">
        <f t="shared" si="2"/>
        <v>-2.8726031655470274E-2</v>
      </c>
      <c r="F91" s="72">
        <v>44879</v>
      </c>
      <c r="G91" s="68">
        <v>18307.650390999999</v>
      </c>
      <c r="H91" s="14">
        <f t="shared" si="3"/>
        <v>-2.2915268254892762E-3</v>
      </c>
    </row>
    <row r="92" spans="2:8" x14ac:dyDescent="0.3">
      <c r="B92" s="67">
        <v>44886</v>
      </c>
      <c r="C92" s="68">
        <v>4418.1000979999999</v>
      </c>
      <c r="D92" s="14">
        <f t="shared" si="2"/>
        <v>2.0526629093045035E-3</v>
      </c>
      <c r="F92" s="72">
        <v>44886</v>
      </c>
      <c r="G92" s="68">
        <v>18512.75</v>
      </c>
      <c r="H92" s="14">
        <f t="shared" si="3"/>
        <v>1.1202945469224623E-2</v>
      </c>
    </row>
    <row r="93" spans="2:8" x14ac:dyDescent="0.3">
      <c r="B93" s="67">
        <v>44893</v>
      </c>
      <c r="C93" s="68">
        <v>4510.3999020000001</v>
      </c>
      <c r="D93" s="14">
        <f t="shared" si="2"/>
        <v>2.0891288552240539E-2</v>
      </c>
      <c r="F93" s="72">
        <v>44893</v>
      </c>
      <c r="G93" s="68">
        <v>18696.099609000001</v>
      </c>
      <c r="H93" s="14">
        <f t="shared" si="3"/>
        <v>9.9039639707769744E-3</v>
      </c>
    </row>
    <row r="94" spans="2:8" x14ac:dyDescent="0.3">
      <c r="B94" s="67">
        <v>44900</v>
      </c>
      <c r="C94" s="68">
        <v>4407.1000979999999</v>
      </c>
      <c r="D94" s="14">
        <f t="shared" si="2"/>
        <v>-2.2902582086833378E-2</v>
      </c>
      <c r="F94" s="72">
        <v>44900</v>
      </c>
      <c r="G94" s="68">
        <v>18496.599609000001</v>
      </c>
      <c r="H94" s="14">
        <f t="shared" si="3"/>
        <v>-1.0670674855838058E-2</v>
      </c>
    </row>
    <row r="95" spans="2:8" x14ac:dyDescent="0.3">
      <c r="B95" s="67">
        <v>44907</v>
      </c>
      <c r="C95" s="68">
        <v>4309.1000979999999</v>
      </c>
      <c r="D95" s="14">
        <f t="shared" si="2"/>
        <v>-2.2236844596398853E-2</v>
      </c>
      <c r="F95" s="72">
        <v>44907</v>
      </c>
      <c r="G95" s="68">
        <v>18269</v>
      </c>
      <c r="H95" s="14">
        <f t="shared" si="3"/>
        <v>-1.2304943276668867E-2</v>
      </c>
    </row>
    <row r="96" spans="2:8" x14ac:dyDescent="0.3">
      <c r="B96" s="67">
        <v>44914</v>
      </c>
      <c r="C96" s="68">
        <v>4310.4501950000003</v>
      </c>
      <c r="D96" s="14">
        <f t="shared" si="2"/>
        <v>3.1331298166570321E-4</v>
      </c>
      <c r="F96" s="72">
        <v>44914</v>
      </c>
      <c r="G96" s="68">
        <v>17806.800781000002</v>
      </c>
      <c r="H96" s="14">
        <f t="shared" si="3"/>
        <v>-2.529964524604511E-2</v>
      </c>
    </row>
    <row r="97" spans="2:8" x14ac:dyDescent="0.3">
      <c r="B97" s="67">
        <v>44921</v>
      </c>
      <c r="C97" s="68">
        <v>4237.5498049999997</v>
      </c>
      <c r="D97" s="14">
        <f t="shared" si="2"/>
        <v>-1.6912477050439634E-2</v>
      </c>
      <c r="F97" s="72">
        <v>44921</v>
      </c>
      <c r="G97" s="68">
        <v>18105.300781000002</v>
      </c>
      <c r="H97" s="14">
        <f t="shared" si="3"/>
        <v>1.6763258244484991E-2</v>
      </c>
    </row>
    <row r="98" spans="2:8" x14ac:dyDescent="0.3">
      <c r="B98" s="67">
        <v>44928</v>
      </c>
      <c r="C98" s="68">
        <v>4271.75</v>
      </c>
      <c r="D98" s="14">
        <f t="shared" si="2"/>
        <v>8.0707476192130034E-3</v>
      </c>
      <c r="F98" s="72">
        <v>44928</v>
      </c>
      <c r="G98" s="68">
        <v>17859.449218999998</v>
      </c>
      <c r="H98" s="14">
        <f t="shared" si="3"/>
        <v>-1.3578982474458767E-2</v>
      </c>
    </row>
    <row r="99" spans="2:8" x14ac:dyDescent="0.3">
      <c r="B99" s="67">
        <v>44935</v>
      </c>
      <c r="C99" s="68">
        <v>4320.3999020000001</v>
      </c>
      <c r="D99" s="14">
        <f t="shared" si="2"/>
        <v>1.1388752150757853E-2</v>
      </c>
      <c r="F99" s="72">
        <v>44935</v>
      </c>
      <c r="G99" s="68">
        <v>17956.599609000001</v>
      </c>
      <c r="H99" s="14">
        <f t="shared" si="3"/>
        <v>5.4397192661825855E-3</v>
      </c>
    </row>
    <row r="100" spans="2:8" x14ac:dyDescent="0.3">
      <c r="B100" s="67">
        <v>44942</v>
      </c>
      <c r="C100" s="68">
        <v>4350.6000979999999</v>
      </c>
      <c r="D100" s="14">
        <f t="shared" si="2"/>
        <v>6.9901390345878944E-3</v>
      </c>
      <c r="F100" s="72">
        <v>44942</v>
      </c>
      <c r="G100" s="68">
        <v>18027.650390999999</v>
      </c>
      <c r="H100" s="14">
        <f t="shared" si="3"/>
        <v>3.9568060516528281E-3</v>
      </c>
    </row>
    <row r="101" spans="2:8" x14ac:dyDescent="0.3">
      <c r="B101" s="67">
        <v>44949</v>
      </c>
      <c r="C101" s="68">
        <v>4314</v>
      </c>
      <c r="D101" s="14">
        <f t="shared" si="2"/>
        <v>-8.4126550764399566E-3</v>
      </c>
      <c r="F101" s="72">
        <v>44949</v>
      </c>
      <c r="G101" s="68">
        <v>17604.349609000001</v>
      </c>
      <c r="H101" s="14">
        <f t="shared" si="3"/>
        <v>-2.3480640727941093E-2</v>
      </c>
    </row>
    <row r="102" spans="2:8" x14ac:dyDescent="0.3">
      <c r="B102" s="67">
        <v>44956</v>
      </c>
      <c r="C102" s="68">
        <v>4358.3500979999999</v>
      </c>
      <c r="D102" s="14">
        <f t="shared" si="2"/>
        <v>1.028050486787202E-2</v>
      </c>
      <c r="F102" s="72">
        <v>44956</v>
      </c>
      <c r="G102" s="68">
        <v>17854.050781000002</v>
      </c>
      <c r="H102" s="14">
        <f t="shared" si="3"/>
        <v>1.4184061186352848E-2</v>
      </c>
    </row>
    <row r="103" spans="2:8" x14ac:dyDescent="0.3">
      <c r="B103" s="67">
        <v>44963</v>
      </c>
      <c r="C103" s="68">
        <v>4499.6000979999999</v>
      </c>
      <c r="D103" s="14">
        <f t="shared" si="2"/>
        <v>3.2409053156335021E-2</v>
      </c>
      <c r="F103" s="72">
        <v>44963</v>
      </c>
      <c r="G103" s="68">
        <v>17856.5</v>
      </c>
      <c r="H103" s="14">
        <f t="shared" si="3"/>
        <v>1.371800175793414E-4</v>
      </c>
    </row>
    <row r="104" spans="2:8" x14ac:dyDescent="0.3">
      <c r="B104" s="67">
        <v>44970</v>
      </c>
      <c r="C104" s="68">
        <v>4510.3500979999999</v>
      </c>
      <c r="D104" s="14">
        <f t="shared" si="2"/>
        <v>2.3891012014107815E-3</v>
      </c>
      <c r="F104" s="72">
        <v>44970</v>
      </c>
      <c r="G104" s="68">
        <v>17944.199218999998</v>
      </c>
      <c r="H104" s="14">
        <f t="shared" si="3"/>
        <v>4.9113330719905424E-3</v>
      </c>
    </row>
    <row r="105" spans="2:8" x14ac:dyDescent="0.3">
      <c r="B105" s="67">
        <v>44977</v>
      </c>
      <c r="C105" s="68">
        <v>4491.1000979999999</v>
      </c>
      <c r="D105" s="14">
        <f t="shared" si="2"/>
        <v>-4.2679613736715805E-3</v>
      </c>
      <c r="F105" s="72">
        <v>44977</v>
      </c>
      <c r="G105" s="68">
        <v>17465.800781000002</v>
      </c>
      <c r="H105" s="14">
        <f t="shared" si="3"/>
        <v>-2.6660339208308015E-2</v>
      </c>
    </row>
    <row r="106" spans="2:8" x14ac:dyDescent="0.3">
      <c r="B106" s="67">
        <v>44984</v>
      </c>
      <c r="C106" s="68">
        <v>4437.9501950000003</v>
      </c>
      <c r="D106" s="14">
        <f t="shared" si="2"/>
        <v>-1.1834495299641312E-2</v>
      </c>
      <c r="F106" s="72">
        <v>44984</v>
      </c>
      <c r="G106" s="68">
        <v>17594.349609000001</v>
      </c>
      <c r="H106" s="14">
        <f t="shared" si="3"/>
        <v>7.3600305884538031E-3</v>
      </c>
    </row>
    <row r="107" spans="2:8" x14ac:dyDescent="0.3">
      <c r="B107" s="67">
        <v>44991</v>
      </c>
      <c r="C107" s="68">
        <v>4395.5498049999997</v>
      </c>
      <c r="D107" s="14">
        <f t="shared" si="2"/>
        <v>-9.5540481837247393E-3</v>
      </c>
      <c r="F107" s="72">
        <v>44991</v>
      </c>
      <c r="G107" s="68">
        <v>17412.900390999999</v>
      </c>
      <c r="H107" s="14">
        <f t="shared" si="3"/>
        <v>-1.0312925571695164E-2</v>
      </c>
    </row>
    <row r="108" spans="2:8" x14ac:dyDescent="0.3">
      <c r="B108" s="67">
        <v>44998</v>
      </c>
      <c r="C108" s="68">
        <v>4436.1499020000001</v>
      </c>
      <c r="D108" s="14">
        <f t="shared" si="2"/>
        <v>9.2366367806404615E-3</v>
      </c>
      <c r="F108" s="72">
        <v>44998</v>
      </c>
      <c r="G108" s="68">
        <v>17100.050781000002</v>
      </c>
      <c r="H108" s="14">
        <f t="shared" si="3"/>
        <v>-1.7966542217268788E-2</v>
      </c>
    </row>
    <row r="109" spans="2:8" x14ac:dyDescent="0.3">
      <c r="B109" s="67">
        <v>45005</v>
      </c>
      <c r="C109" s="68">
        <v>4464.1499020000001</v>
      </c>
      <c r="D109" s="14">
        <f t="shared" si="2"/>
        <v>6.3117794976621511E-3</v>
      </c>
      <c r="F109" s="72">
        <v>45005</v>
      </c>
      <c r="G109" s="68">
        <v>16945.050781000002</v>
      </c>
      <c r="H109" s="14">
        <f t="shared" si="3"/>
        <v>-9.0643005675878907E-3</v>
      </c>
    </row>
    <row r="110" spans="2:8" x14ac:dyDescent="0.3">
      <c r="B110" s="67">
        <v>45012</v>
      </c>
      <c r="C110" s="68">
        <v>4622.75</v>
      </c>
      <c r="D110" s="14">
        <f t="shared" si="2"/>
        <v>3.5527502767983776E-2</v>
      </c>
      <c r="F110" s="72">
        <v>45012</v>
      </c>
      <c r="G110" s="68">
        <v>17359.75</v>
      </c>
      <c r="H110" s="14">
        <f t="shared" si="3"/>
        <v>2.4473176525678486E-2</v>
      </c>
    </row>
    <row r="111" spans="2:8" x14ac:dyDescent="0.3">
      <c r="B111" s="67">
        <v>45019</v>
      </c>
      <c r="C111" s="68">
        <v>4699.3999020000001</v>
      </c>
      <c r="D111" s="14">
        <f t="shared" si="2"/>
        <v>1.6581018225082511E-2</v>
      </c>
      <c r="F111" s="72">
        <v>45019</v>
      </c>
      <c r="G111" s="68">
        <v>17599.150390999999</v>
      </c>
      <c r="H111" s="14">
        <f t="shared" si="3"/>
        <v>1.3790543700226143E-2</v>
      </c>
    </row>
    <row r="112" spans="2:8" x14ac:dyDescent="0.3">
      <c r="B112" s="67">
        <v>45026</v>
      </c>
      <c r="C112" s="68">
        <v>4852.8999020000001</v>
      </c>
      <c r="D112" s="14">
        <f t="shared" si="2"/>
        <v>3.2663744988944865E-2</v>
      </c>
      <c r="F112" s="72">
        <v>45026</v>
      </c>
      <c r="G112" s="68">
        <v>17828</v>
      </c>
      <c r="H112" s="14">
        <f t="shared" si="3"/>
        <v>1.3003446411653519E-2</v>
      </c>
    </row>
    <row r="113" spans="2:8" x14ac:dyDescent="0.3">
      <c r="B113" s="67">
        <v>45029</v>
      </c>
      <c r="C113" s="68">
        <v>4852.8999020000001</v>
      </c>
      <c r="D113" s="14">
        <f t="shared" si="2"/>
        <v>0</v>
      </c>
      <c r="F113" s="72">
        <v>45029</v>
      </c>
      <c r="G113" s="68">
        <v>17828</v>
      </c>
      <c r="H113" s="14">
        <f t="shared" si="3"/>
        <v>0</v>
      </c>
    </row>
    <row r="114" spans="2:8" x14ac:dyDescent="0.3">
      <c r="B114" s="66"/>
      <c r="C114" s="69"/>
      <c r="D114" s="14"/>
    </row>
  </sheetData>
  <mergeCells count="3">
    <mergeCell ref="B5:D5"/>
    <mergeCell ref="F5:H5"/>
    <mergeCell ref="J5:L5"/>
  </mergeCells>
  <pageMargins left="0.70866141732283472" right="0.70866141732283472" top="0.74803149606299213" bottom="0.74803149606299213" header="0.31496062992125984" footer="0.31496062992125984"/>
  <pageSetup paperSize="9" scale="2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2857-C190-48CC-AB22-AE9876D5D7A5}">
  <sheetPr>
    <pageSetUpPr fitToPage="1"/>
  </sheetPr>
  <dimension ref="B3:V114"/>
  <sheetViews>
    <sheetView showGridLines="0" tabSelected="1" topLeftCell="A3" zoomScale="69" zoomScaleNormal="69" workbookViewId="0">
      <selection activeCell="E34" sqref="E34"/>
    </sheetView>
  </sheetViews>
  <sheetFormatPr defaultRowHeight="14.4" x14ac:dyDescent="0.3"/>
  <cols>
    <col min="1" max="1" width="1.88671875" customWidth="1"/>
    <col min="2" max="2" width="11.21875" style="67" customWidth="1"/>
    <col min="3" max="3" width="11" style="68" customWidth="1"/>
    <col min="4" max="4" width="15.21875" customWidth="1"/>
    <col min="5" max="5" width="2.77734375" customWidth="1"/>
    <col min="6" max="6" width="10.33203125" bestFit="1" customWidth="1"/>
    <col min="7" max="7" width="12" style="68" bestFit="1" customWidth="1"/>
    <col min="12" max="12" width="17.44140625" bestFit="1" customWidth="1"/>
    <col min="13" max="13" width="17.44140625" style="77" customWidth="1"/>
    <col min="14" max="14" width="12" bestFit="1" customWidth="1"/>
    <col min="15" max="15" width="17.44140625" bestFit="1" customWidth="1"/>
    <col min="16" max="16" width="12.88671875" bestFit="1" customWidth="1"/>
    <col min="17" max="17" width="14.109375" bestFit="1" customWidth="1"/>
    <col min="18" max="18" width="13.44140625" bestFit="1" customWidth="1"/>
    <col min="19" max="19" width="12.88671875" bestFit="1" customWidth="1"/>
    <col min="20" max="20" width="13.44140625" bestFit="1" customWidth="1"/>
  </cols>
  <sheetData>
    <row r="3" spans="2:15" x14ac:dyDescent="0.3">
      <c r="B3" s="66" t="s">
        <v>234</v>
      </c>
    </row>
    <row r="5" spans="2:15" x14ac:dyDescent="0.3">
      <c r="B5" s="169" t="s">
        <v>236</v>
      </c>
      <c r="C5" s="169"/>
      <c r="D5" s="169"/>
      <c r="F5" s="169" t="s">
        <v>201</v>
      </c>
      <c r="G5" s="169"/>
      <c r="H5" s="169"/>
      <c r="J5" s="169" t="s">
        <v>229</v>
      </c>
      <c r="K5" s="169"/>
      <c r="L5" s="169"/>
      <c r="M5" s="78"/>
    </row>
    <row r="7" spans="2:15" x14ac:dyDescent="0.3">
      <c r="B7" s="70" t="s">
        <v>197</v>
      </c>
      <c r="C7" s="71" t="s">
        <v>198</v>
      </c>
      <c r="D7" s="56" t="s">
        <v>200</v>
      </c>
      <c r="F7" s="70" t="s">
        <v>197</v>
      </c>
      <c r="G7" s="71" t="s">
        <v>198</v>
      </c>
      <c r="H7" s="56" t="s">
        <v>200</v>
      </c>
      <c r="J7" t="s">
        <v>187</v>
      </c>
      <c r="L7" s="49">
        <f>O11</f>
        <v>0.47750314026482543</v>
      </c>
    </row>
    <row r="8" spans="2:15" x14ac:dyDescent="0.3">
      <c r="B8" s="67">
        <v>44298</v>
      </c>
      <c r="C8" s="68">
        <v>3777.3303219999998</v>
      </c>
      <c r="F8" s="80">
        <v>44298</v>
      </c>
      <c r="G8" s="68">
        <v>14617.849609000001</v>
      </c>
      <c r="J8" t="s">
        <v>230</v>
      </c>
      <c r="L8" s="14">
        <v>0.75</v>
      </c>
      <c r="N8" t="s">
        <v>203</v>
      </c>
      <c r="O8" s="49">
        <f>SLOPE(D9:D113,H9:H113)</f>
        <v>0.47750314026482521</v>
      </c>
    </row>
    <row r="9" spans="2:15" x14ac:dyDescent="0.3">
      <c r="B9" s="67">
        <v>44305</v>
      </c>
      <c r="C9" s="68">
        <v>3735.7204590000001</v>
      </c>
      <c r="D9" s="14">
        <f>C9/C8-1</f>
        <v>-1.1015680243174564E-2</v>
      </c>
      <c r="F9" s="72">
        <v>44305</v>
      </c>
      <c r="G9" s="68">
        <v>14341.349609000001</v>
      </c>
      <c r="H9" s="14">
        <f>G9/G8-1</f>
        <v>-1.8915230857879606E-2</v>
      </c>
      <c r="N9" t="s">
        <v>202</v>
      </c>
      <c r="O9" s="49">
        <f>_xlfn.COVARIANCE.S(D8:D113,H8:H113)/_xlfn.VAR.S(H8:H113)</f>
        <v>0.47750314026482504</v>
      </c>
    </row>
    <row r="10" spans="2:15" x14ac:dyDescent="0.3">
      <c r="B10" s="67">
        <v>44312</v>
      </c>
      <c r="C10" s="68">
        <v>4015.0288089999999</v>
      </c>
      <c r="D10" s="14">
        <f t="shared" ref="D10:D73" si="0">C10/C9-1</f>
        <v>7.4766929984575681E-2</v>
      </c>
      <c r="F10" s="72">
        <v>44312</v>
      </c>
      <c r="G10" s="68">
        <v>14631.099609000001</v>
      </c>
      <c r="H10" s="14">
        <f t="shared" ref="H10:H73" si="1">G10/G9-1</f>
        <v>2.0203816788495699E-2</v>
      </c>
      <c r="J10" t="s">
        <v>232</v>
      </c>
      <c r="L10" s="49">
        <v>1</v>
      </c>
    </row>
    <row r="11" spans="2:15" x14ac:dyDescent="0.3">
      <c r="B11" s="67">
        <v>44319</v>
      </c>
      <c r="C11" s="68">
        <v>3982.16626</v>
      </c>
      <c r="D11" s="14">
        <f t="shared" si="0"/>
        <v>-8.1848849817306446E-3</v>
      </c>
      <c r="F11" s="72">
        <v>44319</v>
      </c>
      <c r="G11" s="68">
        <v>14823.150390999999</v>
      </c>
      <c r="H11" s="14">
        <f t="shared" si="1"/>
        <v>1.3126202891945438E-2</v>
      </c>
      <c r="J11" t="s">
        <v>231</v>
      </c>
      <c r="L11" s="14">
        <f>1-L8</f>
        <v>0.25</v>
      </c>
      <c r="N11" s="10" t="s">
        <v>204</v>
      </c>
      <c r="O11" s="82">
        <f>O33</f>
        <v>0.47750314026482543</v>
      </c>
    </row>
    <row r="12" spans="2:15" x14ac:dyDescent="0.3">
      <c r="B12" s="67">
        <v>44326</v>
      </c>
      <c r="C12" s="68">
        <v>3973.7155760000001</v>
      </c>
      <c r="D12" s="14">
        <f t="shared" si="0"/>
        <v>-2.1221323893191313E-3</v>
      </c>
      <c r="F12" s="72">
        <v>44326</v>
      </c>
      <c r="G12" s="68">
        <v>14677.799805000001</v>
      </c>
      <c r="H12" s="14">
        <f t="shared" si="1"/>
        <v>-9.8056473938393784E-3</v>
      </c>
      <c r="O12" s="49"/>
    </row>
    <row r="13" spans="2:15" ht="15" thickBot="1" x14ac:dyDescent="0.35">
      <c r="B13" s="67">
        <v>44333</v>
      </c>
      <c r="C13" s="68">
        <v>4032.374268</v>
      </c>
      <c r="D13" s="14">
        <f t="shared" si="0"/>
        <v>1.4761673521446861E-2</v>
      </c>
      <c r="F13" s="72">
        <v>44333</v>
      </c>
      <c r="G13" s="68">
        <v>15175.299805000001</v>
      </c>
      <c r="H13" s="14">
        <f t="shared" si="1"/>
        <v>3.3894725817865901E-2</v>
      </c>
      <c r="J13" s="79" t="s">
        <v>233</v>
      </c>
      <c r="K13" s="79"/>
      <c r="L13" s="81">
        <f>(L7*L8)+(L10*L11)</f>
        <v>0.60812735519861905</v>
      </c>
      <c r="M13"/>
    </row>
    <row r="14" spans="2:15" ht="15" thickTop="1" x14ac:dyDescent="0.3">
      <c r="B14" s="67">
        <v>44340</v>
      </c>
      <c r="C14" s="68">
        <v>4072.2541500000002</v>
      </c>
      <c r="D14" s="14">
        <f t="shared" si="0"/>
        <v>9.8899257235316451E-3</v>
      </c>
      <c r="F14" s="72">
        <v>44340</v>
      </c>
      <c r="G14" s="68">
        <v>15435.650390999999</v>
      </c>
      <c r="H14" s="14">
        <f t="shared" si="1"/>
        <v>1.7156207082921426E-2</v>
      </c>
      <c r="M14"/>
    </row>
    <row r="15" spans="2:15" x14ac:dyDescent="0.3">
      <c r="B15" s="67">
        <v>44347</v>
      </c>
      <c r="C15" s="68">
        <v>4211.9580079999996</v>
      </c>
      <c r="D15" s="14">
        <f t="shared" si="0"/>
        <v>3.4306271871562766E-2</v>
      </c>
      <c r="F15" s="72">
        <v>44347</v>
      </c>
      <c r="G15" s="68">
        <v>15670.25</v>
      </c>
      <c r="H15" s="14">
        <f t="shared" si="1"/>
        <v>1.5198556786229611E-2</v>
      </c>
      <c r="M15"/>
    </row>
    <row r="16" spans="2:15" x14ac:dyDescent="0.3">
      <c r="B16" s="67">
        <v>44354</v>
      </c>
      <c r="C16" s="68">
        <v>4284.0087890000004</v>
      </c>
      <c r="D16" s="14">
        <f t="shared" si="0"/>
        <v>1.7106243904414731E-2</v>
      </c>
      <c r="F16" s="72">
        <v>44354</v>
      </c>
      <c r="G16" s="68">
        <v>15799.349609000001</v>
      </c>
      <c r="H16" s="14">
        <f t="shared" si="1"/>
        <v>8.2385162329892125E-3</v>
      </c>
      <c r="M16"/>
      <c r="N16" t="s">
        <v>205</v>
      </c>
    </row>
    <row r="17" spans="2:22" ht="15" thickBot="1" x14ac:dyDescent="0.35">
      <c r="B17" s="67">
        <v>44361</v>
      </c>
      <c r="C17" s="68">
        <v>4148.40625</v>
      </c>
      <c r="D17" s="14">
        <f t="shared" si="0"/>
        <v>-3.1653188795547127E-2</v>
      </c>
      <c r="F17" s="72">
        <v>44361</v>
      </c>
      <c r="G17" s="68">
        <v>15683.349609000001</v>
      </c>
      <c r="H17" s="14">
        <f t="shared" si="1"/>
        <v>-7.3420743809555766E-3</v>
      </c>
      <c r="M17"/>
    </row>
    <row r="18" spans="2:22" x14ac:dyDescent="0.3">
      <c r="B18" s="67">
        <v>44368</v>
      </c>
      <c r="C18" s="68">
        <v>4199.2573240000002</v>
      </c>
      <c r="D18" s="14">
        <f t="shared" si="0"/>
        <v>1.2257978350119325E-2</v>
      </c>
      <c r="F18" s="72">
        <v>44368</v>
      </c>
      <c r="G18" s="68">
        <v>15860.349609000001</v>
      </c>
      <c r="H18" s="14">
        <f t="shared" si="1"/>
        <v>1.1285854387791394E-2</v>
      </c>
      <c r="M18"/>
      <c r="N18" s="75" t="s">
        <v>206</v>
      </c>
      <c r="O18" s="75"/>
    </row>
    <row r="19" spans="2:22" x14ac:dyDescent="0.3">
      <c r="B19" s="67">
        <v>44375</v>
      </c>
      <c r="C19" s="68">
        <v>4467.0014650000003</v>
      </c>
      <c r="D19" s="14">
        <f t="shared" si="0"/>
        <v>6.3759879507684136E-2</v>
      </c>
      <c r="F19" s="72">
        <v>44375</v>
      </c>
      <c r="G19" s="68">
        <v>15722.200194999999</v>
      </c>
      <c r="H19" s="14">
        <f t="shared" si="1"/>
        <v>-8.7103637313018512E-3</v>
      </c>
      <c r="M19"/>
      <c r="N19" t="s">
        <v>207</v>
      </c>
      <c r="O19">
        <v>0.22519846135941535</v>
      </c>
    </row>
    <row r="20" spans="2:22" x14ac:dyDescent="0.3">
      <c r="B20" s="67">
        <v>44382</v>
      </c>
      <c r="C20" s="68">
        <v>4546.1191410000001</v>
      </c>
      <c r="D20" s="14">
        <f t="shared" si="0"/>
        <v>1.7711584968105543E-2</v>
      </c>
      <c r="F20" s="72">
        <v>44382</v>
      </c>
      <c r="G20" s="68">
        <v>15689.799805000001</v>
      </c>
      <c r="H20" s="14">
        <f t="shared" si="1"/>
        <v>-2.0608050780515086E-3</v>
      </c>
      <c r="M20"/>
      <c r="N20" t="s">
        <v>208</v>
      </c>
      <c r="O20">
        <v>5.0714346998648081E-2</v>
      </c>
    </row>
    <row r="21" spans="2:22" x14ac:dyDescent="0.3">
      <c r="B21" s="67">
        <v>44389</v>
      </c>
      <c r="C21" s="68">
        <v>4702.1801759999998</v>
      </c>
      <c r="D21" s="14">
        <f t="shared" si="0"/>
        <v>3.432840850837704E-2</v>
      </c>
      <c r="F21" s="72">
        <v>44389</v>
      </c>
      <c r="G21" s="68">
        <v>15923.400390999999</v>
      </c>
      <c r="H21" s="14">
        <f t="shared" si="1"/>
        <v>1.488869130921322E-2</v>
      </c>
      <c r="M21"/>
      <c r="N21" t="s">
        <v>209</v>
      </c>
      <c r="O21">
        <v>4.1497981435528158E-2</v>
      </c>
    </row>
    <row r="22" spans="2:22" x14ac:dyDescent="0.3">
      <c r="B22" s="67">
        <v>44396</v>
      </c>
      <c r="C22" s="68">
        <v>4768.5478519999997</v>
      </c>
      <c r="D22" s="14">
        <f t="shared" si="0"/>
        <v>1.4114234996511099E-2</v>
      </c>
      <c r="F22" s="72">
        <v>44396</v>
      </c>
      <c r="G22" s="68">
        <v>15856.049805000001</v>
      </c>
      <c r="H22" s="14">
        <f t="shared" si="1"/>
        <v>-4.2296610237889665E-3</v>
      </c>
      <c r="M22"/>
      <c r="N22" t="s">
        <v>210</v>
      </c>
      <c r="O22">
        <v>4.158968104535854E-2</v>
      </c>
    </row>
    <row r="23" spans="2:22" ht="15" thickBot="1" x14ac:dyDescent="0.35">
      <c r="B23" s="67">
        <v>44403</v>
      </c>
      <c r="C23" s="68">
        <v>4848.9501950000003</v>
      </c>
      <c r="D23" s="14">
        <f t="shared" si="0"/>
        <v>1.6860970151799659E-2</v>
      </c>
      <c r="F23" s="72">
        <v>44403</v>
      </c>
      <c r="G23" s="68">
        <v>15763.049805000001</v>
      </c>
      <c r="H23" s="14">
        <f t="shared" si="1"/>
        <v>-5.8652691650018518E-3</v>
      </c>
      <c r="M23"/>
      <c r="N23" s="73" t="s">
        <v>211</v>
      </c>
      <c r="O23" s="73">
        <v>105</v>
      </c>
    </row>
    <row r="24" spans="2:22" x14ac:dyDescent="0.3">
      <c r="B24" s="67">
        <v>44410</v>
      </c>
      <c r="C24" s="68">
        <v>4858.7348629999997</v>
      </c>
      <c r="D24" s="14">
        <f t="shared" si="0"/>
        <v>2.0178941021271601E-3</v>
      </c>
      <c r="F24" s="72">
        <v>44410</v>
      </c>
      <c r="G24" s="68">
        <v>16238.200194999999</v>
      </c>
      <c r="H24" s="14">
        <f t="shared" si="1"/>
        <v>3.0143303223547635E-2</v>
      </c>
      <c r="M24"/>
    </row>
    <row r="25" spans="2:22" ht="15" thickBot="1" x14ac:dyDescent="0.35">
      <c r="B25" s="67">
        <v>44417</v>
      </c>
      <c r="C25" s="68">
        <v>4891.0537109999996</v>
      </c>
      <c r="D25" s="14">
        <f t="shared" si="0"/>
        <v>6.6517002699844063E-3</v>
      </c>
      <c r="F25" s="72">
        <v>44417</v>
      </c>
      <c r="G25" s="68">
        <v>16529.099609000001</v>
      </c>
      <c r="H25" s="14">
        <f t="shared" si="1"/>
        <v>1.79145108760006E-2</v>
      </c>
      <c r="M25"/>
      <c r="N25" t="s">
        <v>212</v>
      </c>
    </row>
    <row r="26" spans="2:22" x14ac:dyDescent="0.3">
      <c r="B26" s="67">
        <v>44424</v>
      </c>
      <c r="C26" s="68">
        <v>4762.5683589999999</v>
      </c>
      <c r="D26" s="14">
        <f t="shared" si="0"/>
        <v>-2.626946249047224E-2</v>
      </c>
      <c r="F26" s="72">
        <v>44424</v>
      </c>
      <c r="G26" s="68">
        <v>16450.5</v>
      </c>
      <c r="H26" s="14">
        <f t="shared" si="1"/>
        <v>-4.7552262893499897E-3</v>
      </c>
      <c r="M26"/>
      <c r="N26" s="74"/>
      <c r="O26" s="74" t="s">
        <v>216</v>
      </c>
      <c r="P26" s="74" t="s">
        <v>217</v>
      </c>
      <c r="Q26" s="74" t="s">
        <v>218</v>
      </c>
      <c r="R26" s="74" t="s">
        <v>219</v>
      </c>
      <c r="S26" s="74" t="s">
        <v>220</v>
      </c>
    </row>
    <row r="27" spans="2:22" x14ac:dyDescent="0.3">
      <c r="B27" s="67">
        <v>44431</v>
      </c>
      <c r="C27" s="68">
        <v>4873.3920900000003</v>
      </c>
      <c r="D27" s="14">
        <f t="shared" si="0"/>
        <v>2.3269740746203249E-2</v>
      </c>
      <c r="F27" s="72">
        <v>44431</v>
      </c>
      <c r="G27" s="68">
        <v>16705.199218999998</v>
      </c>
      <c r="H27" s="14">
        <f t="shared" si="1"/>
        <v>1.5482764596820742E-2</v>
      </c>
      <c r="M27"/>
      <c r="N27" t="s">
        <v>213</v>
      </c>
      <c r="O27">
        <v>1</v>
      </c>
      <c r="P27">
        <v>9.517926019390055E-3</v>
      </c>
      <c r="Q27">
        <v>9.517926019390055E-3</v>
      </c>
      <c r="R27">
        <v>5.5026405638233244</v>
      </c>
      <c r="S27">
        <v>2.0903231603181475E-2</v>
      </c>
    </row>
    <row r="28" spans="2:22" x14ac:dyDescent="0.3">
      <c r="B28" s="67">
        <v>44438</v>
      </c>
      <c r="C28" s="68">
        <v>5168.7309569999998</v>
      </c>
      <c r="D28" s="14">
        <f t="shared" si="0"/>
        <v>6.06023200156669E-2</v>
      </c>
      <c r="F28" s="72">
        <v>44438</v>
      </c>
      <c r="G28" s="68">
        <v>17323.599609000001</v>
      </c>
      <c r="H28" s="14">
        <f t="shared" si="1"/>
        <v>3.7018438504860862E-2</v>
      </c>
      <c r="M28"/>
      <c r="N28" t="s">
        <v>214</v>
      </c>
      <c r="O28">
        <v>103</v>
      </c>
      <c r="P28">
        <v>0.1781592616538295</v>
      </c>
      <c r="Q28">
        <v>1.7297015694546555E-3</v>
      </c>
    </row>
    <row r="29" spans="2:22" ht="15" thickBot="1" x14ac:dyDescent="0.35">
      <c r="B29" s="67">
        <v>44445</v>
      </c>
      <c r="C29" s="68">
        <v>5016.4965819999998</v>
      </c>
      <c r="D29" s="14">
        <f t="shared" si="0"/>
        <v>-2.945295010834903E-2</v>
      </c>
      <c r="F29" s="72">
        <v>44445</v>
      </c>
      <c r="G29" s="68">
        <v>17369.25</v>
      </c>
      <c r="H29" s="14">
        <f t="shared" si="1"/>
        <v>2.6351562048503308E-3</v>
      </c>
      <c r="M29"/>
      <c r="N29" s="73" t="s">
        <v>35</v>
      </c>
      <c r="O29" s="73">
        <v>104</v>
      </c>
      <c r="P29" s="73">
        <v>0.18767718767321956</v>
      </c>
      <c r="Q29" s="73"/>
      <c r="R29" s="73"/>
      <c r="S29" s="73"/>
    </row>
    <row r="30" spans="2:22" ht="15" thickBot="1" x14ac:dyDescent="0.35">
      <c r="B30" s="67">
        <v>44452</v>
      </c>
      <c r="C30" s="68">
        <v>5083.8803710000002</v>
      </c>
      <c r="D30" s="14">
        <f t="shared" si="0"/>
        <v>1.3432439930644913E-2</v>
      </c>
      <c r="F30" s="72">
        <v>44452</v>
      </c>
      <c r="G30" s="68">
        <v>17585.150390999999</v>
      </c>
      <c r="H30" s="14">
        <f t="shared" si="1"/>
        <v>1.2430035321041366E-2</v>
      </c>
      <c r="M30"/>
    </row>
    <row r="31" spans="2:22" x14ac:dyDescent="0.3">
      <c r="B31" s="67">
        <v>44459</v>
      </c>
      <c r="C31" s="68">
        <v>5069.7387699999999</v>
      </c>
      <c r="D31" s="14">
        <f t="shared" si="0"/>
        <v>-2.781654950157364E-3</v>
      </c>
      <c r="F31" s="72">
        <v>44459</v>
      </c>
      <c r="G31" s="68">
        <v>17853.199218999998</v>
      </c>
      <c r="H31" s="14">
        <f t="shared" si="1"/>
        <v>1.5242907910368864E-2</v>
      </c>
      <c r="M31"/>
      <c r="N31" s="74"/>
      <c r="O31" s="74" t="s">
        <v>221</v>
      </c>
      <c r="P31" s="74" t="s">
        <v>210</v>
      </c>
      <c r="Q31" s="74" t="s">
        <v>222</v>
      </c>
      <c r="R31" s="74" t="s">
        <v>223</v>
      </c>
      <c r="S31" s="74" t="s">
        <v>224</v>
      </c>
      <c r="T31" s="74" t="s">
        <v>225</v>
      </c>
      <c r="U31" s="74" t="s">
        <v>226</v>
      </c>
      <c r="V31" s="74" t="s">
        <v>227</v>
      </c>
    </row>
    <row r="32" spans="2:22" x14ac:dyDescent="0.3">
      <c r="B32" s="67">
        <v>44466</v>
      </c>
      <c r="C32" s="68">
        <v>4795.5874020000001</v>
      </c>
      <c r="D32" s="14">
        <f t="shared" si="0"/>
        <v>-5.4076034375238557E-2</v>
      </c>
      <c r="F32" s="72">
        <v>44466</v>
      </c>
      <c r="G32" s="68">
        <v>17532.050781000002</v>
      </c>
      <c r="H32" s="14">
        <f t="shared" si="1"/>
        <v>-1.7988285128091697E-2</v>
      </c>
      <c r="M32"/>
      <c r="N32" t="s">
        <v>215</v>
      </c>
      <c r="O32">
        <v>-1.6932432557718235E-3</v>
      </c>
      <c r="P32">
        <v>4.0810170992881733E-3</v>
      </c>
      <c r="Q32">
        <v>-0.41490717009423106</v>
      </c>
      <c r="R32">
        <v>0.67907280219979094</v>
      </c>
      <c r="S32">
        <v>-9.7869781429974524E-3</v>
      </c>
      <c r="T32">
        <v>6.4004916314538045E-3</v>
      </c>
      <c r="U32">
        <v>-9.7869781429974524E-3</v>
      </c>
      <c r="V32">
        <v>6.4004916314538045E-3</v>
      </c>
    </row>
    <row r="33" spans="2:22" ht="15" thickBot="1" x14ac:dyDescent="0.35">
      <c r="B33" s="67">
        <v>44473</v>
      </c>
      <c r="C33" s="68">
        <v>5032.7719729999999</v>
      </c>
      <c r="D33" s="14">
        <f t="shared" si="0"/>
        <v>4.9458919443545524E-2</v>
      </c>
      <c r="F33" s="72">
        <v>44473</v>
      </c>
      <c r="G33" s="68">
        <v>17895.199218999998</v>
      </c>
      <c r="H33" s="14">
        <f t="shared" si="1"/>
        <v>2.0713403271313213E-2</v>
      </c>
      <c r="M33"/>
      <c r="N33" s="76" t="s">
        <v>228</v>
      </c>
      <c r="O33" s="76">
        <v>0.47750314026482543</v>
      </c>
      <c r="P33" s="73">
        <v>0.20355916436341814</v>
      </c>
      <c r="Q33" s="73">
        <v>2.3457707824558063</v>
      </c>
      <c r="R33" s="73">
        <v>2.0903231603181475E-2</v>
      </c>
      <c r="S33" s="73">
        <v>7.3791548242810701E-2</v>
      </c>
      <c r="T33" s="73">
        <v>0.88121473228684022</v>
      </c>
      <c r="U33" s="73">
        <v>7.3791548242810701E-2</v>
      </c>
      <c r="V33" s="73">
        <v>0.88121473228684022</v>
      </c>
    </row>
    <row r="34" spans="2:22" x14ac:dyDescent="0.3">
      <c r="B34" s="67">
        <v>44480</v>
      </c>
      <c r="C34" s="68">
        <v>5331.3364259999998</v>
      </c>
      <c r="D34" s="14">
        <f t="shared" si="0"/>
        <v>5.9324057319057877E-2</v>
      </c>
      <c r="F34" s="72">
        <v>44480</v>
      </c>
      <c r="G34" s="68">
        <v>18338.550781000002</v>
      </c>
      <c r="H34" s="14">
        <f t="shared" si="1"/>
        <v>2.4774888313580767E-2</v>
      </c>
    </row>
    <row r="35" spans="2:22" x14ac:dyDescent="0.3">
      <c r="B35" s="67">
        <v>44487</v>
      </c>
      <c r="C35" s="68">
        <v>5034.8559569999998</v>
      </c>
      <c r="D35" s="14">
        <f t="shared" si="0"/>
        <v>-5.5610909781291684E-2</v>
      </c>
      <c r="F35" s="72">
        <v>44487</v>
      </c>
      <c r="G35" s="68">
        <v>18114.900390999999</v>
      </c>
      <c r="H35" s="14">
        <f t="shared" si="1"/>
        <v>-1.2195641447944716E-2</v>
      </c>
    </row>
    <row r="36" spans="2:22" x14ac:dyDescent="0.3">
      <c r="C36" s="68">
        <v>5111.0229490000002</v>
      </c>
      <c r="D36" s="14">
        <f t="shared" si="0"/>
        <v>1.5127938644223793E-2</v>
      </c>
      <c r="F36" s="72">
        <v>44494</v>
      </c>
      <c r="G36" s="68">
        <v>17671.650390999999</v>
      </c>
      <c r="H36" s="14">
        <f t="shared" si="1"/>
        <v>-2.4468806917658736E-2</v>
      </c>
    </row>
    <row r="37" spans="2:22" x14ac:dyDescent="0.3">
      <c r="B37" s="67">
        <v>44501</v>
      </c>
      <c r="C37" s="68">
        <v>5168.4829099999997</v>
      </c>
      <c r="D37" s="14">
        <f t="shared" si="0"/>
        <v>1.1242360203301827E-2</v>
      </c>
      <c r="F37" s="72">
        <v>44501</v>
      </c>
      <c r="G37" s="68">
        <v>17916.800781000002</v>
      </c>
      <c r="H37" s="14">
        <f t="shared" si="1"/>
        <v>1.3872523764099309E-2</v>
      </c>
    </row>
    <row r="38" spans="2:22" x14ac:dyDescent="0.3">
      <c r="B38" s="67">
        <v>44508</v>
      </c>
      <c r="C38" s="68">
        <v>4807</v>
      </c>
      <c r="D38" s="14">
        <f t="shared" si="0"/>
        <v>-6.9939848171037045E-2</v>
      </c>
      <c r="F38" s="72">
        <v>44508</v>
      </c>
      <c r="G38" s="68">
        <v>18102.75</v>
      </c>
      <c r="H38" s="14">
        <f t="shared" si="1"/>
        <v>1.0378483372834646E-2</v>
      </c>
    </row>
    <row r="39" spans="2:22" x14ac:dyDescent="0.3">
      <c r="B39" s="67">
        <v>44515</v>
      </c>
      <c r="C39" s="68">
        <v>4749.2426759999998</v>
      </c>
      <c r="D39" s="14">
        <f t="shared" si="0"/>
        <v>-1.2015253588516739E-2</v>
      </c>
      <c r="F39" s="72">
        <v>44515</v>
      </c>
      <c r="G39" s="68">
        <v>17764.800781000002</v>
      </c>
      <c r="H39" s="14">
        <f t="shared" si="1"/>
        <v>-1.8668391211279944E-2</v>
      </c>
    </row>
    <row r="40" spans="2:22" x14ac:dyDescent="0.3">
      <c r="B40" s="67">
        <v>44522</v>
      </c>
      <c r="C40" s="68">
        <v>4900.2861329999996</v>
      </c>
      <c r="D40" s="14">
        <f t="shared" si="0"/>
        <v>3.1803693200031402E-2</v>
      </c>
      <c r="F40" s="72">
        <v>44522</v>
      </c>
      <c r="G40" s="68">
        <v>17026.449218999998</v>
      </c>
      <c r="H40" s="14">
        <f t="shared" si="1"/>
        <v>-4.1562614245001406E-2</v>
      </c>
    </row>
    <row r="41" spans="2:22" x14ac:dyDescent="0.3">
      <c r="B41" s="67">
        <v>44529</v>
      </c>
      <c r="C41" s="68">
        <v>4720.9091799999997</v>
      </c>
      <c r="D41" s="14">
        <f t="shared" si="0"/>
        <v>-3.6605403874688358E-2</v>
      </c>
      <c r="F41" s="72">
        <v>44529</v>
      </c>
      <c r="G41" s="68">
        <v>17196.699218999998</v>
      </c>
      <c r="H41" s="14">
        <f t="shared" si="1"/>
        <v>9.9991488424970854E-3</v>
      </c>
    </row>
    <row r="42" spans="2:22" x14ac:dyDescent="0.3">
      <c r="B42" s="67">
        <v>44536</v>
      </c>
      <c r="C42" s="68">
        <v>4472.2133789999998</v>
      </c>
      <c r="D42" s="14">
        <f t="shared" si="0"/>
        <v>-5.2679641043211101E-2</v>
      </c>
      <c r="F42" s="72">
        <v>44536</v>
      </c>
      <c r="G42" s="68">
        <v>17511.300781000002</v>
      </c>
      <c r="H42" s="14">
        <f t="shared" si="1"/>
        <v>1.8294299271828462E-2</v>
      </c>
    </row>
    <row r="43" spans="2:22" x14ac:dyDescent="0.3">
      <c r="B43" s="67">
        <v>44543</v>
      </c>
      <c r="C43" s="68">
        <v>4477.1752930000002</v>
      </c>
      <c r="D43" s="14">
        <f t="shared" si="0"/>
        <v>1.1094984920219098E-3</v>
      </c>
      <c r="F43" s="72">
        <v>44543</v>
      </c>
      <c r="G43" s="68">
        <v>16985.199218999998</v>
      </c>
      <c r="H43" s="14">
        <f t="shared" si="1"/>
        <v>-3.0043545512668635E-2</v>
      </c>
    </row>
    <row r="44" spans="2:22" x14ac:dyDescent="0.3">
      <c r="B44" s="67">
        <v>44550</v>
      </c>
      <c r="C44" s="68">
        <v>4413.4628910000001</v>
      </c>
      <c r="D44" s="14">
        <f t="shared" si="0"/>
        <v>-1.4230490840868693E-2</v>
      </c>
      <c r="F44" s="72">
        <v>44550</v>
      </c>
      <c r="G44" s="68">
        <v>17003.75</v>
      </c>
      <c r="H44" s="14">
        <f t="shared" si="1"/>
        <v>1.0921732951623131E-3</v>
      </c>
    </row>
    <row r="45" spans="2:22" x14ac:dyDescent="0.3">
      <c r="B45" s="67">
        <v>44557</v>
      </c>
      <c r="C45" s="68">
        <v>4642.6586909999996</v>
      </c>
      <c r="D45" s="14">
        <f t="shared" si="0"/>
        <v>5.1931058595140467E-2</v>
      </c>
      <c r="F45" s="72">
        <v>44557</v>
      </c>
      <c r="G45" s="68">
        <v>17354.050781000002</v>
      </c>
      <c r="H45" s="14">
        <f t="shared" si="1"/>
        <v>2.0601383871204915E-2</v>
      </c>
    </row>
    <row r="46" spans="2:22" x14ac:dyDescent="0.3">
      <c r="B46" s="67">
        <v>44564</v>
      </c>
      <c r="C46" s="68">
        <v>4482.3857420000004</v>
      </c>
      <c r="D46" s="14">
        <f t="shared" si="0"/>
        <v>-3.4521803058815359E-2</v>
      </c>
      <c r="F46" s="72">
        <v>44564</v>
      </c>
      <c r="G46" s="68">
        <v>17812.699218999998</v>
      </c>
      <c r="H46" s="14">
        <f t="shared" si="1"/>
        <v>2.6428898001275014E-2</v>
      </c>
    </row>
    <row r="47" spans="2:22" x14ac:dyDescent="0.3">
      <c r="B47" s="67">
        <v>44571</v>
      </c>
      <c r="C47" s="68">
        <v>4581.5263670000004</v>
      </c>
      <c r="D47" s="14">
        <f t="shared" si="0"/>
        <v>2.2117825351587017E-2</v>
      </c>
      <c r="F47" s="72">
        <v>44571</v>
      </c>
      <c r="G47" s="68">
        <v>18255.75</v>
      </c>
      <c r="H47" s="14">
        <f t="shared" si="1"/>
        <v>2.4872748119354027E-2</v>
      </c>
    </row>
    <row r="48" spans="2:22" x14ac:dyDescent="0.3">
      <c r="B48" s="67">
        <v>44578</v>
      </c>
      <c r="C48" s="68">
        <v>4147.6479490000002</v>
      </c>
      <c r="D48" s="14">
        <f t="shared" si="0"/>
        <v>-9.470171799624616E-2</v>
      </c>
      <c r="F48" s="72">
        <v>44578</v>
      </c>
      <c r="G48" s="68">
        <v>17617.150390999999</v>
      </c>
      <c r="H48" s="14">
        <f t="shared" si="1"/>
        <v>-3.4980738068827621E-2</v>
      </c>
    </row>
    <row r="49" spans="2:8" x14ac:dyDescent="0.3">
      <c r="B49" s="67">
        <v>44585</v>
      </c>
      <c r="C49" s="68">
        <v>3910.7614749999998</v>
      </c>
      <c r="D49" s="14">
        <f t="shared" si="0"/>
        <v>-5.711344764859172E-2</v>
      </c>
      <c r="F49" s="72">
        <v>44585</v>
      </c>
      <c r="G49" s="68">
        <v>17101.949218999998</v>
      </c>
      <c r="H49" s="14">
        <f t="shared" si="1"/>
        <v>-2.9244296640800638E-2</v>
      </c>
    </row>
    <row r="50" spans="2:8" x14ac:dyDescent="0.3">
      <c r="B50" s="67">
        <v>44592</v>
      </c>
      <c r="C50" s="68">
        <v>4271.7973629999997</v>
      </c>
      <c r="D50" s="14">
        <f t="shared" si="0"/>
        <v>9.2318565145934839E-2</v>
      </c>
      <c r="F50" s="72">
        <v>44592</v>
      </c>
      <c r="G50" s="68">
        <v>17516.300781000002</v>
      </c>
      <c r="H50" s="14">
        <f t="shared" si="1"/>
        <v>2.4228323724623468E-2</v>
      </c>
    </row>
    <row r="51" spans="2:8" x14ac:dyDescent="0.3">
      <c r="B51" s="67">
        <v>44599</v>
      </c>
      <c r="C51" s="68">
        <v>4258.6484380000002</v>
      </c>
      <c r="D51" s="14">
        <f t="shared" si="0"/>
        <v>-3.0780778868136904E-3</v>
      </c>
      <c r="F51" s="72">
        <v>44599</v>
      </c>
      <c r="G51" s="68">
        <v>17374.75</v>
      </c>
      <c r="H51" s="14">
        <f t="shared" si="1"/>
        <v>-8.0810887395552644E-3</v>
      </c>
    </row>
    <row r="52" spans="2:8" x14ac:dyDescent="0.3">
      <c r="B52" s="67">
        <v>44606</v>
      </c>
      <c r="C52" s="68">
        <v>4320.326172</v>
      </c>
      <c r="D52" s="14">
        <f t="shared" si="0"/>
        <v>1.4482936287872006E-2</v>
      </c>
      <c r="F52" s="72">
        <v>44606</v>
      </c>
      <c r="G52" s="68">
        <v>17276.300781000002</v>
      </c>
      <c r="H52" s="14">
        <f t="shared" si="1"/>
        <v>-5.66622362911684E-3</v>
      </c>
    </row>
    <row r="53" spans="2:8" x14ac:dyDescent="0.3">
      <c r="B53" s="67">
        <v>44613</v>
      </c>
      <c r="C53" s="68">
        <v>4106.9101559999999</v>
      </c>
      <c r="D53" s="14">
        <f t="shared" si="0"/>
        <v>-4.9398125859836162E-2</v>
      </c>
      <c r="F53" s="72">
        <v>44613</v>
      </c>
      <c r="G53" s="68">
        <v>16658.400390999999</v>
      </c>
      <c r="H53" s="14">
        <f t="shared" si="1"/>
        <v>-3.5765780987070617E-2</v>
      </c>
    </row>
    <row r="54" spans="2:8" x14ac:dyDescent="0.3">
      <c r="B54" s="67">
        <v>44620</v>
      </c>
      <c r="C54" s="68">
        <v>4063.5913089999999</v>
      </c>
      <c r="D54" s="14">
        <f t="shared" si="0"/>
        <v>-1.0547795143926675E-2</v>
      </c>
      <c r="F54" s="72">
        <v>44620</v>
      </c>
      <c r="G54" s="68">
        <v>16245.349609000001</v>
      </c>
      <c r="H54" s="14">
        <f t="shared" si="1"/>
        <v>-2.479534482933643E-2</v>
      </c>
    </row>
    <row r="55" spans="2:8" x14ac:dyDescent="0.3">
      <c r="B55" s="67">
        <v>44627</v>
      </c>
      <c r="C55" s="68">
        <v>4306.4321289999998</v>
      </c>
      <c r="D55" s="14">
        <f t="shared" si="0"/>
        <v>5.9760148482983055E-2</v>
      </c>
      <c r="F55" s="72">
        <v>44627</v>
      </c>
      <c r="G55" s="68">
        <v>16630.449218999998</v>
      </c>
      <c r="H55" s="14">
        <f t="shared" si="1"/>
        <v>2.3705221449137115E-2</v>
      </c>
    </row>
    <row r="56" spans="2:8" x14ac:dyDescent="0.3">
      <c r="B56" s="67">
        <v>44634</v>
      </c>
      <c r="C56" s="68">
        <v>4470.1293949999999</v>
      </c>
      <c r="D56" s="14">
        <f t="shared" si="0"/>
        <v>3.8012271201871339E-2</v>
      </c>
      <c r="F56" s="72">
        <v>44634</v>
      </c>
      <c r="G56" s="68">
        <v>17287.050781000002</v>
      </c>
      <c r="H56" s="14">
        <f t="shared" si="1"/>
        <v>3.9481889716475482E-2</v>
      </c>
    </row>
    <row r="57" spans="2:8" x14ac:dyDescent="0.3">
      <c r="B57" s="67">
        <v>44641</v>
      </c>
      <c r="C57" s="68">
        <v>4420.310547</v>
      </c>
      <c r="D57" s="14">
        <f t="shared" si="0"/>
        <v>-1.1144833537866772E-2</v>
      </c>
      <c r="F57" s="72">
        <v>44641</v>
      </c>
      <c r="G57" s="68">
        <v>17153</v>
      </c>
      <c r="H57" s="14">
        <f t="shared" si="1"/>
        <v>-7.7544043051771538E-3</v>
      </c>
    </row>
    <row r="58" spans="2:8" x14ac:dyDescent="0.3">
      <c r="B58" s="67">
        <v>44648</v>
      </c>
      <c r="C58" s="68">
        <v>4346.4262699999999</v>
      </c>
      <c r="D58" s="14">
        <f t="shared" si="0"/>
        <v>-1.6714725405468256E-2</v>
      </c>
      <c r="F58" s="72">
        <v>44648</v>
      </c>
      <c r="G58" s="68">
        <v>17670.449218999998</v>
      </c>
      <c r="H58" s="14">
        <f t="shared" si="1"/>
        <v>3.0166689150585846E-2</v>
      </c>
    </row>
    <row r="59" spans="2:8" x14ac:dyDescent="0.3">
      <c r="B59" s="67">
        <v>44655</v>
      </c>
      <c r="C59" s="68">
        <v>4471.7172849999997</v>
      </c>
      <c r="D59" s="14">
        <f t="shared" si="0"/>
        <v>2.8826214277413609E-2</v>
      </c>
      <c r="F59" s="72">
        <v>44655</v>
      </c>
      <c r="G59" s="68">
        <v>17784.349609000001</v>
      </c>
      <c r="H59" s="14">
        <f t="shared" si="1"/>
        <v>6.4458117950692007E-3</v>
      </c>
    </row>
    <row r="60" spans="2:8" x14ac:dyDescent="0.3">
      <c r="B60" s="67">
        <v>44662</v>
      </c>
      <c r="C60" s="68">
        <v>4465.0678710000002</v>
      </c>
      <c r="D60" s="14">
        <f t="shared" si="0"/>
        <v>-1.4869933799939172E-3</v>
      </c>
      <c r="F60" s="72">
        <v>44662</v>
      </c>
      <c r="G60" s="68">
        <v>17475.650390999999</v>
      </c>
      <c r="H60" s="14">
        <f t="shared" si="1"/>
        <v>-1.7357914390289553E-2</v>
      </c>
    </row>
    <row r="61" spans="2:8" x14ac:dyDescent="0.3">
      <c r="B61" s="67">
        <v>44669</v>
      </c>
      <c r="C61" s="68">
        <v>4458.3691410000001</v>
      </c>
      <c r="D61" s="14">
        <f t="shared" si="0"/>
        <v>-1.5002526710752306E-3</v>
      </c>
      <c r="F61" s="72">
        <v>44669</v>
      </c>
      <c r="G61" s="68">
        <v>17171.949218999998</v>
      </c>
      <c r="H61" s="14">
        <f t="shared" si="1"/>
        <v>-1.7378533285170805E-2</v>
      </c>
    </row>
    <row r="62" spans="2:8" x14ac:dyDescent="0.3">
      <c r="B62" s="67">
        <v>44676</v>
      </c>
      <c r="C62" s="68">
        <v>4471.1713870000003</v>
      </c>
      <c r="D62" s="14">
        <f t="shared" si="0"/>
        <v>2.8715087501993697E-3</v>
      </c>
      <c r="F62" s="72">
        <v>44676</v>
      </c>
      <c r="G62" s="68">
        <v>17102.550781000002</v>
      </c>
      <c r="H62" s="14">
        <f t="shared" si="1"/>
        <v>-4.041383835634127E-3</v>
      </c>
    </row>
    <row r="63" spans="2:8" x14ac:dyDescent="0.3">
      <c r="B63" s="67">
        <v>44683</v>
      </c>
      <c r="C63" s="68">
        <v>4134.201172</v>
      </c>
      <c r="D63" s="14">
        <f t="shared" si="0"/>
        <v>-7.5365085753533512E-2</v>
      </c>
      <c r="F63" s="72">
        <v>44683</v>
      </c>
      <c r="G63" s="68">
        <v>16411.25</v>
      </c>
      <c r="H63" s="14">
        <f t="shared" si="1"/>
        <v>-4.0420916730619982E-2</v>
      </c>
    </row>
    <row r="64" spans="2:8" x14ac:dyDescent="0.3">
      <c r="B64" s="67">
        <v>44690</v>
      </c>
      <c r="C64" s="68">
        <v>4248.5751950000003</v>
      </c>
      <c r="D64" s="14">
        <f t="shared" si="0"/>
        <v>2.7665325958163178E-2</v>
      </c>
      <c r="F64" s="72">
        <v>44690</v>
      </c>
      <c r="G64" s="68">
        <v>15782.150390999999</v>
      </c>
      <c r="H64" s="14">
        <f t="shared" si="1"/>
        <v>-3.8333436453652281E-2</v>
      </c>
    </row>
    <row r="65" spans="2:8" x14ac:dyDescent="0.3">
      <c r="B65" s="67">
        <v>44697</v>
      </c>
      <c r="C65" s="68">
        <v>4272.0952150000003</v>
      </c>
      <c r="D65" s="14">
        <f t="shared" si="0"/>
        <v>5.5359782798900525E-3</v>
      </c>
      <c r="F65" s="72">
        <v>44697</v>
      </c>
      <c r="G65" s="68">
        <v>16266.150390999999</v>
      </c>
      <c r="H65" s="14">
        <f t="shared" si="1"/>
        <v>3.0667557209187901E-2</v>
      </c>
    </row>
    <row r="66" spans="2:8" x14ac:dyDescent="0.3">
      <c r="B66" s="67">
        <v>44704</v>
      </c>
      <c r="C66" s="68">
        <v>3487.9978030000002</v>
      </c>
      <c r="D66" s="14">
        <f t="shared" si="0"/>
        <v>-0.18353931093270359</v>
      </c>
      <c r="F66" s="72">
        <v>44704</v>
      </c>
      <c r="G66" s="68">
        <v>16352.450194999999</v>
      </c>
      <c r="H66" s="14">
        <f t="shared" si="1"/>
        <v>5.3054842064996777E-3</v>
      </c>
    </row>
    <row r="67" spans="2:8" x14ac:dyDescent="0.3">
      <c r="B67" s="67">
        <v>44711</v>
      </c>
      <c r="C67" s="68">
        <v>3451.8745119999999</v>
      </c>
      <c r="D67" s="14">
        <f t="shared" si="0"/>
        <v>-1.0356454631058276E-2</v>
      </c>
      <c r="F67" s="72">
        <v>44711</v>
      </c>
      <c r="G67" s="68">
        <v>16584.300781000002</v>
      </c>
      <c r="H67" s="14">
        <f t="shared" si="1"/>
        <v>1.4178339223494207E-2</v>
      </c>
    </row>
    <row r="68" spans="2:8" x14ac:dyDescent="0.3">
      <c r="B68" s="67">
        <v>44718</v>
      </c>
      <c r="C68" s="68">
        <v>3501.2465820000002</v>
      </c>
      <c r="D68" s="14">
        <f t="shared" si="0"/>
        <v>1.4302973595466728E-2</v>
      </c>
      <c r="F68" s="72">
        <v>44718</v>
      </c>
      <c r="G68" s="68">
        <v>16201.799805000001</v>
      </c>
      <c r="H68" s="14">
        <f t="shared" si="1"/>
        <v>-2.3064039964724836E-2</v>
      </c>
    </row>
    <row r="69" spans="2:8" x14ac:dyDescent="0.3">
      <c r="B69" s="67">
        <v>44725</v>
      </c>
      <c r="C69" s="68">
        <v>3455.4965820000002</v>
      </c>
      <c r="D69" s="14">
        <f t="shared" si="0"/>
        <v>-1.3066774626843469E-2</v>
      </c>
      <c r="F69" s="72">
        <v>44725</v>
      </c>
      <c r="G69" s="68">
        <v>15293.5</v>
      </c>
      <c r="H69" s="14">
        <f t="shared" si="1"/>
        <v>-5.606166079892505E-2</v>
      </c>
    </row>
    <row r="70" spans="2:8" x14ac:dyDescent="0.3">
      <c r="B70" s="67">
        <v>44732</v>
      </c>
      <c r="C70" s="68">
        <v>3653.0344239999999</v>
      </c>
      <c r="D70" s="14">
        <f t="shared" si="0"/>
        <v>5.7166267513905966E-2</v>
      </c>
      <c r="F70" s="72">
        <v>44732</v>
      </c>
      <c r="G70" s="68">
        <v>15699.25</v>
      </c>
      <c r="H70" s="14">
        <f t="shared" si="1"/>
        <v>2.6530879131657192E-2</v>
      </c>
    </row>
    <row r="71" spans="2:8" x14ac:dyDescent="0.3">
      <c r="B71" s="67">
        <v>44739</v>
      </c>
      <c r="C71" s="68">
        <v>3609.9145509999998</v>
      </c>
      <c r="D71" s="14">
        <f t="shared" si="0"/>
        <v>-1.1803850715642827E-2</v>
      </c>
      <c r="F71" s="72">
        <v>44739</v>
      </c>
      <c r="G71" s="68">
        <v>15752.049805000001</v>
      </c>
      <c r="H71" s="14">
        <f t="shared" si="1"/>
        <v>3.3632055671448668E-3</v>
      </c>
    </row>
    <row r="72" spans="2:8" x14ac:dyDescent="0.3">
      <c r="B72" s="67">
        <v>44746</v>
      </c>
      <c r="C72" s="68">
        <v>3643.408203</v>
      </c>
      <c r="D72" s="14">
        <f t="shared" si="0"/>
        <v>9.2782395612998059E-3</v>
      </c>
      <c r="F72" s="72">
        <v>44746</v>
      </c>
      <c r="G72" s="68">
        <v>16220.599609000001</v>
      </c>
      <c r="H72" s="14">
        <f t="shared" si="1"/>
        <v>2.9745322659611828E-2</v>
      </c>
    </row>
    <row r="73" spans="2:8" x14ac:dyDescent="0.3">
      <c r="B73" s="67">
        <v>44753</v>
      </c>
      <c r="C73" s="68">
        <v>3699.4291990000002</v>
      </c>
      <c r="D73" s="14">
        <f t="shared" si="0"/>
        <v>1.537598668023854E-2</v>
      </c>
      <c r="F73" s="72">
        <v>44753</v>
      </c>
      <c r="G73" s="68">
        <v>16049.200194999999</v>
      </c>
      <c r="H73" s="14">
        <f t="shared" si="1"/>
        <v>-1.0566774233481513E-2</v>
      </c>
    </row>
    <row r="74" spans="2:8" x14ac:dyDescent="0.3">
      <c r="B74" s="67">
        <v>44760</v>
      </c>
      <c r="C74" s="68">
        <v>3767.905029</v>
      </c>
      <c r="D74" s="14">
        <f t="shared" ref="D74:D113" si="2">C74/C73-1</f>
        <v>1.8509836603579188E-2</v>
      </c>
      <c r="F74" s="72">
        <v>44760</v>
      </c>
      <c r="G74" s="68">
        <v>16719.449218999998</v>
      </c>
      <c r="H74" s="14">
        <f t="shared" ref="H74:H113" si="3">G74/G73-1</f>
        <v>4.1762144895470144E-2</v>
      </c>
    </row>
    <row r="75" spans="2:8" x14ac:dyDescent="0.3">
      <c r="B75" s="67">
        <v>44767</v>
      </c>
      <c r="C75" s="68">
        <v>3802.5397950000001</v>
      </c>
      <c r="D75" s="14">
        <f t="shared" si="2"/>
        <v>9.1920485610519354E-3</v>
      </c>
      <c r="F75" s="72">
        <v>44767</v>
      </c>
      <c r="G75" s="68">
        <v>17158.25</v>
      </c>
      <c r="H75" s="14">
        <f t="shared" si="3"/>
        <v>2.6244930395275645E-2</v>
      </c>
    </row>
    <row r="76" spans="2:8" x14ac:dyDescent="0.3">
      <c r="B76" s="67">
        <v>44774</v>
      </c>
      <c r="C76" s="68">
        <v>3882.4780270000001</v>
      </c>
      <c r="D76" s="14">
        <f t="shared" si="2"/>
        <v>2.102232621078981E-2</v>
      </c>
      <c r="F76" s="72">
        <v>44774</v>
      </c>
      <c r="G76" s="68">
        <v>17397.5</v>
      </c>
      <c r="H76" s="14">
        <f t="shared" si="3"/>
        <v>1.3943729692713402E-2</v>
      </c>
    </row>
    <row r="77" spans="2:8" x14ac:dyDescent="0.3">
      <c r="B77" s="67">
        <v>44781</v>
      </c>
      <c r="C77" s="68">
        <v>3697.8911130000001</v>
      </c>
      <c r="D77" s="14">
        <f t="shared" si="2"/>
        <v>-4.754358240183798E-2</v>
      </c>
      <c r="F77" s="72">
        <v>44781</v>
      </c>
      <c r="G77" s="68">
        <v>17698.150390999999</v>
      </c>
      <c r="H77" s="14">
        <f t="shared" si="3"/>
        <v>1.7281241040379314E-2</v>
      </c>
    </row>
    <row r="78" spans="2:8" x14ac:dyDescent="0.3">
      <c r="B78" s="67">
        <v>44788</v>
      </c>
      <c r="C78" s="68">
        <v>3696.1999510000001</v>
      </c>
      <c r="D78" s="14">
        <f t="shared" si="2"/>
        <v>-4.5733147578486122E-4</v>
      </c>
      <c r="F78" s="72">
        <v>44788</v>
      </c>
      <c r="G78" s="68">
        <v>17758.449218999998</v>
      </c>
      <c r="H78" s="14">
        <f t="shared" si="3"/>
        <v>3.4070694771959342E-3</v>
      </c>
    </row>
    <row r="79" spans="2:8" x14ac:dyDescent="0.3">
      <c r="B79" s="67">
        <v>44795</v>
      </c>
      <c r="C79" s="68">
        <v>3587.5</v>
      </c>
      <c r="D79" s="14">
        <f t="shared" si="2"/>
        <v>-2.9408568919706668E-2</v>
      </c>
      <c r="F79" s="72">
        <v>44795</v>
      </c>
      <c r="G79" s="68">
        <v>17558.900390999999</v>
      </c>
      <c r="H79" s="14">
        <f t="shared" si="3"/>
        <v>-1.1236838619134604E-2</v>
      </c>
    </row>
    <row r="80" spans="2:8" x14ac:dyDescent="0.3">
      <c r="B80" s="67">
        <v>44802</v>
      </c>
      <c r="C80" s="68">
        <v>3598.1499020000001</v>
      </c>
      <c r="D80" s="14">
        <f t="shared" si="2"/>
        <v>2.9686137979094696E-3</v>
      </c>
      <c r="F80" s="72">
        <v>44802</v>
      </c>
      <c r="G80" s="68">
        <v>17539.449218999998</v>
      </c>
      <c r="H80" s="14">
        <f t="shared" si="3"/>
        <v>-1.1077670905844661E-3</v>
      </c>
    </row>
    <row r="81" spans="2:8" x14ac:dyDescent="0.3">
      <c r="B81" s="67">
        <v>44809</v>
      </c>
      <c r="C81" s="68">
        <v>3603</v>
      </c>
      <c r="D81" s="14">
        <f t="shared" si="2"/>
        <v>1.347942173644201E-3</v>
      </c>
      <c r="F81" s="72">
        <v>44809</v>
      </c>
      <c r="G81" s="68">
        <v>17833.349609000001</v>
      </c>
      <c r="H81" s="14">
        <f t="shared" si="3"/>
        <v>1.6756534730955508E-2</v>
      </c>
    </row>
    <row r="82" spans="2:8" x14ac:dyDescent="0.3">
      <c r="B82" s="67">
        <v>44816</v>
      </c>
      <c r="C82" s="68">
        <v>3573.6999510000001</v>
      </c>
      <c r="D82" s="14">
        <f t="shared" si="2"/>
        <v>-8.1321257285594806E-3</v>
      </c>
      <c r="F82" s="72">
        <v>44816</v>
      </c>
      <c r="G82" s="68">
        <v>17530.849609000001</v>
      </c>
      <c r="H82" s="14">
        <f t="shared" si="3"/>
        <v>-1.6962601341440453E-2</v>
      </c>
    </row>
    <row r="83" spans="2:8" x14ac:dyDescent="0.3">
      <c r="B83" s="67">
        <v>44823</v>
      </c>
      <c r="C83" s="68">
        <v>3642.6000979999999</v>
      </c>
      <c r="D83" s="14">
        <f t="shared" si="2"/>
        <v>1.9279779484766113E-2</v>
      </c>
      <c r="F83" s="72">
        <v>44823</v>
      </c>
      <c r="G83" s="68">
        <v>17327.349609000001</v>
      </c>
      <c r="H83" s="14">
        <f t="shared" si="3"/>
        <v>-1.1608108251383698E-2</v>
      </c>
    </row>
    <row r="84" spans="2:8" x14ac:dyDescent="0.3">
      <c r="B84" s="67">
        <v>44830</v>
      </c>
      <c r="C84" s="68">
        <v>3705.1999510000001</v>
      </c>
      <c r="D84" s="14">
        <f t="shared" si="2"/>
        <v>1.7185486003355344E-2</v>
      </c>
      <c r="F84" s="72">
        <v>44830</v>
      </c>
      <c r="G84" s="68">
        <v>17094.349609000001</v>
      </c>
      <c r="H84" s="14">
        <f t="shared" si="3"/>
        <v>-1.3446949779265527E-2</v>
      </c>
    </row>
    <row r="85" spans="2:8" x14ac:dyDescent="0.3">
      <c r="B85" s="67">
        <v>44837</v>
      </c>
      <c r="C85" s="68">
        <v>3735.75</v>
      </c>
      <c r="D85" s="14">
        <f t="shared" si="2"/>
        <v>8.2451822854403556E-3</v>
      </c>
      <c r="F85" s="72">
        <v>44837</v>
      </c>
      <c r="G85" s="68">
        <v>17314.650390999999</v>
      </c>
      <c r="H85" s="14">
        <f t="shared" si="3"/>
        <v>1.2887345060733635E-2</v>
      </c>
    </row>
    <row r="86" spans="2:8" x14ac:dyDescent="0.3">
      <c r="B86" s="67">
        <v>44844</v>
      </c>
      <c r="C86" s="68">
        <v>3572.8000489999999</v>
      </c>
      <c r="D86" s="14">
        <f t="shared" si="2"/>
        <v>-4.3619072743090403E-2</v>
      </c>
      <c r="F86" s="72">
        <v>44844</v>
      </c>
      <c r="G86" s="68">
        <v>17185.699218999998</v>
      </c>
      <c r="H86" s="14">
        <f t="shared" si="3"/>
        <v>-7.4475180894804094E-3</v>
      </c>
    </row>
    <row r="87" spans="2:8" x14ac:dyDescent="0.3">
      <c r="B87" s="67">
        <v>44851</v>
      </c>
      <c r="C87" s="68">
        <v>3571.3999020000001</v>
      </c>
      <c r="D87" s="14">
        <f t="shared" si="2"/>
        <v>-3.9189066860645383E-4</v>
      </c>
      <c r="F87" s="72">
        <v>44851</v>
      </c>
      <c r="G87" s="68">
        <v>17576.300781000002</v>
      </c>
      <c r="H87" s="14">
        <f t="shared" si="3"/>
        <v>2.2728290366455628E-2</v>
      </c>
    </row>
    <row r="88" spans="2:8" x14ac:dyDescent="0.3">
      <c r="B88" s="67">
        <v>44858</v>
      </c>
      <c r="C88" s="68">
        <v>3547.5</v>
      </c>
      <c r="D88" s="14">
        <f t="shared" si="2"/>
        <v>-6.692026279839447E-3</v>
      </c>
      <c r="F88" s="72">
        <v>44858</v>
      </c>
      <c r="G88" s="68">
        <v>17786.800781000002</v>
      </c>
      <c r="H88" s="14">
        <f t="shared" si="3"/>
        <v>1.197635399068453E-2</v>
      </c>
    </row>
    <row r="89" spans="2:8" x14ac:dyDescent="0.3">
      <c r="B89" s="67">
        <v>44865</v>
      </c>
      <c r="C89" s="68">
        <v>3746.3000489999999</v>
      </c>
      <c r="D89" s="14">
        <f t="shared" si="2"/>
        <v>5.603947822410138E-2</v>
      </c>
      <c r="F89" s="72">
        <v>44865</v>
      </c>
      <c r="G89" s="68">
        <v>18117.150390999999</v>
      </c>
      <c r="H89" s="14">
        <f t="shared" si="3"/>
        <v>1.8572739081492262E-2</v>
      </c>
    </row>
    <row r="90" spans="2:8" x14ac:dyDescent="0.3">
      <c r="B90" s="67">
        <v>44872</v>
      </c>
      <c r="C90" s="68">
        <v>3271.3999020000001</v>
      </c>
      <c r="D90" s="14">
        <f t="shared" si="2"/>
        <v>-0.12676511245455768</v>
      </c>
      <c r="F90" s="72">
        <v>44872</v>
      </c>
      <c r="G90" s="68">
        <v>18349.699218999998</v>
      </c>
      <c r="H90" s="14">
        <f t="shared" si="3"/>
        <v>1.2835839134808014E-2</v>
      </c>
    </row>
    <row r="91" spans="2:8" x14ac:dyDescent="0.3">
      <c r="B91" s="67">
        <v>44879</v>
      </c>
      <c r="C91" s="68">
        <v>3287.3500979999999</v>
      </c>
      <c r="D91" s="14">
        <f t="shared" si="2"/>
        <v>4.8756484923315746E-3</v>
      </c>
      <c r="F91" s="72">
        <v>44879</v>
      </c>
      <c r="G91" s="68">
        <v>18307.650390999999</v>
      </c>
      <c r="H91" s="14">
        <f t="shared" si="3"/>
        <v>-2.2915268254892762E-3</v>
      </c>
    </row>
    <row r="92" spans="2:8" x14ac:dyDescent="0.3">
      <c r="B92" s="67">
        <v>44886</v>
      </c>
      <c r="C92" s="68">
        <v>3342.6499020000001</v>
      </c>
      <c r="D92" s="14">
        <f t="shared" si="2"/>
        <v>1.6822000198166931E-2</v>
      </c>
      <c r="F92" s="72">
        <v>44886</v>
      </c>
      <c r="G92" s="68">
        <v>18512.75</v>
      </c>
      <c r="H92" s="14">
        <f t="shared" si="3"/>
        <v>1.1202945469224623E-2</v>
      </c>
    </row>
    <row r="93" spans="2:8" x14ac:dyDescent="0.3">
      <c r="B93" s="67">
        <v>44893</v>
      </c>
      <c r="C93" s="68">
        <v>3381.25</v>
      </c>
      <c r="D93" s="14">
        <f t="shared" si="2"/>
        <v>1.1547753767723101E-2</v>
      </c>
      <c r="F93" s="72">
        <v>44893</v>
      </c>
      <c r="G93" s="68">
        <v>18696.099609000001</v>
      </c>
      <c r="H93" s="14">
        <f t="shared" si="3"/>
        <v>9.9039639707769744E-3</v>
      </c>
    </row>
    <row r="94" spans="2:8" x14ac:dyDescent="0.3">
      <c r="B94" s="67">
        <v>44900</v>
      </c>
      <c r="C94" s="68">
        <v>3274.0500489999999</v>
      </c>
      <c r="D94" s="14">
        <f t="shared" si="2"/>
        <v>-3.1704236894639526E-2</v>
      </c>
      <c r="F94" s="72">
        <v>44900</v>
      </c>
      <c r="G94" s="68">
        <v>18496.599609000001</v>
      </c>
      <c r="H94" s="14">
        <f t="shared" si="3"/>
        <v>-1.0670674855838058E-2</v>
      </c>
    </row>
    <row r="95" spans="2:8" x14ac:dyDescent="0.3">
      <c r="B95" s="67">
        <v>44907</v>
      </c>
      <c r="C95" s="68">
        <v>3326.8999020000001</v>
      </c>
      <c r="D95" s="14">
        <f t="shared" si="2"/>
        <v>1.6142041877503344E-2</v>
      </c>
      <c r="F95" s="72">
        <v>44907</v>
      </c>
      <c r="G95" s="68">
        <v>18269</v>
      </c>
      <c r="H95" s="14">
        <f t="shared" si="3"/>
        <v>-1.2304943276668867E-2</v>
      </c>
    </row>
    <row r="96" spans="2:8" x14ac:dyDescent="0.3">
      <c r="B96" s="67">
        <v>44914</v>
      </c>
      <c r="C96" s="68">
        <v>3498.4499510000001</v>
      </c>
      <c r="D96" s="14">
        <f t="shared" si="2"/>
        <v>5.1564535770033393E-2</v>
      </c>
      <c r="F96" s="72">
        <v>44914</v>
      </c>
      <c r="G96" s="68">
        <v>17806.800781000002</v>
      </c>
      <c r="H96" s="14">
        <f t="shared" si="3"/>
        <v>-2.529964524604511E-2</v>
      </c>
    </row>
    <row r="97" spans="2:8" x14ac:dyDescent="0.3">
      <c r="B97" s="67">
        <v>44921</v>
      </c>
      <c r="C97" s="68">
        <v>3413.1999510000001</v>
      </c>
      <c r="D97" s="14">
        <f t="shared" si="2"/>
        <v>-2.4367934712237971E-2</v>
      </c>
      <c r="F97" s="72">
        <v>44921</v>
      </c>
      <c r="G97" s="68">
        <v>18105.300781000002</v>
      </c>
      <c r="H97" s="14">
        <f t="shared" si="3"/>
        <v>1.6763258244484991E-2</v>
      </c>
    </row>
    <row r="98" spans="2:8" x14ac:dyDescent="0.3">
      <c r="B98" s="67">
        <v>44928</v>
      </c>
      <c r="C98" s="68">
        <v>3434.8999020000001</v>
      </c>
      <c r="D98" s="14">
        <f t="shared" si="2"/>
        <v>6.3576559567342095E-3</v>
      </c>
      <c r="F98" s="72">
        <v>44928</v>
      </c>
      <c r="G98" s="68">
        <v>17859.449218999998</v>
      </c>
      <c r="H98" s="14">
        <f t="shared" si="3"/>
        <v>-1.3578982474458767E-2</v>
      </c>
    </row>
    <row r="99" spans="2:8" x14ac:dyDescent="0.3">
      <c r="B99" s="67">
        <v>44935</v>
      </c>
      <c r="C99" s="68">
        <v>3351.6999510000001</v>
      </c>
      <c r="D99" s="14">
        <f t="shared" si="2"/>
        <v>-2.4221943396823931E-2</v>
      </c>
      <c r="F99" s="72">
        <v>44935</v>
      </c>
      <c r="G99" s="68">
        <v>17956.599609000001</v>
      </c>
      <c r="H99" s="14">
        <f t="shared" si="3"/>
        <v>5.4397192661825855E-3</v>
      </c>
    </row>
    <row r="100" spans="2:8" x14ac:dyDescent="0.3">
      <c r="B100" s="67">
        <v>44942</v>
      </c>
      <c r="C100" s="68">
        <v>3343.1499020000001</v>
      </c>
      <c r="D100" s="14">
        <f t="shared" si="2"/>
        <v>-2.5509589536644173E-3</v>
      </c>
      <c r="F100" s="72">
        <v>44942</v>
      </c>
      <c r="G100" s="68">
        <v>18027.650390999999</v>
      </c>
      <c r="H100" s="14">
        <f t="shared" si="3"/>
        <v>3.9568060516528281E-3</v>
      </c>
    </row>
    <row r="101" spans="2:8" x14ac:dyDescent="0.3">
      <c r="B101" s="67">
        <v>44949</v>
      </c>
      <c r="C101" s="68">
        <v>3387.4499510000001</v>
      </c>
      <c r="D101" s="14">
        <f t="shared" si="2"/>
        <v>1.3250990921315875E-2</v>
      </c>
      <c r="F101" s="72">
        <v>44949</v>
      </c>
      <c r="G101" s="68">
        <v>17604.349609000001</v>
      </c>
      <c r="H101" s="14">
        <f t="shared" si="3"/>
        <v>-2.3480640727941093E-2</v>
      </c>
    </row>
    <row r="102" spans="2:8" x14ac:dyDescent="0.3">
      <c r="B102" s="67">
        <v>44956</v>
      </c>
      <c r="C102" s="68">
        <v>2884.3500979999999</v>
      </c>
      <c r="D102" s="14">
        <f t="shared" si="2"/>
        <v>-0.14851875607829468</v>
      </c>
      <c r="F102" s="72">
        <v>44956</v>
      </c>
      <c r="G102" s="68">
        <v>17854.050781000002</v>
      </c>
      <c r="H102" s="14">
        <f t="shared" si="3"/>
        <v>1.4184061186352848E-2</v>
      </c>
    </row>
    <row r="103" spans="2:8" x14ac:dyDescent="0.3">
      <c r="B103" s="67">
        <v>44963</v>
      </c>
      <c r="C103" s="68">
        <v>2811.25</v>
      </c>
      <c r="D103" s="14">
        <f t="shared" si="2"/>
        <v>-2.5343698065878772E-2</v>
      </c>
      <c r="F103" s="72">
        <v>44963</v>
      </c>
      <c r="G103" s="68">
        <v>17856.5</v>
      </c>
      <c r="H103" s="14">
        <f t="shared" si="3"/>
        <v>1.371800175793414E-4</v>
      </c>
    </row>
    <row r="104" spans="2:8" x14ac:dyDescent="0.3">
      <c r="B104" s="67">
        <v>44970</v>
      </c>
      <c r="C104" s="68">
        <v>2829.8000489999999</v>
      </c>
      <c r="D104" s="14">
        <f t="shared" si="2"/>
        <v>6.5985056469541892E-3</v>
      </c>
      <c r="F104" s="72">
        <v>44970</v>
      </c>
      <c r="G104" s="68">
        <v>17944.199218999998</v>
      </c>
      <c r="H104" s="14">
        <f t="shared" si="3"/>
        <v>4.9113330719905424E-3</v>
      </c>
    </row>
    <row r="105" spans="2:8" x14ac:dyDescent="0.3">
      <c r="B105" s="67">
        <v>44977</v>
      </c>
      <c r="C105" s="68">
        <v>2915.1999510000001</v>
      </c>
      <c r="D105" s="14">
        <f t="shared" si="2"/>
        <v>3.0178776069418323E-2</v>
      </c>
      <c r="F105" s="72">
        <v>44977</v>
      </c>
      <c r="G105" s="68">
        <v>17465.800781000002</v>
      </c>
      <c r="H105" s="14">
        <f t="shared" si="3"/>
        <v>-2.6660339208308015E-2</v>
      </c>
    </row>
    <row r="106" spans="2:8" x14ac:dyDescent="0.3">
      <c r="B106" s="67">
        <v>44984</v>
      </c>
      <c r="C106" s="68">
        <v>2850.3999020000001</v>
      </c>
      <c r="D106" s="14">
        <f t="shared" si="2"/>
        <v>-2.2228337708969703E-2</v>
      </c>
      <c r="F106" s="72">
        <v>44984</v>
      </c>
      <c r="G106" s="68">
        <v>17594.349609000001</v>
      </c>
      <c r="H106" s="14">
        <f t="shared" si="3"/>
        <v>7.3600305884538031E-3</v>
      </c>
    </row>
    <row r="107" spans="2:8" x14ac:dyDescent="0.3">
      <c r="B107" s="67">
        <v>44991</v>
      </c>
      <c r="C107" s="68">
        <v>2787.5</v>
      </c>
      <c r="D107" s="14">
        <f t="shared" si="2"/>
        <v>-2.206704468234999E-2</v>
      </c>
      <c r="F107" s="72">
        <v>44991</v>
      </c>
      <c r="G107" s="68">
        <v>17412.900390999999</v>
      </c>
      <c r="H107" s="14">
        <f t="shared" si="3"/>
        <v>-1.0312925571695164E-2</v>
      </c>
    </row>
    <row r="108" spans="2:8" x14ac:dyDescent="0.3">
      <c r="B108" s="67">
        <v>44998</v>
      </c>
      <c r="C108" s="68">
        <v>2791.5</v>
      </c>
      <c r="D108" s="14">
        <f t="shared" si="2"/>
        <v>1.4349775784754382E-3</v>
      </c>
      <c r="F108" s="72">
        <v>44998</v>
      </c>
      <c r="G108" s="68">
        <v>17100.050781000002</v>
      </c>
      <c r="H108" s="14">
        <f t="shared" si="3"/>
        <v>-1.7966542217268788E-2</v>
      </c>
    </row>
    <row r="109" spans="2:8" x14ac:dyDescent="0.3">
      <c r="B109" s="67">
        <v>45005</v>
      </c>
      <c r="C109" s="68">
        <v>2807</v>
      </c>
      <c r="D109" s="14">
        <f t="shared" si="2"/>
        <v>5.552570302704618E-3</v>
      </c>
      <c r="F109" s="72">
        <v>45005</v>
      </c>
      <c r="G109" s="68">
        <v>16945.050781000002</v>
      </c>
      <c r="H109" s="14">
        <f t="shared" si="3"/>
        <v>-9.0643005675878907E-3</v>
      </c>
    </row>
    <row r="110" spans="2:8" x14ac:dyDescent="0.3">
      <c r="B110" s="67">
        <v>45012</v>
      </c>
      <c r="C110" s="68">
        <v>2823.3500979999999</v>
      </c>
      <c r="D110" s="14">
        <f t="shared" si="2"/>
        <v>5.8247588172426479E-3</v>
      </c>
      <c r="F110" s="72">
        <v>45012</v>
      </c>
      <c r="G110" s="68">
        <v>17359.75</v>
      </c>
      <c r="H110" s="14">
        <f t="shared" si="3"/>
        <v>2.4473176525678486E-2</v>
      </c>
    </row>
    <row r="111" spans="2:8" x14ac:dyDescent="0.3">
      <c r="B111" s="67">
        <v>45019</v>
      </c>
      <c r="C111" s="68">
        <v>2921.4499510000001</v>
      </c>
      <c r="D111" s="14">
        <f t="shared" si="2"/>
        <v>3.4745904544212225E-2</v>
      </c>
      <c r="F111" s="72">
        <v>45019</v>
      </c>
      <c r="G111" s="68">
        <v>17599.150390999999</v>
      </c>
      <c r="H111" s="14">
        <f t="shared" si="3"/>
        <v>1.3790543700226143E-2</v>
      </c>
    </row>
    <row r="112" spans="2:8" x14ac:dyDescent="0.3">
      <c r="B112" s="67">
        <v>45026</v>
      </c>
      <c r="C112" s="68">
        <v>3183.9499510000001</v>
      </c>
      <c r="D112" s="14">
        <f t="shared" si="2"/>
        <v>8.9852643174717972E-2</v>
      </c>
      <c r="F112" s="72">
        <v>45026</v>
      </c>
      <c r="G112" s="68">
        <v>17828</v>
      </c>
      <c r="H112" s="14">
        <f t="shared" si="3"/>
        <v>1.3003446411653519E-2</v>
      </c>
    </row>
    <row r="113" spans="2:8" x14ac:dyDescent="0.3">
      <c r="B113" s="67">
        <v>45029</v>
      </c>
      <c r="C113" s="68">
        <v>3183.9499510000001</v>
      </c>
      <c r="D113" s="14">
        <f t="shared" si="2"/>
        <v>0</v>
      </c>
      <c r="F113" s="72">
        <v>45029</v>
      </c>
      <c r="G113" s="68">
        <v>17828</v>
      </c>
      <c r="H113" s="14">
        <f t="shared" si="3"/>
        <v>0</v>
      </c>
    </row>
    <row r="114" spans="2:8" x14ac:dyDescent="0.3">
      <c r="B114" s="66"/>
      <c r="C114" s="69"/>
      <c r="D114" s="14"/>
    </row>
  </sheetData>
  <mergeCells count="3">
    <mergeCell ref="B5:D5"/>
    <mergeCell ref="F5:H5"/>
    <mergeCell ref="J5:L5"/>
  </mergeCells>
  <pageMargins left="0.70866141732283472" right="0.70866141732283472" top="0.74803149606299213" bottom="0.74803149606299213" header="0.31496062992125984" footer="0.31496062992125984"/>
  <pageSetup paperSize="9" scale="2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669B-A429-4E62-86ED-660795B03DAD}">
  <sheetPr>
    <pageSetUpPr fitToPage="1"/>
  </sheetPr>
  <dimension ref="B3:V114"/>
  <sheetViews>
    <sheetView showGridLines="0" tabSelected="1" topLeftCell="A5" zoomScale="69" zoomScaleNormal="69" workbookViewId="0">
      <selection activeCell="E34" sqref="E34"/>
    </sheetView>
  </sheetViews>
  <sheetFormatPr defaultRowHeight="14.4" x14ac:dyDescent="0.3"/>
  <cols>
    <col min="1" max="1" width="1.88671875" customWidth="1"/>
    <col min="2" max="2" width="11.21875" style="67" customWidth="1"/>
    <col min="3" max="3" width="11" style="68" customWidth="1"/>
    <col min="4" max="4" width="15.21875" customWidth="1"/>
    <col min="5" max="5" width="2.77734375" customWidth="1"/>
    <col min="6" max="6" width="10.33203125" bestFit="1" customWidth="1"/>
    <col min="7" max="7" width="12" style="68" bestFit="1" customWidth="1"/>
    <col min="12" max="12" width="17.44140625" bestFit="1" customWidth="1"/>
    <col min="13" max="13" width="17.44140625" style="77" customWidth="1"/>
    <col min="14" max="14" width="12" bestFit="1" customWidth="1"/>
    <col min="15" max="15" width="17.44140625" bestFit="1" customWidth="1"/>
    <col min="16" max="16" width="12.88671875" bestFit="1" customWidth="1"/>
    <col min="17" max="17" width="14.109375" bestFit="1" customWidth="1"/>
    <col min="18" max="18" width="13.44140625" bestFit="1" customWidth="1"/>
    <col min="19" max="19" width="12.88671875" bestFit="1" customWidth="1"/>
    <col min="20" max="20" width="13.44140625" bestFit="1" customWidth="1"/>
  </cols>
  <sheetData>
    <row r="3" spans="2:15" x14ac:dyDescent="0.3">
      <c r="B3" s="66" t="s">
        <v>234</v>
      </c>
    </row>
    <row r="5" spans="2:15" x14ac:dyDescent="0.3">
      <c r="B5" s="169" t="s">
        <v>238</v>
      </c>
      <c r="C5" s="169"/>
      <c r="D5" s="169"/>
      <c r="F5" s="169" t="s">
        <v>201</v>
      </c>
      <c r="G5" s="169"/>
      <c r="H5" s="169"/>
      <c r="J5" s="169" t="s">
        <v>229</v>
      </c>
      <c r="K5" s="169"/>
      <c r="L5" s="169"/>
      <c r="M5" s="78"/>
    </row>
    <row r="7" spans="2:15" x14ac:dyDescent="0.3">
      <c r="B7" s="70" t="s">
        <v>197</v>
      </c>
      <c r="C7" s="71" t="s">
        <v>198</v>
      </c>
      <c r="D7" s="56" t="s">
        <v>200</v>
      </c>
      <c r="F7" s="70" t="s">
        <v>197</v>
      </c>
      <c r="G7" s="71" t="s">
        <v>198</v>
      </c>
      <c r="H7" s="56" t="s">
        <v>200</v>
      </c>
      <c r="J7" t="s">
        <v>187</v>
      </c>
      <c r="L7" s="49">
        <f>O11</f>
        <v>0.38967068411562922</v>
      </c>
    </row>
    <row r="8" spans="2:15" x14ac:dyDescent="0.3">
      <c r="B8" s="67">
        <v>44298</v>
      </c>
      <c r="C8" s="68">
        <v>1272.2504879999999</v>
      </c>
      <c r="F8" s="80">
        <v>44298</v>
      </c>
      <c r="G8" s="68">
        <v>14617.849609000001</v>
      </c>
      <c r="J8" t="s">
        <v>230</v>
      </c>
      <c r="L8" s="14">
        <v>0.75</v>
      </c>
      <c r="N8" t="s">
        <v>203</v>
      </c>
      <c r="O8" s="49">
        <f>SLOPE(D9:D113,H9:H113)</f>
        <v>0.3896706841156295</v>
      </c>
    </row>
    <row r="9" spans="2:15" x14ac:dyDescent="0.3">
      <c r="B9" s="67">
        <v>44305</v>
      </c>
      <c r="C9" s="68">
        <v>1229.7288820000001</v>
      </c>
      <c r="D9" s="14">
        <f>C9/C8-1</f>
        <v>-3.3422353853323705E-2</v>
      </c>
      <c r="F9" s="72">
        <v>44305</v>
      </c>
      <c r="G9" s="68">
        <v>14341.349609000001</v>
      </c>
      <c r="H9" s="14">
        <f>G9/G8-1</f>
        <v>-1.8915230857879606E-2</v>
      </c>
      <c r="N9" t="s">
        <v>202</v>
      </c>
      <c r="O9" s="49">
        <f>_xlfn.COVARIANCE.S(D8:D113,H8:H113)/_xlfn.VAR.S(H8:H113)</f>
        <v>0.38967068411562938</v>
      </c>
    </row>
    <row r="10" spans="2:15" x14ac:dyDescent="0.3">
      <c r="B10" s="67">
        <v>44312</v>
      </c>
      <c r="C10" s="68">
        <v>1218.7037350000001</v>
      </c>
      <c r="D10" s="14">
        <f t="shared" ref="D10:D73" si="0">C10/C9-1</f>
        <v>-8.9655103343340148E-3</v>
      </c>
      <c r="F10" s="72">
        <v>44312</v>
      </c>
      <c r="G10" s="68">
        <v>14631.099609000001</v>
      </c>
      <c r="H10" s="14">
        <f t="shared" ref="H10:H73" si="1">G10/G9-1</f>
        <v>2.0203816788495699E-2</v>
      </c>
      <c r="J10" t="s">
        <v>232</v>
      </c>
      <c r="L10" s="49">
        <v>1</v>
      </c>
      <c r="O10" s="49"/>
    </row>
    <row r="11" spans="2:15" x14ac:dyDescent="0.3">
      <c r="B11" s="67">
        <v>44319</v>
      </c>
      <c r="C11" s="68">
        <v>1270.575073</v>
      </c>
      <c r="D11" s="14">
        <f t="shared" si="0"/>
        <v>4.2562713570414967E-2</v>
      </c>
      <c r="F11" s="72">
        <v>44319</v>
      </c>
      <c r="G11" s="68">
        <v>14823.150390999999</v>
      </c>
      <c r="H11" s="14">
        <f t="shared" si="1"/>
        <v>1.3126202891945438E-2</v>
      </c>
      <c r="J11" t="s">
        <v>231</v>
      </c>
      <c r="L11" s="14">
        <f>1-L8</f>
        <v>0.25</v>
      </c>
      <c r="N11" s="10" t="s">
        <v>204</v>
      </c>
      <c r="O11" s="82">
        <f>O33</f>
        <v>0.38967068411562922</v>
      </c>
    </row>
    <row r="12" spans="2:15" x14ac:dyDescent="0.3">
      <c r="B12" s="67">
        <v>44326</v>
      </c>
      <c r="C12" s="68">
        <v>1322.1788329999999</v>
      </c>
      <c r="D12" s="14">
        <f t="shared" si="0"/>
        <v>4.0614491104532968E-2</v>
      </c>
      <c r="F12" s="72">
        <v>44326</v>
      </c>
      <c r="G12" s="68">
        <v>14677.799805000001</v>
      </c>
      <c r="H12" s="14">
        <f t="shared" si="1"/>
        <v>-9.8056473938393784E-3</v>
      </c>
    </row>
    <row r="13" spans="2:15" ht="15" thickBot="1" x14ac:dyDescent="0.35">
      <c r="B13" s="67">
        <v>44333</v>
      </c>
      <c r="C13" s="68">
        <v>1320.0661620000001</v>
      </c>
      <c r="D13" s="14">
        <f t="shared" si="0"/>
        <v>-1.5978708380970374E-3</v>
      </c>
      <c r="F13" s="72">
        <v>44333</v>
      </c>
      <c r="G13" s="68">
        <v>15175.299805000001</v>
      </c>
      <c r="H13" s="14">
        <f t="shared" si="1"/>
        <v>3.3894725817865901E-2</v>
      </c>
      <c r="J13" s="79" t="s">
        <v>233</v>
      </c>
      <c r="K13" s="79"/>
      <c r="L13" s="81">
        <f>(L7*L8)+(L10*L11)</f>
        <v>0.54225301308672191</v>
      </c>
      <c r="M13"/>
    </row>
    <row r="14" spans="2:15" ht="15" thickTop="1" x14ac:dyDescent="0.3">
      <c r="B14" s="67">
        <v>44340</v>
      </c>
      <c r="C14" s="68">
        <v>1318.1721190000001</v>
      </c>
      <c r="D14" s="14">
        <f t="shared" si="0"/>
        <v>-1.4348091440586908E-3</v>
      </c>
      <c r="F14" s="72">
        <v>44340</v>
      </c>
      <c r="G14" s="68">
        <v>15435.650390999999</v>
      </c>
      <c r="H14" s="14">
        <f t="shared" si="1"/>
        <v>1.7156207082921426E-2</v>
      </c>
      <c r="M14"/>
    </row>
    <row r="15" spans="2:15" x14ac:dyDescent="0.3">
      <c r="B15" s="67">
        <v>44347</v>
      </c>
      <c r="C15" s="68">
        <v>1365.526245</v>
      </c>
      <c r="D15" s="14">
        <f t="shared" si="0"/>
        <v>3.5924084053548411E-2</v>
      </c>
      <c r="F15" s="72">
        <v>44347</v>
      </c>
      <c r="G15" s="68">
        <v>15670.25</v>
      </c>
      <c r="H15" s="14">
        <f t="shared" si="1"/>
        <v>1.5198556786229611E-2</v>
      </c>
      <c r="M15"/>
    </row>
    <row r="16" spans="2:15" x14ac:dyDescent="0.3">
      <c r="B16" s="67">
        <v>44354</v>
      </c>
      <c r="C16" s="68">
        <v>1398.6743160000001</v>
      </c>
      <c r="D16" s="14">
        <f t="shared" si="0"/>
        <v>2.4274942441695924E-2</v>
      </c>
      <c r="F16" s="72">
        <v>44354</v>
      </c>
      <c r="G16" s="68">
        <v>15799.349609000001</v>
      </c>
      <c r="H16" s="14">
        <f t="shared" si="1"/>
        <v>8.2385162329892125E-3</v>
      </c>
      <c r="M16"/>
      <c r="N16" t="s">
        <v>205</v>
      </c>
    </row>
    <row r="17" spans="2:22" ht="15" thickBot="1" x14ac:dyDescent="0.35">
      <c r="B17" s="67">
        <v>44361</v>
      </c>
      <c r="C17" s="68">
        <v>1407.3679199999999</v>
      </c>
      <c r="D17" s="14">
        <f t="shared" si="0"/>
        <v>6.2156028037050337E-3</v>
      </c>
      <c r="F17" s="72">
        <v>44361</v>
      </c>
      <c r="G17" s="68">
        <v>15683.349609000001</v>
      </c>
      <c r="H17" s="14">
        <f t="shared" si="1"/>
        <v>-7.3420743809555766E-3</v>
      </c>
      <c r="M17"/>
    </row>
    <row r="18" spans="2:22" x14ac:dyDescent="0.3">
      <c r="B18" s="67">
        <v>44368</v>
      </c>
      <c r="C18" s="68">
        <v>1409.1202390000001</v>
      </c>
      <c r="D18" s="14">
        <f t="shared" si="0"/>
        <v>1.2451036968359475E-3</v>
      </c>
      <c r="F18" s="72">
        <v>44368</v>
      </c>
      <c r="G18" s="68">
        <v>15860.349609000001</v>
      </c>
      <c r="H18" s="14">
        <f t="shared" si="1"/>
        <v>1.1285854387791394E-2</v>
      </c>
      <c r="M18"/>
      <c r="N18" s="75" t="s">
        <v>206</v>
      </c>
      <c r="O18" s="75"/>
    </row>
    <row r="19" spans="2:22" x14ac:dyDescent="0.3">
      <c r="B19" s="67">
        <v>44375</v>
      </c>
      <c r="C19" s="68">
        <v>1440.415039</v>
      </c>
      <c r="D19" s="14">
        <f t="shared" si="0"/>
        <v>2.220875063309613E-2</v>
      </c>
      <c r="F19" s="72">
        <v>44375</v>
      </c>
      <c r="G19" s="68">
        <v>15722.200194999999</v>
      </c>
      <c r="H19" s="14">
        <f t="shared" si="1"/>
        <v>-8.7103637313018512E-3</v>
      </c>
      <c r="M19"/>
      <c r="N19" t="s">
        <v>207</v>
      </c>
      <c r="O19">
        <v>0.24738993209580273</v>
      </c>
    </row>
    <row r="20" spans="2:22" x14ac:dyDescent="0.3">
      <c r="B20" s="67">
        <v>44382</v>
      </c>
      <c r="C20" s="68">
        <v>1467.1204829999999</v>
      </c>
      <c r="D20" s="14">
        <f t="shared" si="0"/>
        <v>1.854010356524749E-2</v>
      </c>
      <c r="F20" s="72">
        <v>44382</v>
      </c>
      <c r="G20" s="68">
        <v>15689.799805000001</v>
      </c>
      <c r="H20" s="14">
        <f t="shared" si="1"/>
        <v>-2.0608050780515086E-3</v>
      </c>
      <c r="M20"/>
      <c r="N20" t="s">
        <v>208</v>
      </c>
      <c r="O20">
        <v>6.1201778502365883E-2</v>
      </c>
    </row>
    <row r="21" spans="2:22" x14ac:dyDescent="0.3">
      <c r="B21" s="67">
        <v>44389</v>
      </c>
      <c r="C21" s="68">
        <v>1460.1389160000001</v>
      </c>
      <c r="D21" s="14">
        <f t="shared" si="0"/>
        <v>-4.7586868842044439E-3</v>
      </c>
      <c r="F21" s="72">
        <v>44389</v>
      </c>
      <c r="G21" s="68">
        <v>15923.400390999999</v>
      </c>
      <c r="H21" s="14">
        <f t="shared" si="1"/>
        <v>1.488869130921322E-2</v>
      </c>
      <c r="M21"/>
      <c r="N21" t="s">
        <v>209</v>
      </c>
      <c r="O21">
        <v>5.2087232662583027E-2</v>
      </c>
    </row>
    <row r="22" spans="2:22" x14ac:dyDescent="0.3">
      <c r="B22" s="67">
        <v>44396</v>
      </c>
      <c r="C22" s="68">
        <v>1485.7460940000001</v>
      </c>
      <c r="D22" s="14">
        <f t="shared" si="0"/>
        <v>1.7537494357146466E-2</v>
      </c>
      <c r="F22" s="72">
        <v>44396</v>
      </c>
      <c r="G22" s="68">
        <v>15856.049805000001</v>
      </c>
      <c r="H22" s="14">
        <f t="shared" si="1"/>
        <v>-4.2296610237889665E-3</v>
      </c>
      <c r="M22"/>
      <c r="N22" t="s">
        <v>210</v>
      </c>
      <c r="O22">
        <v>3.0724028528344927E-2</v>
      </c>
    </row>
    <row r="23" spans="2:22" ht="15" thickBot="1" x14ac:dyDescent="0.35">
      <c r="B23" s="67">
        <v>44403</v>
      </c>
      <c r="C23" s="68">
        <v>1499.367432</v>
      </c>
      <c r="D23" s="14">
        <f t="shared" si="0"/>
        <v>9.1680119873833732E-3</v>
      </c>
      <c r="F23" s="72">
        <v>44403</v>
      </c>
      <c r="G23" s="68">
        <v>15763.049805000001</v>
      </c>
      <c r="H23" s="14">
        <f t="shared" si="1"/>
        <v>-5.8652691650018518E-3</v>
      </c>
      <c r="M23"/>
      <c r="N23" s="73" t="s">
        <v>211</v>
      </c>
      <c r="O23" s="73">
        <v>105</v>
      </c>
    </row>
    <row r="24" spans="2:22" x14ac:dyDescent="0.3">
      <c r="B24" s="67">
        <v>44410</v>
      </c>
      <c r="C24" s="68">
        <v>1495.876587</v>
      </c>
      <c r="D24" s="14">
        <f t="shared" si="0"/>
        <v>-2.3282118348693093E-3</v>
      </c>
      <c r="F24" s="72">
        <v>44410</v>
      </c>
      <c r="G24" s="68">
        <v>16238.200194999999</v>
      </c>
      <c r="H24" s="14">
        <f t="shared" si="1"/>
        <v>3.0143303223547635E-2</v>
      </c>
      <c r="M24"/>
    </row>
    <row r="25" spans="2:22" ht="15" thickBot="1" x14ac:dyDescent="0.35">
      <c r="B25" s="67">
        <v>44417</v>
      </c>
      <c r="C25" s="68">
        <v>1446.9571530000001</v>
      </c>
      <c r="D25" s="14">
        <f t="shared" si="0"/>
        <v>-3.2702854249566427E-2</v>
      </c>
      <c r="F25" s="72">
        <v>44417</v>
      </c>
      <c r="G25" s="68">
        <v>16529.099609000001</v>
      </c>
      <c r="H25" s="14">
        <f t="shared" si="1"/>
        <v>1.79145108760006E-2</v>
      </c>
      <c r="M25"/>
      <c r="N25" t="s">
        <v>212</v>
      </c>
    </row>
    <row r="26" spans="2:22" x14ac:dyDescent="0.3">
      <c r="B26" s="67">
        <v>44424</v>
      </c>
      <c r="C26" s="68">
        <v>1482.2797849999999</v>
      </c>
      <c r="D26" s="14">
        <f t="shared" si="0"/>
        <v>2.4411664109586617E-2</v>
      </c>
      <c r="F26" s="72">
        <v>44424</v>
      </c>
      <c r="G26" s="68">
        <v>16450.5</v>
      </c>
      <c r="H26" s="14">
        <f t="shared" si="1"/>
        <v>-4.7552262893499897E-3</v>
      </c>
      <c r="M26"/>
      <c r="N26" s="74"/>
      <c r="O26" s="74" t="s">
        <v>216</v>
      </c>
      <c r="P26" s="74" t="s">
        <v>217</v>
      </c>
      <c r="Q26" s="74" t="s">
        <v>218</v>
      </c>
      <c r="R26" s="74" t="s">
        <v>219</v>
      </c>
      <c r="S26" s="74" t="s">
        <v>220</v>
      </c>
    </row>
    <row r="27" spans="2:22" x14ac:dyDescent="0.3">
      <c r="B27" s="67">
        <v>44431</v>
      </c>
      <c r="C27" s="68">
        <v>1487.5523679999999</v>
      </c>
      <c r="D27" s="14">
        <f t="shared" si="0"/>
        <v>3.5570767768380307E-3</v>
      </c>
      <c r="F27" s="72">
        <v>44431</v>
      </c>
      <c r="G27" s="68">
        <v>16705.199218999998</v>
      </c>
      <c r="H27" s="14">
        <f t="shared" si="1"/>
        <v>1.5482764596820742E-2</v>
      </c>
      <c r="M27"/>
      <c r="N27" t="s">
        <v>213</v>
      </c>
      <c r="O27">
        <v>1</v>
      </c>
      <c r="P27">
        <v>6.3384829827637656E-3</v>
      </c>
      <c r="Q27">
        <v>6.3384829827637656E-3</v>
      </c>
      <c r="R27">
        <v>6.7147370344262765</v>
      </c>
      <c r="S27">
        <v>1.0948846980502186E-2</v>
      </c>
    </row>
    <row r="28" spans="2:22" x14ac:dyDescent="0.3">
      <c r="B28" s="67">
        <v>44438</v>
      </c>
      <c r="C28" s="68">
        <v>1557.2457280000001</v>
      </c>
      <c r="D28" s="14">
        <f t="shared" si="0"/>
        <v>4.6851029583383497E-2</v>
      </c>
      <c r="F28" s="72">
        <v>44438</v>
      </c>
      <c r="G28" s="68">
        <v>17323.599609000001</v>
      </c>
      <c r="H28" s="14">
        <f t="shared" si="1"/>
        <v>3.7018438504860862E-2</v>
      </c>
      <c r="M28"/>
      <c r="N28" t="s">
        <v>214</v>
      </c>
      <c r="O28">
        <v>103</v>
      </c>
      <c r="P28">
        <v>9.7228490688086963E-2</v>
      </c>
      <c r="Q28">
        <v>9.4396592901055301E-4</v>
      </c>
    </row>
    <row r="29" spans="2:22" ht="15" thickBot="1" x14ac:dyDescent="0.35">
      <c r="B29" s="67">
        <v>44445</v>
      </c>
      <c r="C29" s="68">
        <v>1517.5535890000001</v>
      </c>
      <c r="D29" s="14">
        <f t="shared" si="0"/>
        <v>-2.5488680614958126E-2</v>
      </c>
      <c r="F29" s="72">
        <v>44445</v>
      </c>
      <c r="G29" s="68">
        <v>17369.25</v>
      </c>
      <c r="H29" s="14">
        <f t="shared" si="1"/>
        <v>2.6351562048503308E-3</v>
      </c>
      <c r="M29"/>
      <c r="N29" s="73" t="s">
        <v>35</v>
      </c>
      <c r="O29" s="73">
        <v>104</v>
      </c>
      <c r="P29" s="73">
        <v>0.10356697367085073</v>
      </c>
      <c r="Q29" s="73"/>
      <c r="R29" s="73"/>
      <c r="S29" s="73"/>
    </row>
    <row r="30" spans="2:22" ht="15" thickBot="1" x14ac:dyDescent="0.35">
      <c r="B30" s="67">
        <v>44452</v>
      </c>
      <c r="C30" s="68">
        <v>1512.109741</v>
      </c>
      <c r="D30" s="14">
        <f t="shared" si="0"/>
        <v>-3.5872525619259354E-3</v>
      </c>
      <c r="F30" s="72">
        <v>44452</v>
      </c>
      <c r="G30" s="68">
        <v>17585.150390999999</v>
      </c>
      <c r="H30" s="14">
        <f t="shared" si="1"/>
        <v>1.2430035321041366E-2</v>
      </c>
      <c r="M30"/>
    </row>
    <row r="31" spans="2:22" x14ac:dyDescent="0.3">
      <c r="B31" s="67">
        <v>44459</v>
      </c>
      <c r="C31" s="68">
        <v>1513.5257570000001</v>
      </c>
      <c r="D31" s="14">
        <f t="shared" si="0"/>
        <v>9.3645055091284846E-4</v>
      </c>
      <c r="F31" s="72">
        <v>44459</v>
      </c>
      <c r="G31" s="68">
        <v>17853.199218999998</v>
      </c>
      <c r="H31" s="14">
        <f t="shared" si="1"/>
        <v>1.5242907910368864E-2</v>
      </c>
      <c r="M31"/>
      <c r="N31" s="74"/>
      <c r="O31" s="74" t="s">
        <v>221</v>
      </c>
      <c r="P31" s="74" t="s">
        <v>210</v>
      </c>
      <c r="Q31" s="74" t="s">
        <v>222</v>
      </c>
      <c r="R31" s="74" t="s">
        <v>223</v>
      </c>
      <c r="S31" s="74" t="s">
        <v>224</v>
      </c>
      <c r="T31" s="74" t="s">
        <v>225</v>
      </c>
      <c r="U31" s="74" t="s">
        <v>226</v>
      </c>
      <c r="V31" s="74" t="s">
        <v>227</v>
      </c>
    </row>
    <row r="32" spans="2:22" x14ac:dyDescent="0.3">
      <c r="B32" s="67">
        <v>44466</v>
      </c>
      <c r="C32" s="68">
        <v>1503.9810789999999</v>
      </c>
      <c r="D32" s="14">
        <f t="shared" si="0"/>
        <v>-6.3062540930383104E-3</v>
      </c>
      <c r="F32" s="72">
        <v>44466</v>
      </c>
      <c r="G32" s="68">
        <v>17532.050781000002</v>
      </c>
      <c r="H32" s="14">
        <f t="shared" si="1"/>
        <v>-1.7988285128091697E-2</v>
      </c>
      <c r="M32"/>
      <c r="N32" t="s">
        <v>215</v>
      </c>
      <c r="O32">
        <v>1.7388751507379813E-3</v>
      </c>
      <c r="P32">
        <v>3.0148172006042944E-3</v>
      </c>
      <c r="Q32">
        <v>0.57677631346585079</v>
      </c>
      <c r="R32">
        <v>0.565348996343639</v>
      </c>
      <c r="S32">
        <v>-4.2403037062668132E-3</v>
      </c>
      <c r="T32">
        <v>7.7180540077427754E-3</v>
      </c>
      <c r="U32">
        <v>-4.2403037062668132E-3</v>
      </c>
      <c r="V32">
        <v>7.7180540077427754E-3</v>
      </c>
    </row>
    <row r="33" spans="2:22" ht="15" thickBot="1" x14ac:dyDescent="0.35">
      <c r="B33" s="67">
        <v>44473</v>
      </c>
      <c r="C33" s="68">
        <v>1501.4178469999999</v>
      </c>
      <c r="D33" s="14">
        <f t="shared" si="0"/>
        <v>-1.7042980365845617E-3</v>
      </c>
      <c r="F33" s="72">
        <v>44473</v>
      </c>
      <c r="G33" s="68">
        <v>17895.199218999998</v>
      </c>
      <c r="H33" s="14">
        <f t="shared" si="1"/>
        <v>2.0713403271313213E-2</v>
      </c>
      <c r="M33"/>
      <c r="N33" s="76" t="s">
        <v>228</v>
      </c>
      <c r="O33" s="76">
        <v>0.38967068411562922</v>
      </c>
      <c r="P33" s="73">
        <v>0.15037762771700036</v>
      </c>
      <c r="Q33" s="73">
        <v>2.5912809640072312</v>
      </c>
      <c r="R33" s="73">
        <v>1.0948846980502334E-2</v>
      </c>
      <c r="S33" s="73">
        <v>9.1432126888410681E-2</v>
      </c>
      <c r="T33" s="73">
        <v>0.68790924134284781</v>
      </c>
      <c r="U33" s="73">
        <v>9.1432126888410681E-2</v>
      </c>
      <c r="V33" s="73">
        <v>0.68790924134284781</v>
      </c>
    </row>
    <row r="34" spans="2:22" x14ac:dyDescent="0.3">
      <c r="B34" s="67">
        <v>44480</v>
      </c>
      <c r="C34" s="68">
        <v>1528.318726</v>
      </c>
      <c r="D34" s="14">
        <f t="shared" si="0"/>
        <v>1.7916983638998962E-2</v>
      </c>
      <c r="F34" s="72">
        <v>44480</v>
      </c>
      <c r="G34" s="68">
        <v>18338.550781000002</v>
      </c>
      <c r="H34" s="14">
        <f t="shared" si="1"/>
        <v>2.4774888313580767E-2</v>
      </c>
    </row>
    <row r="35" spans="2:22" x14ac:dyDescent="0.3">
      <c r="B35" s="67">
        <v>44487</v>
      </c>
      <c r="C35" s="68">
        <v>1449.7155760000001</v>
      </c>
      <c r="D35" s="14">
        <f t="shared" si="0"/>
        <v>-5.1431124059916788E-2</v>
      </c>
      <c r="F35" s="72">
        <v>44487</v>
      </c>
      <c r="G35" s="68">
        <v>18114.900390999999</v>
      </c>
      <c r="H35" s="14">
        <f t="shared" si="1"/>
        <v>-1.2195641447944716E-2</v>
      </c>
    </row>
    <row r="36" spans="2:22" x14ac:dyDescent="0.3">
      <c r="C36" s="68">
        <v>1396.4997559999999</v>
      </c>
      <c r="D36" s="14">
        <f t="shared" si="0"/>
        <v>-3.670776591007674E-2</v>
      </c>
      <c r="F36" s="72">
        <v>44494</v>
      </c>
      <c r="G36" s="68">
        <v>17671.650390999999</v>
      </c>
      <c r="H36" s="14">
        <f t="shared" si="1"/>
        <v>-2.4468806917658736E-2</v>
      </c>
    </row>
    <row r="37" spans="2:22" x14ac:dyDescent="0.3">
      <c r="B37" s="67">
        <v>44501</v>
      </c>
      <c r="C37" s="68">
        <v>1376.458374</v>
      </c>
      <c r="D37" s="14">
        <f t="shared" si="0"/>
        <v>-1.4351153241447423E-2</v>
      </c>
      <c r="F37" s="72">
        <v>44501</v>
      </c>
      <c r="G37" s="68">
        <v>17916.800781000002</v>
      </c>
      <c r="H37" s="14">
        <f t="shared" si="1"/>
        <v>1.3872523764099309E-2</v>
      </c>
    </row>
    <row r="38" spans="2:22" x14ac:dyDescent="0.3">
      <c r="B38" s="67">
        <v>44508</v>
      </c>
      <c r="C38" s="68">
        <v>1362.7883300000001</v>
      </c>
      <c r="D38" s="14">
        <f t="shared" si="0"/>
        <v>-9.931316673438273E-3</v>
      </c>
      <c r="F38" s="72">
        <v>44508</v>
      </c>
      <c r="G38" s="68">
        <v>18102.75</v>
      </c>
      <c r="H38" s="14">
        <f t="shared" si="1"/>
        <v>1.0378483372834646E-2</v>
      </c>
    </row>
    <row r="39" spans="2:22" x14ac:dyDescent="0.3">
      <c r="B39" s="67">
        <v>44515</v>
      </c>
      <c r="C39" s="68">
        <v>1362.7639160000001</v>
      </c>
      <c r="D39" s="14">
        <f t="shared" si="0"/>
        <v>-1.7914741022195813E-5</v>
      </c>
      <c r="F39" s="72">
        <v>44515</v>
      </c>
      <c r="G39" s="68">
        <v>17764.800781000002</v>
      </c>
      <c r="H39" s="14">
        <f t="shared" si="1"/>
        <v>-1.8668391211279944E-2</v>
      </c>
    </row>
    <row r="40" spans="2:22" x14ac:dyDescent="0.3">
      <c r="B40" s="67">
        <v>44522</v>
      </c>
      <c r="C40" s="68">
        <v>1482.2797849999999</v>
      </c>
      <c r="D40" s="14">
        <f t="shared" si="0"/>
        <v>8.7701081307468343E-2</v>
      </c>
      <c r="F40" s="72">
        <v>44522</v>
      </c>
      <c r="G40" s="68">
        <v>17026.449218999998</v>
      </c>
      <c r="H40" s="14">
        <f t="shared" si="1"/>
        <v>-4.1562614245001406E-2</v>
      </c>
    </row>
    <row r="41" spans="2:22" x14ac:dyDescent="0.3">
      <c r="B41" s="67">
        <v>44529</v>
      </c>
      <c r="C41" s="68">
        <v>1455.7695309999999</v>
      </c>
      <c r="D41" s="14">
        <f t="shared" si="0"/>
        <v>-1.7884784146874111E-2</v>
      </c>
      <c r="F41" s="72">
        <v>44529</v>
      </c>
      <c r="G41" s="68">
        <v>17196.699218999998</v>
      </c>
      <c r="H41" s="14">
        <f t="shared" si="1"/>
        <v>9.9991488424970854E-3</v>
      </c>
    </row>
    <row r="42" spans="2:22" x14ac:dyDescent="0.3">
      <c r="B42" s="67">
        <v>44536</v>
      </c>
      <c r="C42" s="68">
        <v>1506.9592290000001</v>
      </c>
      <c r="D42" s="14">
        <f t="shared" si="0"/>
        <v>3.5163325588245309E-2</v>
      </c>
      <c r="F42" s="72">
        <v>44536</v>
      </c>
      <c r="G42" s="68">
        <v>17511.300781000002</v>
      </c>
      <c r="H42" s="14">
        <f t="shared" si="1"/>
        <v>1.8294299271828462E-2</v>
      </c>
    </row>
    <row r="43" spans="2:22" x14ac:dyDescent="0.3">
      <c r="B43" s="67">
        <v>44543</v>
      </c>
      <c r="C43" s="68">
        <v>1504.347168</v>
      </c>
      <c r="D43" s="14">
        <f t="shared" si="0"/>
        <v>-1.733332229388429E-3</v>
      </c>
      <c r="F43" s="72">
        <v>44543</v>
      </c>
      <c r="G43" s="68">
        <v>16985.199218999998</v>
      </c>
      <c r="H43" s="14">
        <f t="shared" si="1"/>
        <v>-3.0043545512668635E-2</v>
      </c>
    </row>
    <row r="44" spans="2:22" x14ac:dyDescent="0.3">
      <c r="B44" s="67">
        <v>44550</v>
      </c>
      <c r="C44" s="68">
        <v>1487.210693</v>
      </c>
      <c r="D44" s="14">
        <f t="shared" si="0"/>
        <v>-1.1391303393606056E-2</v>
      </c>
      <c r="F44" s="72">
        <v>44550</v>
      </c>
      <c r="G44" s="68">
        <v>17003.75</v>
      </c>
      <c r="H44" s="14">
        <f t="shared" si="1"/>
        <v>1.0921732951623131E-3</v>
      </c>
    </row>
    <row r="45" spans="2:22" x14ac:dyDescent="0.3">
      <c r="B45" s="67">
        <v>44557</v>
      </c>
      <c r="C45" s="68">
        <v>1600.599487</v>
      </c>
      <c r="D45" s="14">
        <f t="shared" si="0"/>
        <v>7.6242589253626258E-2</v>
      </c>
      <c r="F45" s="72">
        <v>44557</v>
      </c>
      <c r="G45" s="68">
        <v>17354.050781000002</v>
      </c>
      <c r="H45" s="14">
        <f t="shared" si="1"/>
        <v>2.0601383871204915E-2</v>
      </c>
    </row>
    <row r="46" spans="2:22" x14ac:dyDescent="0.3">
      <c r="B46" s="67">
        <v>44564</v>
      </c>
      <c r="C46" s="68">
        <v>1533.2497559999999</v>
      </c>
      <c r="D46" s="14">
        <f t="shared" si="0"/>
        <v>-4.2077816185130401E-2</v>
      </c>
      <c r="F46" s="72">
        <v>44564</v>
      </c>
      <c r="G46" s="68">
        <v>17812.699218999998</v>
      </c>
      <c r="H46" s="14">
        <f t="shared" si="1"/>
        <v>2.6428898001275014E-2</v>
      </c>
    </row>
    <row r="47" spans="2:22" x14ac:dyDescent="0.3">
      <c r="B47" s="67">
        <v>44571</v>
      </c>
      <c r="C47" s="68">
        <v>1559.466919</v>
      </c>
      <c r="D47" s="14">
        <f t="shared" si="0"/>
        <v>1.7099081801517091E-2</v>
      </c>
      <c r="F47" s="72">
        <v>44571</v>
      </c>
      <c r="G47" s="68">
        <v>18255.75</v>
      </c>
      <c r="H47" s="14">
        <f t="shared" si="1"/>
        <v>2.4872748119354027E-2</v>
      </c>
    </row>
    <row r="48" spans="2:22" x14ac:dyDescent="0.3">
      <c r="B48" s="67">
        <v>44578</v>
      </c>
      <c r="C48" s="68">
        <v>1545.2841800000001</v>
      </c>
      <c r="D48" s="14">
        <f t="shared" si="0"/>
        <v>-9.094607155305634E-3</v>
      </c>
      <c r="F48" s="72">
        <v>44578</v>
      </c>
      <c r="G48" s="68">
        <v>17617.150390999999</v>
      </c>
      <c r="H48" s="14">
        <f t="shared" si="1"/>
        <v>-3.4980738068827621E-2</v>
      </c>
    </row>
    <row r="49" spans="2:8" x14ac:dyDescent="0.3">
      <c r="B49" s="67">
        <v>44585</v>
      </c>
      <c r="C49" s="68">
        <v>1297.513428</v>
      </c>
      <c r="D49" s="14">
        <f t="shared" si="0"/>
        <v>-0.16033992660172069</v>
      </c>
      <c r="F49" s="72">
        <v>44585</v>
      </c>
      <c r="G49" s="68">
        <v>17101.949218999998</v>
      </c>
      <c r="H49" s="14">
        <f t="shared" si="1"/>
        <v>-2.9244296640800638E-2</v>
      </c>
    </row>
    <row r="50" spans="2:8" x14ac:dyDescent="0.3">
      <c r="B50" s="67">
        <v>44592</v>
      </c>
      <c r="C50" s="68">
        <v>1309.841064</v>
      </c>
      <c r="D50" s="14">
        <f t="shared" si="0"/>
        <v>9.5009698812920096E-3</v>
      </c>
      <c r="F50" s="72">
        <v>44592</v>
      </c>
      <c r="G50" s="68">
        <v>17516.300781000002</v>
      </c>
      <c r="H50" s="14">
        <f t="shared" si="1"/>
        <v>2.4228323724623468E-2</v>
      </c>
    </row>
    <row r="51" spans="2:8" x14ac:dyDescent="0.3">
      <c r="B51" s="67">
        <v>44599</v>
      </c>
      <c r="C51" s="68">
        <v>1276.69397</v>
      </c>
      <c r="D51" s="14">
        <f t="shared" si="0"/>
        <v>-2.530619546983448E-2</v>
      </c>
      <c r="F51" s="72">
        <v>44599</v>
      </c>
      <c r="G51" s="68">
        <v>17374.75</v>
      </c>
      <c r="H51" s="14">
        <f t="shared" si="1"/>
        <v>-8.0810887395552644E-3</v>
      </c>
    </row>
    <row r="52" spans="2:8" x14ac:dyDescent="0.3">
      <c r="B52" s="67">
        <v>44606</v>
      </c>
      <c r="C52" s="68">
        <v>1312.8420410000001</v>
      </c>
      <c r="D52" s="14">
        <f t="shared" si="0"/>
        <v>2.8313810395767858E-2</v>
      </c>
      <c r="F52" s="72">
        <v>44606</v>
      </c>
      <c r="G52" s="68">
        <v>17276.300781000002</v>
      </c>
      <c r="H52" s="14">
        <f t="shared" si="1"/>
        <v>-5.66622362911684E-3</v>
      </c>
    </row>
    <row r="53" spans="2:8" x14ac:dyDescent="0.3">
      <c r="B53" s="67">
        <v>44613</v>
      </c>
      <c r="C53" s="68">
        <v>1333.417236</v>
      </c>
      <c r="D53" s="14">
        <f t="shared" si="0"/>
        <v>1.5672254816221143E-2</v>
      </c>
      <c r="F53" s="72">
        <v>44613</v>
      </c>
      <c r="G53" s="68">
        <v>16658.400390999999</v>
      </c>
      <c r="H53" s="14">
        <f t="shared" si="1"/>
        <v>-3.5765780987070617E-2</v>
      </c>
    </row>
    <row r="54" spans="2:8" x14ac:dyDescent="0.3">
      <c r="B54" s="67">
        <v>44620</v>
      </c>
      <c r="C54" s="68">
        <v>1350.5673830000001</v>
      </c>
      <c r="D54" s="14">
        <f t="shared" si="0"/>
        <v>1.2861800895455078E-2</v>
      </c>
      <c r="F54" s="72">
        <v>44620</v>
      </c>
      <c r="G54" s="68">
        <v>16245.349609000001</v>
      </c>
      <c r="H54" s="14">
        <f t="shared" si="1"/>
        <v>-2.479534482933643E-2</v>
      </c>
    </row>
    <row r="55" spans="2:8" x14ac:dyDescent="0.3">
      <c r="B55" s="67">
        <v>44627</v>
      </c>
      <c r="C55" s="68">
        <v>1391.3480219999999</v>
      </c>
      <c r="D55" s="14">
        <f t="shared" si="0"/>
        <v>3.0195190194371779E-2</v>
      </c>
      <c r="F55" s="72">
        <v>44627</v>
      </c>
      <c r="G55" s="68">
        <v>16630.449218999998</v>
      </c>
      <c r="H55" s="14">
        <f t="shared" si="1"/>
        <v>2.3705221449137115E-2</v>
      </c>
    </row>
    <row r="56" spans="2:8" x14ac:dyDescent="0.3">
      <c r="B56" s="67">
        <v>44634</v>
      </c>
      <c r="C56" s="68">
        <v>1416.6541749999999</v>
      </c>
      <c r="D56" s="14">
        <f t="shared" si="0"/>
        <v>1.8188226525541529E-2</v>
      </c>
      <c r="F56" s="72">
        <v>44634</v>
      </c>
      <c r="G56" s="68">
        <v>17287.050781000002</v>
      </c>
      <c r="H56" s="14">
        <f t="shared" si="1"/>
        <v>3.9481889716475482E-2</v>
      </c>
    </row>
    <row r="57" spans="2:8" x14ac:dyDescent="0.3">
      <c r="B57" s="67">
        <v>44641</v>
      </c>
      <c r="C57" s="68">
        <v>1351.8732910000001</v>
      </c>
      <c r="D57" s="14">
        <f t="shared" si="0"/>
        <v>-4.572808603765266E-2</v>
      </c>
      <c r="F57" s="72">
        <v>44641</v>
      </c>
      <c r="G57" s="68">
        <v>17153</v>
      </c>
      <c r="H57" s="14">
        <f t="shared" si="1"/>
        <v>-7.7544043051771538E-3</v>
      </c>
    </row>
    <row r="58" spans="2:8" x14ac:dyDescent="0.3">
      <c r="B58" s="67">
        <v>44648</v>
      </c>
      <c r="C58" s="68">
        <v>1373.3354489999999</v>
      </c>
      <c r="D58" s="14">
        <f t="shared" si="0"/>
        <v>1.5875865099845177E-2</v>
      </c>
      <c r="F58" s="72">
        <v>44648</v>
      </c>
      <c r="G58" s="68">
        <v>17670.449218999998</v>
      </c>
      <c r="H58" s="14">
        <f t="shared" si="1"/>
        <v>3.0166689150585846E-2</v>
      </c>
    </row>
    <row r="59" spans="2:8" x14ac:dyDescent="0.3">
      <c r="B59" s="67">
        <v>44655</v>
      </c>
      <c r="C59" s="68">
        <v>1380.7771</v>
      </c>
      <c r="D59" s="14">
        <f t="shared" si="0"/>
        <v>5.4186695649769412E-3</v>
      </c>
      <c r="F59" s="72">
        <v>44655</v>
      </c>
      <c r="G59" s="68">
        <v>17784.349609000001</v>
      </c>
      <c r="H59" s="14">
        <f t="shared" si="1"/>
        <v>6.4458117950692007E-3</v>
      </c>
    </row>
    <row r="60" spans="2:8" x14ac:dyDescent="0.3">
      <c r="B60" s="67">
        <v>44662</v>
      </c>
      <c r="C60" s="68">
        <v>1404.2844239999999</v>
      </c>
      <c r="D60" s="14">
        <f t="shared" si="0"/>
        <v>1.7024705870339218E-2</v>
      </c>
      <c r="F60" s="72">
        <v>44662</v>
      </c>
      <c r="G60" s="68">
        <v>17475.650390999999</v>
      </c>
      <c r="H60" s="14">
        <f t="shared" si="1"/>
        <v>-1.7357914390289553E-2</v>
      </c>
    </row>
    <row r="61" spans="2:8" x14ac:dyDescent="0.3">
      <c r="B61" s="67">
        <v>44669</v>
      </c>
      <c r="C61" s="68">
        <v>1349.113525</v>
      </c>
      <c r="D61" s="14">
        <f t="shared" si="0"/>
        <v>-3.9287553188726343E-2</v>
      </c>
      <c r="F61" s="72">
        <v>44669</v>
      </c>
      <c r="G61" s="68">
        <v>17171.949218999998</v>
      </c>
      <c r="H61" s="14">
        <f t="shared" si="1"/>
        <v>-1.7378533285170805E-2</v>
      </c>
    </row>
    <row r="62" spans="2:8" x14ac:dyDescent="0.3">
      <c r="B62" s="67">
        <v>44676</v>
      </c>
      <c r="C62" s="68">
        <v>1386.961914</v>
      </c>
      <c r="D62" s="14">
        <f t="shared" si="0"/>
        <v>2.8054265485182306E-2</v>
      </c>
      <c r="F62" s="72">
        <v>44676</v>
      </c>
      <c r="G62" s="68">
        <v>17102.550781000002</v>
      </c>
      <c r="H62" s="14">
        <f t="shared" si="1"/>
        <v>-4.041383835634127E-3</v>
      </c>
    </row>
    <row r="63" spans="2:8" x14ac:dyDescent="0.3">
      <c r="B63" s="67">
        <v>44683</v>
      </c>
      <c r="C63" s="68">
        <v>1306.3862300000001</v>
      </c>
      <c r="D63" s="14">
        <f t="shared" si="0"/>
        <v>-5.8095094888092169E-2</v>
      </c>
      <c r="F63" s="72">
        <v>44683</v>
      </c>
      <c r="G63" s="68">
        <v>16411.25</v>
      </c>
      <c r="H63" s="14">
        <f t="shared" si="1"/>
        <v>-4.0420916730619982E-2</v>
      </c>
    </row>
    <row r="64" spans="2:8" x14ac:dyDescent="0.3">
      <c r="B64" s="67">
        <v>44690</v>
      </c>
      <c r="C64" s="68">
        <v>1272.7514650000001</v>
      </c>
      <c r="D64" s="14">
        <f t="shared" si="0"/>
        <v>-2.574641727508109E-2</v>
      </c>
      <c r="F64" s="72">
        <v>44690</v>
      </c>
      <c r="G64" s="68">
        <v>15782.150390999999</v>
      </c>
      <c r="H64" s="14">
        <f t="shared" si="1"/>
        <v>-3.8333436453652281E-2</v>
      </c>
    </row>
    <row r="65" spans="2:8" x14ac:dyDescent="0.3">
      <c r="B65" s="67">
        <v>44697</v>
      </c>
      <c r="C65" s="68">
        <v>1313.2116699999999</v>
      </c>
      <c r="D65" s="14">
        <f t="shared" si="0"/>
        <v>3.1789556808720532E-2</v>
      </c>
      <c r="F65" s="72">
        <v>44697</v>
      </c>
      <c r="G65" s="68">
        <v>16266.150390999999</v>
      </c>
      <c r="H65" s="14">
        <f t="shared" si="1"/>
        <v>3.0667557209187901E-2</v>
      </c>
    </row>
    <row r="66" spans="2:8" x14ac:dyDescent="0.3">
      <c r="B66" s="67">
        <v>44704</v>
      </c>
      <c r="C66" s="68">
        <v>1447.38147</v>
      </c>
      <c r="D66" s="14">
        <f t="shared" si="0"/>
        <v>0.10216921084778363</v>
      </c>
      <c r="F66" s="72">
        <v>44704</v>
      </c>
      <c r="G66" s="68">
        <v>16352.450194999999</v>
      </c>
      <c r="H66" s="14">
        <f t="shared" si="1"/>
        <v>5.3054842064996777E-3</v>
      </c>
    </row>
    <row r="67" spans="2:8" x14ac:dyDescent="0.3">
      <c r="B67" s="67">
        <v>44711</v>
      </c>
      <c r="C67" s="68">
        <v>1370.181519</v>
      </c>
      <c r="D67" s="14">
        <f t="shared" si="0"/>
        <v>-5.3337667090625374E-2</v>
      </c>
      <c r="F67" s="72">
        <v>44711</v>
      </c>
      <c r="G67" s="68">
        <v>16584.300781000002</v>
      </c>
      <c r="H67" s="14">
        <f t="shared" si="1"/>
        <v>1.4178339223494207E-2</v>
      </c>
    </row>
    <row r="68" spans="2:8" x14ac:dyDescent="0.3">
      <c r="B68" s="67">
        <v>44718</v>
      </c>
      <c r="C68" s="68">
        <v>1419.114624</v>
      </c>
      <c r="D68" s="14">
        <f t="shared" si="0"/>
        <v>3.5712863092557834E-2</v>
      </c>
      <c r="F68" s="72">
        <v>44718</v>
      </c>
      <c r="G68" s="68">
        <v>16201.799805000001</v>
      </c>
      <c r="H68" s="14">
        <f t="shared" si="1"/>
        <v>-2.3064039964724836E-2</v>
      </c>
    </row>
    <row r="69" spans="2:8" x14ac:dyDescent="0.3">
      <c r="B69" s="67">
        <v>44725</v>
      </c>
      <c r="C69" s="68">
        <v>1366.422607</v>
      </c>
      <c r="D69" s="14">
        <f t="shared" si="0"/>
        <v>-3.7130205065098454E-2</v>
      </c>
      <c r="F69" s="72">
        <v>44725</v>
      </c>
      <c r="G69" s="68">
        <v>15293.5</v>
      </c>
      <c r="H69" s="14">
        <f t="shared" si="1"/>
        <v>-5.606166079892505E-2</v>
      </c>
    </row>
    <row r="70" spans="2:8" x14ac:dyDescent="0.3">
      <c r="B70" s="67">
        <v>44732</v>
      </c>
      <c r="C70" s="68">
        <v>1421.591919</v>
      </c>
      <c r="D70" s="14">
        <f t="shared" si="0"/>
        <v>4.0374999445541127E-2</v>
      </c>
      <c r="F70" s="72">
        <v>44732</v>
      </c>
      <c r="G70" s="68">
        <v>15699.25</v>
      </c>
      <c r="H70" s="14">
        <f t="shared" si="1"/>
        <v>2.6530879131657192E-2</v>
      </c>
    </row>
    <row r="71" spans="2:8" x14ac:dyDescent="0.3">
      <c r="B71" s="67">
        <v>44739</v>
      </c>
      <c r="C71" s="68">
        <v>1445.22522</v>
      </c>
      <c r="D71" s="14">
        <f t="shared" si="0"/>
        <v>1.6624532458389796E-2</v>
      </c>
      <c r="F71" s="72">
        <v>44739</v>
      </c>
      <c r="G71" s="68">
        <v>15752.049805000001</v>
      </c>
      <c r="H71" s="14">
        <f t="shared" si="1"/>
        <v>3.3632055671448668E-3</v>
      </c>
    </row>
    <row r="72" spans="2:8" x14ac:dyDescent="0.3">
      <c r="B72" s="67">
        <v>44746</v>
      </c>
      <c r="C72" s="68">
        <v>1453.375366</v>
      </c>
      <c r="D72" s="14">
        <f t="shared" si="0"/>
        <v>5.6393604866651348E-3</v>
      </c>
      <c r="F72" s="72">
        <v>44746</v>
      </c>
      <c r="G72" s="68">
        <v>16220.599609000001</v>
      </c>
      <c r="H72" s="14">
        <f t="shared" si="1"/>
        <v>2.9745322659611828E-2</v>
      </c>
    </row>
    <row r="73" spans="2:8" x14ac:dyDescent="0.3">
      <c r="B73" s="67">
        <v>44753</v>
      </c>
      <c r="C73" s="68">
        <v>1504.2094729999999</v>
      </c>
      <c r="D73" s="14">
        <f t="shared" si="0"/>
        <v>3.4976584982244541E-2</v>
      </c>
      <c r="F73" s="72">
        <v>44753</v>
      </c>
      <c r="G73" s="68">
        <v>16049.200194999999</v>
      </c>
      <c r="H73" s="14">
        <f t="shared" si="1"/>
        <v>-1.0566774233481513E-2</v>
      </c>
    </row>
    <row r="74" spans="2:8" x14ac:dyDescent="0.3">
      <c r="B74" s="67">
        <v>44760</v>
      </c>
      <c r="C74" s="68">
        <v>1466.8519289999999</v>
      </c>
      <c r="D74" s="14">
        <f t="shared" ref="D74:D113" si="2">C74/C73-1</f>
        <v>-2.4835333555966788E-2</v>
      </c>
      <c r="F74" s="72">
        <v>44760</v>
      </c>
      <c r="G74" s="68">
        <v>16719.449218999998</v>
      </c>
      <c r="H74" s="14">
        <f t="shared" ref="H74:H113" si="3">G74/G73-1</f>
        <v>4.1762144895470144E-2</v>
      </c>
    </row>
    <row r="75" spans="2:8" x14ac:dyDescent="0.3">
      <c r="B75" s="67">
        <v>44767</v>
      </c>
      <c r="C75" s="68">
        <v>1514.9113769999999</v>
      </c>
      <c r="D75" s="14">
        <f t="shared" si="2"/>
        <v>3.2763666904514155E-2</v>
      </c>
      <c r="F75" s="72">
        <v>44767</v>
      </c>
      <c r="G75" s="68">
        <v>17158.25</v>
      </c>
      <c r="H75" s="14">
        <f t="shared" si="3"/>
        <v>2.6244930395275645E-2</v>
      </c>
    </row>
    <row r="76" spans="2:8" x14ac:dyDescent="0.3">
      <c r="B76" s="67">
        <v>44774</v>
      </c>
      <c r="C76" s="68">
        <v>1542.409302</v>
      </c>
      <c r="D76" s="14">
        <f t="shared" si="2"/>
        <v>1.8151507353819429E-2</v>
      </c>
      <c r="F76" s="72">
        <v>44774</v>
      </c>
      <c r="G76" s="68">
        <v>17397.5</v>
      </c>
      <c r="H76" s="14">
        <f t="shared" si="3"/>
        <v>1.3943729692713402E-2</v>
      </c>
    </row>
    <row r="77" spans="2:8" x14ac:dyDescent="0.3">
      <c r="B77" s="67">
        <v>44781</v>
      </c>
      <c r="C77" s="68">
        <v>1525.959961</v>
      </c>
      <c r="D77" s="14">
        <f t="shared" si="2"/>
        <v>-1.0664705521855056E-2</v>
      </c>
      <c r="F77" s="72">
        <v>44781</v>
      </c>
      <c r="G77" s="68">
        <v>17698.150390999999</v>
      </c>
      <c r="H77" s="14">
        <f t="shared" si="3"/>
        <v>1.7281241040379314E-2</v>
      </c>
    </row>
    <row r="78" spans="2:8" x14ac:dyDescent="0.3">
      <c r="B78" s="67">
        <v>44788</v>
      </c>
      <c r="C78" s="68">
        <v>1528.7346190000001</v>
      </c>
      <c r="D78" s="14">
        <f t="shared" si="2"/>
        <v>1.8183032785354936E-3</v>
      </c>
      <c r="F78" s="72">
        <v>44788</v>
      </c>
      <c r="G78" s="68">
        <v>17758.449218999998</v>
      </c>
      <c r="H78" s="14">
        <f t="shared" si="3"/>
        <v>3.4070694771959342E-3</v>
      </c>
    </row>
    <row r="79" spans="2:8" x14ac:dyDescent="0.3">
      <c r="B79" s="67">
        <v>44795</v>
      </c>
      <c r="C79" s="68">
        <v>1533.7387699999999</v>
      </c>
      <c r="D79" s="14">
        <f t="shared" si="2"/>
        <v>3.2733941769915731E-3</v>
      </c>
      <c r="F79" s="72">
        <v>44795</v>
      </c>
      <c r="G79" s="68">
        <v>17558.900390999999</v>
      </c>
      <c r="H79" s="14">
        <f t="shared" si="3"/>
        <v>-1.1236838619134604E-2</v>
      </c>
    </row>
    <row r="80" spans="2:8" x14ac:dyDescent="0.3">
      <c r="B80" s="67">
        <v>44802</v>
      </c>
      <c r="C80" s="68">
        <v>1506.0426030000001</v>
      </c>
      <c r="D80" s="14">
        <f t="shared" si="2"/>
        <v>-1.8057942813820782E-2</v>
      </c>
      <c r="F80" s="72">
        <v>44802</v>
      </c>
      <c r="G80" s="68">
        <v>17539.449218999998</v>
      </c>
      <c r="H80" s="14">
        <f t="shared" si="3"/>
        <v>-1.1077670905844661E-3</v>
      </c>
    </row>
    <row r="81" spans="2:8" x14ac:dyDescent="0.3">
      <c r="B81" s="67">
        <v>44809</v>
      </c>
      <c r="C81" s="68">
        <v>1509.5604249999999</v>
      </c>
      <c r="D81" s="14">
        <f t="shared" si="2"/>
        <v>2.3358051047110973E-3</v>
      </c>
      <c r="F81" s="72">
        <v>44809</v>
      </c>
      <c r="G81" s="68">
        <v>17833.349609000001</v>
      </c>
      <c r="H81" s="14">
        <f t="shared" si="3"/>
        <v>1.6756534730955508E-2</v>
      </c>
    </row>
    <row r="82" spans="2:8" x14ac:dyDescent="0.3">
      <c r="B82" s="67">
        <v>44816</v>
      </c>
      <c r="C82" s="68">
        <v>1465.266357</v>
      </c>
      <c r="D82" s="14">
        <f t="shared" si="2"/>
        <v>-2.934236170108917E-2</v>
      </c>
      <c r="F82" s="72">
        <v>44816</v>
      </c>
      <c r="G82" s="68">
        <v>17530.849609000001</v>
      </c>
      <c r="H82" s="14">
        <f t="shared" si="3"/>
        <v>-1.6962601341440453E-2</v>
      </c>
    </row>
    <row r="83" spans="2:8" x14ac:dyDescent="0.3">
      <c r="B83" s="67">
        <v>44823</v>
      </c>
      <c r="C83" s="68">
        <v>1502.4257809999999</v>
      </c>
      <c r="D83" s="14">
        <f t="shared" si="2"/>
        <v>2.5360183711636175E-2</v>
      </c>
      <c r="F83" s="72">
        <v>44823</v>
      </c>
      <c r="G83" s="68">
        <v>17327.349609000001</v>
      </c>
      <c r="H83" s="14">
        <f t="shared" si="3"/>
        <v>-1.1608108251383698E-2</v>
      </c>
    </row>
    <row r="84" spans="2:8" x14ac:dyDescent="0.3">
      <c r="B84" s="67">
        <v>44830</v>
      </c>
      <c r="C84" s="68">
        <v>1545.6791989999999</v>
      </c>
      <c r="D84" s="14">
        <f t="shared" si="2"/>
        <v>2.8789054705391726E-2</v>
      </c>
      <c r="F84" s="72">
        <v>44830</v>
      </c>
      <c r="G84" s="68">
        <v>17094.349609000001</v>
      </c>
      <c r="H84" s="14">
        <f t="shared" si="3"/>
        <v>-1.3446949779265527E-2</v>
      </c>
    </row>
    <row r="85" spans="2:8" x14ac:dyDescent="0.3">
      <c r="B85" s="67">
        <v>44837</v>
      </c>
      <c r="C85" s="68">
        <v>1558.1152340000001</v>
      </c>
      <c r="D85" s="14">
        <f t="shared" si="2"/>
        <v>8.0456766242607003E-3</v>
      </c>
      <c r="F85" s="72">
        <v>44837</v>
      </c>
      <c r="G85" s="68">
        <v>17314.650390999999</v>
      </c>
      <c r="H85" s="14">
        <f t="shared" si="3"/>
        <v>1.2887345060733635E-2</v>
      </c>
    </row>
    <row r="86" spans="2:8" x14ac:dyDescent="0.3">
      <c r="B86" s="67">
        <v>44844</v>
      </c>
      <c r="C86" s="68">
        <v>1580.559448</v>
      </c>
      <c r="D86" s="14">
        <f t="shared" si="2"/>
        <v>1.4404720209545196E-2</v>
      </c>
      <c r="F86" s="72">
        <v>44844</v>
      </c>
      <c r="G86" s="68">
        <v>17185.699218999998</v>
      </c>
      <c r="H86" s="14">
        <f t="shared" si="3"/>
        <v>-7.4475180894804094E-3</v>
      </c>
    </row>
    <row r="87" spans="2:8" x14ac:dyDescent="0.3">
      <c r="B87" s="67">
        <v>44851</v>
      </c>
      <c r="C87" s="68">
        <v>1559.3043210000001</v>
      </c>
      <c r="D87" s="14">
        <f t="shared" si="2"/>
        <v>-1.344785039682983E-2</v>
      </c>
      <c r="F87" s="72">
        <v>44851</v>
      </c>
      <c r="G87" s="68">
        <v>17576.300781000002</v>
      </c>
      <c r="H87" s="14">
        <f t="shared" si="3"/>
        <v>2.2728290366455628E-2</v>
      </c>
    </row>
    <row r="88" spans="2:8" x14ac:dyDescent="0.3">
      <c r="B88" s="67">
        <v>44858</v>
      </c>
      <c r="C88" s="68">
        <v>1586.653564</v>
      </c>
      <c r="D88" s="14">
        <f t="shared" si="2"/>
        <v>1.7539387681848151E-2</v>
      </c>
      <c r="F88" s="72">
        <v>44858</v>
      </c>
      <c r="G88" s="68">
        <v>17786.800781000002</v>
      </c>
      <c r="H88" s="14">
        <f t="shared" si="3"/>
        <v>1.197635399068453E-2</v>
      </c>
    </row>
    <row r="89" spans="2:8" x14ac:dyDescent="0.3">
      <c r="B89" s="67">
        <v>44865</v>
      </c>
      <c r="C89" s="68">
        <v>1651.7567140000001</v>
      </c>
      <c r="D89" s="14">
        <f t="shared" si="2"/>
        <v>4.1031735898209076E-2</v>
      </c>
      <c r="F89" s="72">
        <v>44865</v>
      </c>
      <c r="G89" s="68">
        <v>18117.150390999999</v>
      </c>
      <c r="H89" s="14">
        <f t="shared" si="3"/>
        <v>1.8572739081492262E-2</v>
      </c>
    </row>
    <row r="90" spans="2:8" x14ac:dyDescent="0.3">
      <c r="B90" s="67">
        <v>44872</v>
      </c>
      <c r="C90" s="68">
        <v>1653.887207</v>
      </c>
      <c r="D90" s="14">
        <f t="shared" si="2"/>
        <v>1.2898346239140768E-3</v>
      </c>
      <c r="F90" s="72">
        <v>44872</v>
      </c>
      <c r="G90" s="68">
        <v>18349.699218999998</v>
      </c>
      <c r="H90" s="14">
        <f t="shared" si="3"/>
        <v>1.2835839134808014E-2</v>
      </c>
    </row>
    <row r="91" spans="2:8" x14ac:dyDescent="0.3">
      <c r="B91" s="67">
        <v>44879</v>
      </c>
      <c r="C91" s="68">
        <v>1607.016846</v>
      </c>
      <c r="D91" s="14">
        <f t="shared" si="2"/>
        <v>-2.8339514811906996E-2</v>
      </c>
      <c r="F91" s="72">
        <v>44879</v>
      </c>
      <c r="G91" s="68">
        <v>18307.650390999999</v>
      </c>
      <c r="H91" s="14">
        <f t="shared" si="3"/>
        <v>-2.2915268254892762E-3</v>
      </c>
    </row>
    <row r="92" spans="2:8" x14ac:dyDescent="0.3">
      <c r="B92" s="67">
        <v>44886</v>
      </c>
      <c r="C92" s="68">
        <v>1614.7460940000001</v>
      </c>
      <c r="D92" s="14">
        <f t="shared" si="2"/>
        <v>4.8096869794731489E-3</v>
      </c>
      <c r="F92" s="72">
        <v>44886</v>
      </c>
      <c r="G92" s="68">
        <v>18512.75</v>
      </c>
      <c r="H92" s="14">
        <f t="shared" si="3"/>
        <v>1.1202945469224623E-2</v>
      </c>
    </row>
    <row r="93" spans="2:8" x14ac:dyDescent="0.3">
      <c r="B93" s="67">
        <v>44893</v>
      </c>
      <c r="C93" s="68">
        <v>1606.372803</v>
      </c>
      <c r="D93" s="14">
        <f t="shared" si="2"/>
        <v>-5.185515562547649E-3</v>
      </c>
      <c r="F93" s="72">
        <v>44893</v>
      </c>
      <c r="G93" s="68">
        <v>18696.099609000001</v>
      </c>
      <c r="H93" s="14">
        <f t="shared" si="3"/>
        <v>9.9039639707769744E-3</v>
      </c>
    </row>
    <row r="94" spans="2:8" x14ac:dyDescent="0.3">
      <c r="B94" s="67">
        <v>44900</v>
      </c>
      <c r="C94" s="68">
        <v>1602.9045410000001</v>
      </c>
      <c r="D94" s="14">
        <f t="shared" si="2"/>
        <v>-2.1590641932698329E-3</v>
      </c>
      <c r="F94" s="72">
        <v>44900</v>
      </c>
      <c r="G94" s="68">
        <v>18496.599609000001</v>
      </c>
      <c r="H94" s="14">
        <f t="shared" si="3"/>
        <v>-1.0670674855838058E-2</v>
      </c>
    </row>
    <row r="95" spans="2:8" x14ac:dyDescent="0.3">
      <c r="B95" s="67">
        <v>44907</v>
      </c>
      <c r="C95" s="68">
        <v>1584.770874</v>
      </c>
      <c r="D95" s="14">
        <f t="shared" si="2"/>
        <v>-1.1313004945813554E-2</v>
      </c>
      <c r="F95" s="72">
        <v>44907</v>
      </c>
      <c r="G95" s="68">
        <v>18269</v>
      </c>
      <c r="H95" s="14">
        <f t="shared" si="3"/>
        <v>-1.2304943276668867E-2</v>
      </c>
    </row>
    <row r="96" spans="2:8" x14ac:dyDescent="0.3">
      <c r="B96" s="67">
        <v>44914</v>
      </c>
      <c r="C96" s="68">
        <v>1548.3051760000001</v>
      </c>
      <c r="D96" s="14">
        <f t="shared" si="2"/>
        <v>-2.3010075840149469E-2</v>
      </c>
      <c r="F96" s="72">
        <v>44914</v>
      </c>
      <c r="G96" s="68">
        <v>17806.800781000002</v>
      </c>
      <c r="H96" s="14">
        <f t="shared" si="3"/>
        <v>-2.529964524604511E-2</v>
      </c>
    </row>
    <row r="97" spans="2:8" x14ac:dyDescent="0.3">
      <c r="B97" s="67">
        <v>44921</v>
      </c>
      <c r="C97" s="68">
        <v>1536.5131839999999</v>
      </c>
      <c r="D97" s="14">
        <f t="shared" si="2"/>
        <v>-7.6160644443910019E-3</v>
      </c>
      <c r="F97" s="72">
        <v>44921</v>
      </c>
      <c r="G97" s="68">
        <v>18105.300781000002</v>
      </c>
      <c r="H97" s="14">
        <f t="shared" si="3"/>
        <v>1.6763258244484991E-2</v>
      </c>
    </row>
    <row r="98" spans="2:8" x14ac:dyDescent="0.3">
      <c r="B98" s="67">
        <v>44928</v>
      </c>
      <c r="C98" s="68">
        <v>1532.450562</v>
      </c>
      <c r="D98" s="14">
        <f t="shared" si="2"/>
        <v>-2.6440528088562676E-3</v>
      </c>
      <c r="F98" s="72">
        <v>44928</v>
      </c>
      <c r="G98" s="68">
        <v>17859.449218999998</v>
      </c>
      <c r="H98" s="14">
        <f t="shared" si="3"/>
        <v>-1.3578982474458767E-2</v>
      </c>
    </row>
    <row r="99" spans="2:8" x14ac:dyDescent="0.3">
      <c r="B99" s="67">
        <v>44935</v>
      </c>
      <c r="C99" s="68">
        <v>1536.711548</v>
      </c>
      <c r="D99" s="14">
        <f t="shared" si="2"/>
        <v>2.7805047064219934E-3</v>
      </c>
      <c r="F99" s="72">
        <v>44935</v>
      </c>
      <c r="G99" s="68">
        <v>17956.599609000001</v>
      </c>
      <c r="H99" s="14">
        <f t="shared" si="3"/>
        <v>5.4397192661825855E-3</v>
      </c>
    </row>
    <row r="100" spans="2:8" x14ac:dyDescent="0.3">
      <c r="B100" s="67">
        <v>44942</v>
      </c>
      <c r="C100" s="68">
        <v>1567.677612</v>
      </c>
      <c r="D100" s="14">
        <f t="shared" si="2"/>
        <v>2.0150863081820125E-2</v>
      </c>
      <c r="F100" s="72">
        <v>44942</v>
      </c>
      <c r="G100" s="68">
        <v>18027.650390999999</v>
      </c>
      <c r="H100" s="14">
        <f t="shared" si="3"/>
        <v>3.9568060516528281E-3</v>
      </c>
    </row>
    <row r="101" spans="2:8" x14ac:dyDescent="0.3">
      <c r="B101" s="67">
        <v>44949</v>
      </c>
      <c r="C101" s="68">
        <v>1523.4332280000001</v>
      </c>
      <c r="D101" s="14">
        <f t="shared" si="2"/>
        <v>-2.8222884387277825E-2</v>
      </c>
      <c r="F101" s="72">
        <v>44949</v>
      </c>
      <c r="G101" s="68">
        <v>17604.349609000001</v>
      </c>
      <c r="H101" s="14">
        <f t="shared" si="3"/>
        <v>-2.3480640727941093E-2</v>
      </c>
    </row>
    <row r="102" spans="2:8" x14ac:dyDescent="0.3">
      <c r="B102" s="67">
        <v>44956</v>
      </c>
      <c r="C102" s="68">
        <v>1517.983154</v>
      </c>
      <c r="D102" s="14">
        <f t="shared" si="2"/>
        <v>-3.5774945037500006E-3</v>
      </c>
      <c r="F102" s="72">
        <v>44956</v>
      </c>
      <c r="G102" s="68">
        <v>17854.050781000002</v>
      </c>
      <c r="H102" s="14">
        <f t="shared" si="3"/>
        <v>1.4184061186352848E-2</v>
      </c>
    </row>
    <row r="103" spans="2:8" x14ac:dyDescent="0.3">
      <c r="B103" s="67">
        <v>44963</v>
      </c>
      <c r="C103" s="68">
        <v>1520.849976</v>
      </c>
      <c r="D103" s="14">
        <f t="shared" si="2"/>
        <v>1.8885730005933077E-3</v>
      </c>
      <c r="F103" s="72">
        <v>44963</v>
      </c>
      <c r="G103" s="68">
        <v>17856.5</v>
      </c>
      <c r="H103" s="14">
        <f t="shared" si="3"/>
        <v>1.371800175793414E-4</v>
      </c>
    </row>
    <row r="104" spans="2:8" x14ac:dyDescent="0.3">
      <c r="B104" s="67">
        <v>44970</v>
      </c>
      <c r="C104" s="68">
        <v>1489.75</v>
      </c>
      <c r="D104" s="14">
        <f t="shared" si="2"/>
        <v>-2.0449075510916792E-2</v>
      </c>
      <c r="F104" s="72">
        <v>44970</v>
      </c>
      <c r="G104" s="68">
        <v>17944.199218999998</v>
      </c>
      <c r="H104" s="14">
        <f t="shared" si="3"/>
        <v>4.9113330719905424E-3</v>
      </c>
    </row>
    <row r="105" spans="2:8" x14ac:dyDescent="0.3">
      <c r="B105" s="67">
        <v>44977</v>
      </c>
      <c r="C105" s="68">
        <v>1480.4499510000001</v>
      </c>
      <c r="D105" s="14">
        <f t="shared" si="2"/>
        <v>-6.2426910555462012E-3</v>
      </c>
      <c r="F105" s="72">
        <v>44977</v>
      </c>
      <c r="G105" s="68">
        <v>17465.800781000002</v>
      </c>
      <c r="H105" s="14">
        <f t="shared" si="3"/>
        <v>-2.6660339208308015E-2</v>
      </c>
    </row>
    <row r="106" spans="2:8" x14ac:dyDescent="0.3">
      <c r="B106" s="67">
        <v>44984</v>
      </c>
      <c r="C106" s="68">
        <v>1493.25</v>
      </c>
      <c r="D106" s="14">
        <f t="shared" si="2"/>
        <v>8.6460531754914971E-3</v>
      </c>
      <c r="F106" s="72">
        <v>44984</v>
      </c>
      <c r="G106" s="68">
        <v>17594.349609000001</v>
      </c>
      <c r="H106" s="14">
        <f t="shared" si="3"/>
        <v>7.3600305884538031E-3</v>
      </c>
    </row>
    <row r="107" spans="2:8" x14ac:dyDescent="0.3">
      <c r="B107" s="67">
        <v>44991</v>
      </c>
      <c r="C107" s="68">
        <v>1511.5</v>
      </c>
      <c r="D107" s="14">
        <f t="shared" si="2"/>
        <v>1.2221664155365852E-2</v>
      </c>
      <c r="F107" s="72">
        <v>44991</v>
      </c>
      <c r="G107" s="68">
        <v>17412.900390999999</v>
      </c>
      <c r="H107" s="14">
        <f t="shared" si="3"/>
        <v>-1.0312925571695164E-2</v>
      </c>
    </row>
    <row r="108" spans="2:8" x14ac:dyDescent="0.3">
      <c r="B108" s="67">
        <v>44998</v>
      </c>
      <c r="C108" s="68">
        <v>1534</v>
      </c>
      <c r="D108" s="14">
        <f t="shared" si="2"/>
        <v>1.4885874958650458E-2</v>
      </c>
      <c r="F108" s="72">
        <v>44998</v>
      </c>
      <c r="G108" s="68">
        <v>17100.050781000002</v>
      </c>
      <c r="H108" s="14">
        <f t="shared" si="3"/>
        <v>-1.7966542217268788E-2</v>
      </c>
    </row>
    <row r="109" spans="2:8" x14ac:dyDescent="0.3">
      <c r="B109" s="67">
        <v>45005</v>
      </c>
      <c r="C109" s="68">
        <v>1517.900024</v>
      </c>
      <c r="D109" s="14">
        <f t="shared" si="2"/>
        <v>-1.0495421121251569E-2</v>
      </c>
      <c r="F109" s="72">
        <v>45005</v>
      </c>
      <c r="G109" s="68">
        <v>16945.050781000002</v>
      </c>
      <c r="H109" s="14">
        <f t="shared" si="3"/>
        <v>-9.0643005675878907E-3</v>
      </c>
    </row>
    <row r="110" spans="2:8" x14ac:dyDescent="0.3">
      <c r="B110" s="67">
        <v>45012</v>
      </c>
      <c r="C110" s="68">
        <v>1537.150024</v>
      </c>
      <c r="D110" s="14">
        <f t="shared" si="2"/>
        <v>1.2681994660802554E-2</v>
      </c>
      <c r="F110" s="72">
        <v>45012</v>
      </c>
      <c r="G110" s="68">
        <v>17359.75</v>
      </c>
      <c r="H110" s="14">
        <f t="shared" si="3"/>
        <v>2.4473176525678486E-2</v>
      </c>
    </row>
    <row r="111" spans="2:8" x14ac:dyDescent="0.3">
      <c r="B111" s="67">
        <v>45019</v>
      </c>
      <c r="C111" s="68">
        <v>1574.75</v>
      </c>
      <c r="D111" s="14">
        <f t="shared" si="2"/>
        <v>2.4460836881852632E-2</v>
      </c>
      <c r="F111" s="72">
        <v>45019</v>
      </c>
      <c r="G111" s="68">
        <v>17599.150390999999</v>
      </c>
      <c r="H111" s="14">
        <f t="shared" si="3"/>
        <v>1.3790543700226143E-2</v>
      </c>
    </row>
    <row r="112" spans="2:8" x14ac:dyDescent="0.3">
      <c r="B112" s="67">
        <v>45026</v>
      </c>
      <c r="C112" s="68">
        <v>1577.5500489999999</v>
      </c>
      <c r="D112" s="14">
        <f t="shared" si="2"/>
        <v>1.7780911255753651E-3</v>
      </c>
      <c r="F112" s="72">
        <v>45026</v>
      </c>
      <c r="G112" s="68">
        <v>17828</v>
      </c>
      <c r="H112" s="14">
        <f t="shared" si="3"/>
        <v>1.3003446411653519E-2</v>
      </c>
    </row>
    <row r="113" spans="2:8" x14ac:dyDescent="0.3">
      <c r="B113" s="67">
        <v>45029</v>
      </c>
      <c r="C113" s="68">
        <v>1577.5500489999999</v>
      </c>
      <c r="D113" s="14">
        <f t="shared" si="2"/>
        <v>0</v>
      </c>
      <c r="F113" s="72">
        <v>45029</v>
      </c>
      <c r="G113" s="68">
        <v>17828</v>
      </c>
      <c r="H113" s="14">
        <f t="shared" si="3"/>
        <v>0</v>
      </c>
    </row>
    <row r="114" spans="2:8" x14ac:dyDescent="0.3">
      <c r="B114" s="66"/>
      <c r="C114" s="69"/>
      <c r="D114" s="14"/>
    </row>
  </sheetData>
  <mergeCells count="3">
    <mergeCell ref="B5:D5"/>
    <mergeCell ref="F5:H5"/>
    <mergeCell ref="J5:L5"/>
  </mergeCells>
  <pageMargins left="0.70866141732283472" right="0.70866141732283472" top="0.74803149606299213" bottom="0.74803149606299213" header="0.31496062992125984" footer="0.31496062992125984"/>
  <pageSetup paperSize="9" scale="2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D42E-549F-4F26-B309-9108D48CF526}">
  <sheetPr>
    <tabColor rgb="FF002060"/>
    <pageSetUpPr fitToPage="1"/>
  </sheetPr>
  <dimension ref="A1"/>
  <sheetViews>
    <sheetView showGridLines="0" tabSelected="1" zoomScale="69" zoomScaleNormal="69" workbookViewId="0">
      <selection activeCell="E34" sqref="E34"/>
    </sheetView>
  </sheetViews>
  <sheetFormatPr defaultRowHeight="14.4" x14ac:dyDescent="0.3"/>
  <cols>
    <col min="1" max="1" width="1.88671875" customWidth="1"/>
  </cols>
  <sheetData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BCA0-AC11-4E86-A3BD-83D4162CB709}">
  <sheetPr>
    <tabColor rgb="FFC00000"/>
    <pageSetUpPr fitToPage="1"/>
  </sheetPr>
  <dimension ref="A1:K93"/>
  <sheetViews>
    <sheetView showGridLines="0" tabSelected="1" zoomScale="69" zoomScaleNormal="69" zoomScalePageLayoutView="120" workbookViewId="0">
      <pane xSplit="1" ySplit="1" topLeftCell="B79" activePane="bottomRight" state="frozen"/>
      <selection activeCell="E34" sqref="E34"/>
      <selection pane="topRight" activeCell="E34" sqref="E34"/>
      <selection pane="bottomLeft" activeCell="E34" sqref="E34"/>
      <selection pane="bottomRight" activeCell="E34" sqref="E34"/>
    </sheetView>
  </sheetViews>
  <sheetFormatPr defaultColWidth="8.77734375" defaultRowHeight="14.4" x14ac:dyDescent="0.3"/>
  <cols>
    <col min="1" max="1" width="27.6640625" style="2" bestFit="1" customWidth="1"/>
    <col min="2" max="11" width="13.44140625" style="2" bestFit="1" customWidth="1"/>
    <col min="12" max="16384" width="8.77734375" style="2"/>
  </cols>
  <sheetData>
    <row r="1" spans="1:11" s="1" customFormat="1" x14ac:dyDescent="0.3">
      <c r="A1" s="1" t="s">
        <v>0</v>
      </c>
      <c r="B1" s="1" t="s">
        <v>1</v>
      </c>
      <c r="E1" s="173" t="str">
        <f>IF(B2&lt;&gt;B3, "A NEW VERSION OF THE WORKSHEET IS AVAILABLE", "")</f>
        <v/>
      </c>
      <c r="F1" s="173"/>
      <c r="G1" s="173"/>
      <c r="H1" s="173"/>
      <c r="I1" s="173"/>
      <c r="J1" s="173"/>
      <c r="K1" s="173"/>
    </row>
    <row r="2" spans="1:11" x14ac:dyDescent="0.3">
      <c r="A2" s="1" t="s">
        <v>2</v>
      </c>
      <c r="B2" s="2">
        <v>2.1</v>
      </c>
      <c r="E2" s="174" t="s">
        <v>3</v>
      </c>
      <c r="F2" s="174"/>
      <c r="G2" s="174"/>
      <c r="H2" s="174"/>
      <c r="I2" s="174"/>
      <c r="J2" s="174"/>
      <c r="K2" s="174"/>
    </row>
    <row r="3" spans="1:11" x14ac:dyDescent="0.3">
      <c r="A3" s="1" t="s">
        <v>4</v>
      </c>
      <c r="B3" s="2">
        <v>2.1</v>
      </c>
    </row>
    <row r="4" spans="1:11" x14ac:dyDescent="0.3">
      <c r="A4" s="1"/>
    </row>
    <row r="5" spans="1:11" x14ac:dyDescent="0.3">
      <c r="A5" s="1" t="s">
        <v>5</v>
      </c>
    </row>
    <row r="6" spans="1:11" x14ac:dyDescent="0.3">
      <c r="A6" s="2" t="s">
        <v>6</v>
      </c>
      <c r="B6" s="2">
        <f>IF(B9&gt;0, B9/B8, 0)</f>
        <v>80.715064155064169</v>
      </c>
    </row>
    <row r="7" spans="1:11" x14ac:dyDescent="0.3">
      <c r="A7" s="2" t="s">
        <v>7</v>
      </c>
      <c r="B7" s="3">
        <v>2</v>
      </c>
    </row>
    <row r="8" spans="1:11" x14ac:dyDescent="0.3">
      <c r="A8" s="2" t="s">
        <v>8</v>
      </c>
      <c r="B8" s="3">
        <v>915.75</v>
      </c>
    </row>
    <row r="9" spans="1:11" x14ac:dyDescent="0.3">
      <c r="A9" s="2" t="s">
        <v>9</v>
      </c>
      <c r="B9" s="3">
        <v>73914.820000000007</v>
      </c>
    </row>
    <row r="15" spans="1:11" x14ac:dyDescent="0.3">
      <c r="A15" s="1" t="s">
        <v>10</v>
      </c>
    </row>
    <row r="16" spans="1:11" s="6" customFormat="1" x14ac:dyDescent="0.3">
      <c r="A16" s="4" t="s">
        <v>11</v>
      </c>
      <c r="B16" s="5">
        <v>41364</v>
      </c>
      <c r="C16" s="5">
        <v>41729</v>
      </c>
      <c r="D16" s="5">
        <v>42094</v>
      </c>
      <c r="E16" s="5">
        <v>42460</v>
      </c>
      <c r="F16" s="5">
        <v>42825</v>
      </c>
      <c r="G16" s="5">
        <v>43190</v>
      </c>
      <c r="H16" s="5">
        <v>43555</v>
      </c>
      <c r="I16" s="5">
        <v>43921</v>
      </c>
      <c r="J16" s="5">
        <v>44286</v>
      </c>
      <c r="K16" s="5">
        <v>44651</v>
      </c>
    </row>
    <row r="17" spans="1:11" s="7" customFormat="1" x14ac:dyDescent="0.3">
      <c r="A17" s="7" t="s">
        <v>12</v>
      </c>
      <c r="B17" s="3">
        <v>8279.33</v>
      </c>
      <c r="C17" s="3">
        <v>10173.39</v>
      </c>
      <c r="D17" s="3">
        <v>11345.44</v>
      </c>
      <c r="E17" s="3">
        <v>13790.1</v>
      </c>
      <c r="F17" s="3">
        <v>14394.29</v>
      </c>
      <c r="G17" s="3">
        <v>15155.71</v>
      </c>
      <c r="H17" s="3">
        <v>16362.41</v>
      </c>
      <c r="I17" s="3">
        <v>17131.990000000002</v>
      </c>
      <c r="J17" s="3">
        <v>19159.59</v>
      </c>
      <c r="K17" s="3">
        <v>21763.34</v>
      </c>
    </row>
    <row r="18" spans="1:11" s="7" customFormat="1" x14ac:dyDescent="0.3">
      <c r="A18" s="2" t="s">
        <v>13</v>
      </c>
      <c r="B18" s="3">
        <v>3243.21</v>
      </c>
      <c r="C18" s="3">
        <v>3939.08</v>
      </c>
      <c r="D18" s="3">
        <v>4533.92</v>
      </c>
      <c r="E18" s="3">
        <v>5026.3100000000004</v>
      </c>
      <c r="F18" s="3">
        <v>5206.16</v>
      </c>
      <c r="G18" s="3">
        <v>5671.36</v>
      </c>
      <c r="H18" s="3">
        <v>5737.45</v>
      </c>
      <c r="I18" s="3">
        <v>6236.18</v>
      </c>
      <c r="J18" s="3">
        <v>7544.6</v>
      </c>
      <c r="K18" s="3">
        <v>9220.2900000000009</v>
      </c>
    </row>
    <row r="19" spans="1:11" s="7" customFormat="1" x14ac:dyDescent="0.3">
      <c r="A19" s="2" t="s">
        <v>14</v>
      </c>
      <c r="B19" s="3">
        <v>290.60000000000002</v>
      </c>
      <c r="C19" s="3">
        <v>64.25</v>
      </c>
      <c r="D19" s="3">
        <v>344.22</v>
      </c>
      <c r="E19" s="3">
        <v>-63.55</v>
      </c>
      <c r="F19" s="3">
        <v>-110.96</v>
      </c>
      <c r="G19" s="3">
        <v>232.94</v>
      </c>
      <c r="H19" s="3">
        <v>-47.04</v>
      </c>
      <c r="I19" s="3">
        <v>244.76</v>
      </c>
      <c r="J19" s="3">
        <v>192.71</v>
      </c>
      <c r="K19" s="3">
        <v>724.69</v>
      </c>
    </row>
    <row r="20" spans="1:11" s="7" customFormat="1" x14ac:dyDescent="0.3">
      <c r="A20" s="2" t="s">
        <v>15</v>
      </c>
      <c r="B20" s="3">
        <v>233.12</v>
      </c>
      <c r="C20" s="3">
        <v>218.63</v>
      </c>
      <c r="D20" s="3">
        <v>228.28</v>
      </c>
      <c r="E20" s="3">
        <v>245.92</v>
      </c>
      <c r="F20" s="3">
        <v>251.73</v>
      </c>
      <c r="G20" s="3">
        <v>298.82</v>
      </c>
      <c r="H20" s="3">
        <v>335.11</v>
      </c>
      <c r="I20" s="3">
        <v>327.43</v>
      </c>
      <c r="J20" s="3">
        <v>308.26</v>
      </c>
      <c r="K20" s="3">
        <v>331.03</v>
      </c>
    </row>
    <row r="21" spans="1:11" s="7" customFormat="1" x14ac:dyDescent="0.3">
      <c r="A21" s="2" t="s">
        <v>16</v>
      </c>
      <c r="B21" s="3">
        <v>498.37</v>
      </c>
      <c r="C21" s="3">
        <v>538.58000000000004</v>
      </c>
      <c r="D21" s="3">
        <v>706.06</v>
      </c>
      <c r="E21" s="3">
        <v>1000.01</v>
      </c>
      <c r="F21" s="3">
        <v>912.5</v>
      </c>
      <c r="G21" s="3">
        <v>952.02</v>
      </c>
      <c r="H21" s="3">
        <v>928.08</v>
      </c>
      <c r="I21" s="3">
        <v>1017.51</v>
      </c>
      <c r="J21" s="3">
        <v>1073.5999999999999</v>
      </c>
      <c r="K21" s="3">
        <v>1187.54</v>
      </c>
    </row>
    <row r="22" spans="1:11" s="7" customFormat="1" x14ac:dyDescent="0.3">
      <c r="A22" s="2" t="s">
        <v>17</v>
      </c>
      <c r="B22" s="3">
        <v>1036.1199999999999</v>
      </c>
      <c r="C22" s="3">
        <v>1543.09</v>
      </c>
      <c r="D22" s="3">
        <v>1973.86</v>
      </c>
      <c r="E22" s="3">
        <v>2436.4299999999998</v>
      </c>
      <c r="F22" s="3">
        <v>2640.82</v>
      </c>
      <c r="G22" s="3">
        <v>2699.32</v>
      </c>
      <c r="H22" s="3">
        <v>2866.09</v>
      </c>
      <c r="I22" s="3">
        <v>3036.41</v>
      </c>
      <c r="J22" s="3">
        <v>3261.85</v>
      </c>
      <c r="K22" s="3">
        <v>3542.24</v>
      </c>
    </row>
    <row r="23" spans="1:11" s="7" customFormat="1" x14ac:dyDescent="0.3">
      <c r="A23" s="2" t="s">
        <v>18</v>
      </c>
      <c r="B23" s="3">
        <v>1006.14</v>
      </c>
      <c r="C23" s="3">
        <v>1434.09</v>
      </c>
      <c r="D23" s="3">
        <v>1600.96</v>
      </c>
      <c r="E23" s="3">
        <v>1901.58</v>
      </c>
      <c r="F23" s="3">
        <v>2150.79</v>
      </c>
      <c r="G23" s="3">
        <v>2344.7600000000002</v>
      </c>
      <c r="H23" s="3">
        <v>2725.09</v>
      </c>
      <c r="I23" s="3">
        <v>2886.29</v>
      </c>
      <c r="J23" s="3">
        <v>2407.34</v>
      </c>
      <c r="K23" s="3">
        <v>3129.42</v>
      </c>
    </row>
    <row r="24" spans="1:11" s="7" customFormat="1" x14ac:dyDescent="0.3">
      <c r="A24" s="2" t="s">
        <v>19</v>
      </c>
      <c r="B24" s="3">
        <v>338.53</v>
      </c>
      <c r="C24" s="3">
        <v>417.23</v>
      </c>
      <c r="D24" s="3">
        <v>483.71</v>
      </c>
      <c r="E24" s="3">
        <v>636.63</v>
      </c>
      <c r="F24" s="3">
        <v>625.02</v>
      </c>
      <c r="G24" s="3">
        <v>595.99</v>
      </c>
      <c r="H24" s="3">
        <v>626.24</v>
      </c>
      <c r="I24" s="3">
        <v>666.94</v>
      </c>
      <c r="J24" s="3">
        <v>504.22</v>
      </c>
      <c r="K24" s="3">
        <v>524.73</v>
      </c>
    </row>
    <row r="25" spans="1:11" s="7" customFormat="1" x14ac:dyDescent="0.3">
      <c r="A25" s="7" t="s">
        <v>20</v>
      </c>
      <c r="B25" s="3">
        <v>245.32</v>
      </c>
      <c r="C25" s="3">
        <v>251.48</v>
      </c>
      <c r="D25" s="3">
        <v>164.38</v>
      </c>
      <c r="E25" s="3">
        <v>208.21</v>
      </c>
      <c r="F25" s="3">
        <v>208.17</v>
      </c>
      <c r="G25" s="3">
        <v>280.13</v>
      </c>
      <c r="H25" s="3">
        <v>476.57</v>
      </c>
      <c r="I25" s="3">
        <v>344.2</v>
      </c>
      <c r="J25" s="3">
        <v>265.99</v>
      </c>
      <c r="K25" s="3">
        <v>98.79</v>
      </c>
    </row>
    <row r="26" spans="1:11" s="7" customFormat="1" x14ac:dyDescent="0.3">
      <c r="A26" s="7" t="s">
        <v>21</v>
      </c>
      <c r="B26" s="3">
        <v>330.48</v>
      </c>
      <c r="C26" s="3">
        <v>372.64</v>
      </c>
      <c r="D26" s="3">
        <v>504.71</v>
      </c>
      <c r="E26" s="3">
        <v>754.22</v>
      </c>
      <c r="F26" s="3">
        <v>1322.93</v>
      </c>
      <c r="G26" s="3">
        <v>1322.82</v>
      </c>
      <c r="H26" s="3">
        <v>1326.31</v>
      </c>
      <c r="I26" s="3">
        <v>1174.6500000000001</v>
      </c>
      <c r="J26" s="3">
        <v>1067.6600000000001</v>
      </c>
      <c r="K26" s="3">
        <v>1051.95</v>
      </c>
    </row>
    <row r="27" spans="1:11" s="7" customFormat="1" x14ac:dyDescent="0.3">
      <c r="A27" s="7" t="s">
        <v>22</v>
      </c>
      <c r="B27" s="3">
        <v>33.909999999999997</v>
      </c>
      <c r="C27" s="3">
        <v>145.74</v>
      </c>
      <c r="D27" s="3">
        <v>168.29</v>
      </c>
      <c r="E27" s="3">
        <v>206.63</v>
      </c>
      <c r="F27" s="3">
        <v>159.38</v>
      </c>
      <c r="G27" s="3">
        <v>114.23</v>
      </c>
      <c r="H27" s="3">
        <v>168.43</v>
      </c>
      <c r="I27" s="3">
        <v>197.36</v>
      </c>
      <c r="J27" s="3">
        <v>160.69999999999999</v>
      </c>
      <c r="K27" s="3">
        <v>106.35</v>
      </c>
    </row>
    <row r="28" spans="1:11" s="7" customFormat="1" x14ac:dyDescent="0.3">
      <c r="A28" s="7" t="s">
        <v>23</v>
      </c>
      <c r="B28" s="3">
        <v>2095.37</v>
      </c>
      <c r="C28" s="3">
        <v>1880.04</v>
      </c>
      <c r="D28" s="3">
        <v>1654.25</v>
      </c>
      <c r="E28" s="3">
        <v>1727.03</v>
      </c>
      <c r="F28" s="3">
        <v>1222.17</v>
      </c>
      <c r="G28" s="3">
        <v>1669.46</v>
      </c>
      <c r="H28" s="3">
        <v>2079.14</v>
      </c>
      <c r="I28" s="3">
        <v>2178.1799999999998</v>
      </c>
      <c r="J28" s="3">
        <v>3290.06</v>
      </c>
      <c r="K28" s="3">
        <v>3493.27</v>
      </c>
    </row>
    <row r="29" spans="1:11" s="7" customFormat="1" x14ac:dyDescent="0.3">
      <c r="A29" s="7" t="s">
        <v>24</v>
      </c>
      <c r="B29" s="3">
        <v>544.30999999999995</v>
      </c>
      <c r="C29" s="3">
        <v>463.38</v>
      </c>
      <c r="D29" s="3">
        <v>400.03</v>
      </c>
      <c r="E29" s="3">
        <v>331.59</v>
      </c>
      <c r="F29" s="3">
        <v>179.76</v>
      </c>
      <c r="G29" s="3">
        <v>250.11</v>
      </c>
      <c r="H29" s="3">
        <v>569.53</v>
      </c>
      <c r="I29" s="3">
        <v>631.20000000000005</v>
      </c>
      <c r="J29" s="3">
        <v>888.76</v>
      </c>
      <c r="K29" s="3">
        <v>933.8</v>
      </c>
    </row>
    <row r="30" spans="1:11" s="7" customFormat="1" x14ac:dyDescent="0.3">
      <c r="A30" s="7" t="s">
        <v>25</v>
      </c>
      <c r="B30" s="3">
        <v>1544.85</v>
      </c>
      <c r="C30" s="3">
        <v>1388.41</v>
      </c>
      <c r="D30" s="3">
        <v>1180.77</v>
      </c>
      <c r="E30" s="3">
        <v>1359.99</v>
      </c>
      <c r="F30" s="3">
        <v>1006.39</v>
      </c>
      <c r="G30" s="3">
        <v>1410.53</v>
      </c>
      <c r="H30" s="3">
        <v>1527.7</v>
      </c>
      <c r="I30" s="3">
        <v>1546.52</v>
      </c>
      <c r="J30" s="3">
        <v>2404.87</v>
      </c>
      <c r="K30" s="3">
        <v>2516.75</v>
      </c>
    </row>
    <row r="31" spans="1:11" s="7" customFormat="1" x14ac:dyDescent="0.3">
      <c r="A31" s="7" t="s">
        <v>26</v>
      </c>
      <c r="B31" s="3">
        <v>160.58000000000001</v>
      </c>
      <c r="C31" s="3">
        <v>160.58000000000001</v>
      </c>
      <c r="D31" s="3">
        <v>160.59</v>
      </c>
      <c r="E31" s="3">
        <v>160.68</v>
      </c>
      <c r="F31" s="3">
        <v>160.9</v>
      </c>
      <c r="G31" s="3">
        <v>241.53</v>
      </c>
      <c r="H31" s="3">
        <v>241.71</v>
      </c>
      <c r="I31" s="3">
        <v>322.5</v>
      </c>
      <c r="J31" s="3">
        <v>403.22</v>
      </c>
      <c r="K31" s="3">
        <v>403.4</v>
      </c>
    </row>
    <row r="32" spans="1:11" s="7" customFormat="1" x14ac:dyDescent="0.3"/>
    <row r="33" spans="1:11" x14ac:dyDescent="0.3">
      <c r="A33" s="7"/>
    </row>
    <row r="34" spans="1:11" x14ac:dyDescent="0.3">
      <c r="A34" s="7" t="s">
        <v>66</v>
      </c>
      <c r="B34" s="2">
        <f>B30+B29+B27+B26</f>
        <v>2453.5499999999997</v>
      </c>
      <c r="C34" s="2">
        <f t="shared" ref="C34:K34" si="0">C30+C29+C27+C26</f>
        <v>2370.17</v>
      </c>
      <c r="D34" s="2">
        <f t="shared" si="0"/>
        <v>2253.7999999999997</v>
      </c>
      <c r="E34" s="2">
        <f t="shared" si="0"/>
        <v>2652.4300000000003</v>
      </c>
      <c r="F34" s="2">
        <f t="shared" si="0"/>
        <v>2668.46</v>
      </c>
      <c r="G34" s="2">
        <f t="shared" si="0"/>
        <v>3097.6899999999996</v>
      </c>
      <c r="H34" s="2">
        <f t="shared" si="0"/>
        <v>3591.97</v>
      </c>
      <c r="I34" s="2">
        <f t="shared" si="0"/>
        <v>3549.7300000000005</v>
      </c>
      <c r="J34" s="2">
        <f t="shared" si="0"/>
        <v>4521.99</v>
      </c>
      <c r="K34" s="2">
        <f t="shared" si="0"/>
        <v>4608.8500000000004</v>
      </c>
    </row>
    <row r="35" spans="1:11" x14ac:dyDescent="0.3">
      <c r="A35" s="7"/>
    </row>
    <row r="36" spans="1:11" x14ac:dyDescent="0.3">
      <c r="A36" s="7"/>
    </row>
    <row r="37" spans="1:11" x14ac:dyDescent="0.3">
      <c r="A37" s="7"/>
    </row>
    <row r="38" spans="1:11" x14ac:dyDescent="0.3">
      <c r="A38" s="7"/>
    </row>
    <row r="39" spans="1:11" x14ac:dyDescent="0.3">
      <c r="A39" s="7"/>
    </row>
    <row r="40" spans="1:11" x14ac:dyDescent="0.3">
      <c r="A40" s="1" t="s">
        <v>27</v>
      </c>
    </row>
    <row r="41" spans="1:11" s="6" customFormat="1" x14ac:dyDescent="0.3">
      <c r="A41" s="4" t="s">
        <v>11</v>
      </c>
      <c r="B41" s="5">
        <v>44104</v>
      </c>
      <c r="C41" s="5">
        <v>44196</v>
      </c>
      <c r="D41" s="5">
        <v>44286</v>
      </c>
      <c r="E41" s="5">
        <v>44377</v>
      </c>
      <c r="F41" s="5">
        <v>44469</v>
      </c>
      <c r="G41" s="5">
        <v>44561</v>
      </c>
      <c r="H41" s="5">
        <v>44651</v>
      </c>
      <c r="I41" s="5">
        <v>44742</v>
      </c>
      <c r="J41" s="5">
        <v>44834</v>
      </c>
      <c r="K41" s="5">
        <v>44926</v>
      </c>
    </row>
    <row r="42" spans="1:11" s="7" customFormat="1" x14ac:dyDescent="0.3">
      <c r="A42" s="7" t="s">
        <v>12</v>
      </c>
      <c r="B42" s="3">
        <v>5038.29</v>
      </c>
      <c r="C42" s="3">
        <v>5168.6899999999996</v>
      </c>
      <c r="D42" s="3">
        <v>4606.45</v>
      </c>
      <c r="E42" s="3">
        <v>5504.35</v>
      </c>
      <c r="F42" s="3">
        <v>5519.8</v>
      </c>
      <c r="G42" s="3">
        <v>5478.86</v>
      </c>
      <c r="H42" s="3">
        <v>5260.33</v>
      </c>
      <c r="I42" s="3">
        <v>5375.19</v>
      </c>
      <c r="J42" s="3">
        <v>5828.54</v>
      </c>
      <c r="K42" s="3">
        <v>5810.09</v>
      </c>
    </row>
    <row r="43" spans="1:11" s="7" customFormat="1" x14ac:dyDescent="0.3">
      <c r="A43" s="7" t="s">
        <v>28</v>
      </c>
      <c r="B43" s="3">
        <v>3861.72</v>
      </c>
      <c r="C43" s="3">
        <v>3937.81</v>
      </c>
      <c r="D43" s="3">
        <v>3810.21</v>
      </c>
      <c r="E43" s="3">
        <v>4158.46</v>
      </c>
      <c r="F43" s="3">
        <v>4293.6000000000004</v>
      </c>
      <c r="G43" s="3">
        <v>4247.8900000000003</v>
      </c>
      <c r="H43" s="3">
        <v>4510.6099999999997</v>
      </c>
      <c r="I43" s="3">
        <v>4231.84</v>
      </c>
      <c r="J43" s="3">
        <v>4526.21</v>
      </c>
      <c r="K43" s="3">
        <v>4402.54</v>
      </c>
    </row>
    <row r="44" spans="1:11" s="7" customFormat="1" x14ac:dyDescent="0.3">
      <c r="A44" s="7" t="s">
        <v>20</v>
      </c>
      <c r="B44" s="3">
        <v>53.47</v>
      </c>
      <c r="C44" s="3">
        <v>86.94</v>
      </c>
      <c r="D44" s="3">
        <v>60.13</v>
      </c>
      <c r="E44" s="3">
        <v>-59.69</v>
      </c>
      <c r="F44" s="3">
        <v>60.67</v>
      </c>
      <c r="G44" s="3">
        <v>91.29</v>
      </c>
      <c r="H44" s="3">
        <v>6.52</v>
      </c>
      <c r="I44" s="3">
        <v>103.43</v>
      </c>
      <c r="J44" s="3">
        <v>122.95</v>
      </c>
      <c r="K44" s="3">
        <v>114.44</v>
      </c>
    </row>
    <row r="45" spans="1:11" s="7" customFormat="1" x14ac:dyDescent="0.3">
      <c r="A45" s="7" t="s">
        <v>21</v>
      </c>
      <c r="B45" s="3">
        <v>265.06</v>
      </c>
      <c r="C45" s="3">
        <v>248.43</v>
      </c>
      <c r="D45" s="3">
        <v>285.19</v>
      </c>
      <c r="E45" s="3">
        <v>261.11</v>
      </c>
      <c r="F45" s="3">
        <v>253.06</v>
      </c>
      <c r="G45" s="3">
        <v>247.47</v>
      </c>
      <c r="H45" s="3">
        <v>290.31</v>
      </c>
      <c r="I45" s="3">
        <v>254.41</v>
      </c>
      <c r="J45" s="3">
        <v>299.37</v>
      </c>
      <c r="K45" s="3">
        <v>272.11</v>
      </c>
    </row>
    <row r="46" spans="1:11" s="7" customFormat="1" x14ac:dyDescent="0.3">
      <c r="A46" s="7" t="s">
        <v>22</v>
      </c>
      <c r="B46" s="3">
        <v>39.33</v>
      </c>
      <c r="C46" s="3">
        <v>47.92</v>
      </c>
      <c r="D46" s="3">
        <v>27.45</v>
      </c>
      <c r="E46" s="3">
        <v>29.57</v>
      </c>
      <c r="F46" s="3">
        <v>38</v>
      </c>
      <c r="G46" s="3">
        <v>20.68</v>
      </c>
      <c r="H46" s="3">
        <v>18.100000000000001</v>
      </c>
      <c r="I46" s="3">
        <v>17.809999999999999</v>
      </c>
      <c r="J46" s="3">
        <v>25.55</v>
      </c>
      <c r="K46" s="3">
        <v>31.82</v>
      </c>
    </row>
    <row r="47" spans="1:11" s="7" customFormat="1" x14ac:dyDescent="0.3">
      <c r="A47" s="7" t="s">
        <v>23</v>
      </c>
      <c r="B47" s="3">
        <v>925.65</v>
      </c>
      <c r="C47" s="3">
        <v>1021.47</v>
      </c>
      <c r="D47" s="3">
        <v>543.73</v>
      </c>
      <c r="E47" s="3">
        <v>995.52</v>
      </c>
      <c r="F47" s="3">
        <v>995.81</v>
      </c>
      <c r="G47" s="3">
        <v>1054.1099999999999</v>
      </c>
      <c r="H47" s="3">
        <v>447.83</v>
      </c>
      <c r="I47" s="3">
        <v>974.56</v>
      </c>
      <c r="J47" s="3">
        <v>1100.3599999999999</v>
      </c>
      <c r="K47" s="3">
        <v>1218.06</v>
      </c>
    </row>
    <row r="48" spans="1:11" s="7" customFormat="1" x14ac:dyDescent="0.3">
      <c r="A48" s="7" t="s">
        <v>24</v>
      </c>
      <c r="B48" s="3">
        <v>263.8</v>
      </c>
      <c r="C48" s="3">
        <v>268.95999999999998</v>
      </c>
      <c r="D48" s="3">
        <v>128.22</v>
      </c>
      <c r="E48" s="3">
        <v>283.72000000000003</v>
      </c>
      <c r="F48" s="3">
        <v>283.81</v>
      </c>
      <c r="G48" s="3">
        <v>295.16000000000003</v>
      </c>
      <c r="H48" s="3">
        <v>71.11</v>
      </c>
      <c r="I48" s="3">
        <v>268</v>
      </c>
      <c r="J48" s="3">
        <v>302.60000000000002</v>
      </c>
      <c r="K48" s="3">
        <v>410.01</v>
      </c>
    </row>
    <row r="49" spans="1:11" s="7" customFormat="1" x14ac:dyDescent="0.3">
      <c r="A49" s="7" t="s">
        <v>25</v>
      </c>
      <c r="B49" s="3">
        <v>665.43</v>
      </c>
      <c r="C49" s="3">
        <v>748.15</v>
      </c>
      <c r="D49" s="3">
        <v>413.38</v>
      </c>
      <c r="E49" s="3">
        <v>714.72</v>
      </c>
      <c r="F49" s="3">
        <v>711.36</v>
      </c>
      <c r="G49" s="3">
        <v>728.6</v>
      </c>
      <c r="H49" s="3">
        <v>362.07</v>
      </c>
      <c r="I49" s="3">
        <v>686.4</v>
      </c>
      <c r="J49" s="3">
        <v>788.9</v>
      </c>
      <c r="K49" s="3">
        <v>800.96</v>
      </c>
    </row>
    <row r="50" spans="1:11" x14ac:dyDescent="0.3">
      <c r="A50" s="7" t="s">
        <v>29</v>
      </c>
      <c r="B50" s="3">
        <v>1176.57</v>
      </c>
      <c r="C50" s="3">
        <v>1230.8800000000001</v>
      </c>
      <c r="D50" s="3">
        <v>796.24</v>
      </c>
      <c r="E50" s="3">
        <v>1345.89</v>
      </c>
      <c r="F50" s="3">
        <v>1226.2</v>
      </c>
      <c r="G50" s="3">
        <v>1230.97</v>
      </c>
      <c r="H50" s="3">
        <v>749.72</v>
      </c>
      <c r="I50" s="3">
        <v>1143.3499999999999</v>
      </c>
      <c r="J50" s="3">
        <v>1302.33</v>
      </c>
      <c r="K50" s="3">
        <v>1407.55</v>
      </c>
    </row>
    <row r="51" spans="1:11" x14ac:dyDescent="0.3">
      <c r="A51" s="7"/>
    </row>
    <row r="52" spans="1:11" x14ac:dyDescent="0.3">
      <c r="A52" s="7"/>
    </row>
    <row r="53" spans="1:11" x14ac:dyDescent="0.3">
      <c r="A53" s="7"/>
    </row>
    <row r="54" spans="1:11" x14ac:dyDescent="0.3">
      <c r="A54" s="7"/>
    </row>
    <row r="55" spans="1:11" x14ac:dyDescent="0.3">
      <c r="A55" s="1" t="s">
        <v>30</v>
      </c>
    </row>
    <row r="56" spans="1:11" s="6" customFormat="1" x14ac:dyDescent="0.3">
      <c r="A56" s="4" t="s">
        <v>11</v>
      </c>
      <c r="B56" s="5">
        <v>41364</v>
      </c>
      <c r="C56" s="5">
        <v>41729</v>
      </c>
      <c r="D56" s="5">
        <v>42094</v>
      </c>
      <c r="E56" s="5">
        <v>42460</v>
      </c>
      <c r="F56" s="5">
        <v>42825</v>
      </c>
      <c r="G56" s="5">
        <v>43190</v>
      </c>
      <c r="H56" s="5">
        <v>43555</v>
      </c>
      <c r="I56" s="5">
        <v>43921</v>
      </c>
      <c r="J56" s="5">
        <v>44286</v>
      </c>
      <c r="K56" s="5">
        <v>44651</v>
      </c>
    </row>
    <row r="57" spans="1:11" x14ac:dyDescent="0.3">
      <c r="A57" s="7" t="s">
        <v>31</v>
      </c>
      <c r="B57" s="3">
        <v>160.58000000000001</v>
      </c>
      <c r="C57" s="3">
        <v>160.58000000000001</v>
      </c>
      <c r="D57" s="3">
        <v>160.59</v>
      </c>
      <c r="E57" s="3">
        <v>160.68</v>
      </c>
      <c r="F57" s="3">
        <v>160.9</v>
      </c>
      <c r="G57" s="3">
        <v>161.02000000000001</v>
      </c>
      <c r="H57" s="3">
        <v>161.13999999999999</v>
      </c>
      <c r="I57" s="3">
        <v>161.25</v>
      </c>
      <c r="J57" s="3">
        <v>161.29</v>
      </c>
      <c r="K57" s="3">
        <v>161.36000000000001</v>
      </c>
    </row>
    <row r="58" spans="1:11" x14ac:dyDescent="0.3">
      <c r="A58" s="7" t="s">
        <v>32</v>
      </c>
      <c r="B58" s="3">
        <v>8858.1</v>
      </c>
      <c r="C58" s="3">
        <v>9889.77</v>
      </c>
      <c r="D58" s="3">
        <v>10640.9</v>
      </c>
      <c r="E58" s="3">
        <v>11355.54</v>
      </c>
      <c r="F58" s="3">
        <v>12382.76</v>
      </c>
      <c r="G58" s="3">
        <v>14068.17</v>
      </c>
      <c r="H58" s="3">
        <v>14851.14</v>
      </c>
      <c r="I58" s="3">
        <v>15601.75</v>
      </c>
      <c r="J58" s="3">
        <v>18165.240000000002</v>
      </c>
      <c r="K58" s="3">
        <v>20680.330000000002</v>
      </c>
    </row>
    <row r="59" spans="1:11" x14ac:dyDescent="0.3">
      <c r="A59" s="7" t="s">
        <v>33</v>
      </c>
      <c r="B59" s="3">
        <v>967.07</v>
      </c>
      <c r="C59" s="3">
        <v>1247.9100000000001</v>
      </c>
      <c r="D59" s="3">
        <v>1703.33</v>
      </c>
      <c r="E59" s="3">
        <v>5201.92</v>
      </c>
      <c r="F59" s="3">
        <v>4112.66</v>
      </c>
      <c r="G59" s="3">
        <v>4098.05</v>
      </c>
      <c r="H59" s="3">
        <v>4316.2299999999996</v>
      </c>
      <c r="I59" s="3">
        <v>2816.43</v>
      </c>
      <c r="J59" s="3">
        <v>2014.41</v>
      </c>
      <c r="K59" s="3">
        <v>1055.78</v>
      </c>
    </row>
    <row r="60" spans="1:11" x14ac:dyDescent="0.3">
      <c r="A60" s="7" t="s">
        <v>34</v>
      </c>
      <c r="B60" s="3">
        <v>1672.02</v>
      </c>
      <c r="C60" s="3">
        <v>2102.1</v>
      </c>
      <c r="D60" s="3">
        <v>3165.6</v>
      </c>
      <c r="E60" s="3">
        <v>4331.3500000000004</v>
      </c>
      <c r="F60" s="3">
        <v>4212.62</v>
      </c>
      <c r="G60" s="3">
        <v>4345.66</v>
      </c>
      <c r="H60" s="3">
        <v>4433.3999999999996</v>
      </c>
      <c r="I60" s="3">
        <v>4843.3599999999997</v>
      </c>
      <c r="J60" s="3">
        <v>4514.34</v>
      </c>
      <c r="K60" s="3">
        <v>4959.6899999999996</v>
      </c>
    </row>
    <row r="61" spans="1:11" s="1" customFormat="1" x14ac:dyDescent="0.3">
      <c r="A61" s="1" t="s">
        <v>35</v>
      </c>
      <c r="B61" s="3">
        <v>11657.77</v>
      </c>
      <c r="C61" s="3">
        <v>13400.36</v>
      </c>
      <c r="D61" s="3">
        <v>15670.42</v>
      </c>
      <c r="E61" s="3">
        <v>21049.49</v>
      </c>
      <c r="F61" s="3">
        <v>20868.939999999999</v>
      </c>
      <c r="G61" s="3">
        <v>22672.9</v>
      </c>
      <c r="H61" s="3">
        <v>23761.91</v>
      </c>
      <c r="I61" s="3">
        <v>23422.79</v>
      </c>
      <c r="J61" s="3">
        <v>24855.279999999999</v>
      </c>
      <c r="K61" s="3">
        <v>26857.16</v>
      </c>
    </row>
    <row r="62" spans="1:11" x14ac:dyDescent="0.3">
      <c r="A62" s="7" t="s">
        <v>36</v>
      </c>
      <c r="B62" s="3">
        <v>3609.97</v>
      </c>
      <c r="C62" s="3">
        <v>6496.47</v>
      </c>
      <c r="D62" s="3">
        <v>6829.64</v>
      </c>
      <c r="E62" s="3">
        <v>9368.32</v>
      </c>
      <c r="F62" s="3">
        <v>9491.98</v>
      </c>
      <c r="G62" s="3">
        <v>9950.17</v>
      </c>
      <c r="H62" s="3">
        <v>9608.36</v>
      </c>
      <c r="I62" s="3">
        <v>9682.89</v>
      </c>
      <c r="J62" s="3">
        <v>9515.52</v>
      </c>
      <c r="K62" s="3">
        <v>9683.33</v>
      </c>
    </row>
    <row r="63" spans="1:11" x14ac:dyDescent="0.3">
      <c r="A63" s="7" t="s">
        <v>37</v>
      </c>
      <c r="B63" s="3">
        <v>377.79</v>
      </c>
      <c r="C63" s="3">
        <v>441.84</v>
      </c>
      <c r="D63" s="3">
        <v>580.9</v>
      </c>
      <c r="E63" s="3">
        <v>2060.87</v>
      </c>
      <c r="F63" s="3">
        <v>1682.98</v>
      </c>
      <c r="G63" s="3">
        <v>981.33</v>
      </c>
      <c r="H63" s="3">
        <v>676.18</v>
      </c>
      <c r="I63" s="3">
        <v>824.53</v>
      </c>
      <c r="J63" s="3">
        <v>968.89</v>
      </c>
      <c r="K63" s="3">
        <v>766.18</v>
      </c>
    </row>
    <row r="64" spans="1:11" x14ac:dyDescent="0.3">
      <c r="A64" s="7" t="s">
        <v>38</v>
      </c>
      <c r="B64" s="3">
        <v>2532.44</v>
      </c>
      <c r="C64" s="3">
        <v>708.57</v>
      </c>
      <c r="D64" s="3">
        <v>639.78</v>
      </c>
      <c r="E64" s="3">
        <v>758.69</v>
      </c>
      <c r="F64" s="3">
        <v>973.01</v>
      </c>
      <c r="G64" s="3">
        <v>1258.8399999999999</v>
      </c>
      <c r="H64" s="3">
        <v>2554.14</v>
      </c>
      <c r="I64" s="3">
        <v>1471.02</v>
      </c>
      <c r="J64" s="3">
        <v>2710.05</v>
      </c>
      <c r="K64" s="3">
        <v>2550.6</v>
      </c>
    </row>
    <row r="65" spans="1:11" x14ac:dyDescent="0.3">
      <c r="A65" s="7" t="s">
        <v>39</v>
      </c>
      <c r="B65" s="3">
        <v>5137.57</v>
      </c>
      <c r="C65" s="3">
        <v>5753.48</v>
      </c>
      <c r="D65" s="3">
        <v>7620.1</v>
      </c>
      <c r="E65" s="3">
        <v>8861.61</v>
      </c>
      <c r="F65" s="3">
        <v>8720.9699999999993</v>
      </c>
      <c r="G65" s="3">
        <v>10482.56</v>
      </c>
      <c r="H65" s="3">
        <v>10923.23</v>
      </c>
      <c r="I65" s="3">
        <v>11444.35</v>
      </c>
      <c r="J65" s="3">
        <v>11660.82</v>
      </c>
      <c r="K65" s="3">
        <v>13857.05</v>
      </c>
    </row>
    <row r="66" spans="1:11" s="1" customFormat="1" x14ac:dyDescent="0.3">
      <c r="A66" s="1" t="s">
        <v>35</v>
      </c>
      <c r="B66" s="3">
        <v>11657.77</v>
      </c>
      <c r="C66" s="3">
        <v>13400.36</v>
      </c>
      <c r="D66" s="3">
        <v>15670.42</v>
      </c>
      <c r="E66" s="3">
        <v>21049.49</v>
      </c>
      <c r="F66" s="3">
        <v>20868.939999999999</v>
      </c>
      <c r="G66" s="3">
        <v>22672.9</v>
      </c>
      <c r="H66" s="3">
        <v>23761.91</v>
      </c>
      <c r="I66" s="3">
        <v>23422.79</v>
      </c>
      <c r="J66" s="3">
        <v>24855.279999999999</v>
      </c>
      <c r="K66" s="3">
        <v>26857.16</v>
      </c>
    </row>
    <row r="67" spans="1:11" s="7" customFormat="1" x14ac:dyDescent="0.3">
      <c r="A67" s="7" t="s">
        <v>40</v>
      </c>
      <c r="B67" s="3">
        <v>1668.84</v>
      </c>
      <c r="C67" s="3">
        <v>1638.89</v>
      </c>
      <c r="D67" s="3">
        <v>1997.72</v>
      </c>
      <c r="E67" s="3">
        <v>2356.27</v>
      </c>
      <c r="F67" s="3">
        <v>2563.0500000000002</v>
      </c>
      <c r="G67" s="3">
        <v>3102.45</v>
      </c>
      <c r="H67" s="3">
        <v>4150.72</v>
      </c>
      <c r="I67" s="3">
        <v>3891.31</v>
      </c>
      <c r="J67" s="3">
        <v>3445.68</v>
      </c>
      <c r="K67" s="3">
        <v>3424.44</v>
      </c>
    </row>
    <row r="68" spans="1:11" x14ac:dyDescent="0.3">
      <c r="A68" s="7" t="s">
        <v>41</v>
      </c>
      <c r="B68" s="3">
        <v>2387.0700000000002</v>
      </c>
      <c r="C68" s="3">
        <v>2895.26</v>
      </c>
      <c r="D68" s="3">
        <v>3780.62</v>
      </c>
      <c r="E68" s="3">
        <v>3808.05</v>
      </c>
      <c r="F68" s="3">
        <v>3485.28</v>
      </c>
      <c r="G68" s="3">
        <v>4044.7</v>
      </c>
      <c r="H68" s="3">
        <v>3964.83</v>
      </c>
      <c r="I68" s="3">
        <v>4377.6000000000004</v>
      </c>
      <c r="J68" s="3">
        <v>4669.18</v>
      </c>
      <c r="K68" s="3">
        <v>5350.24</v>
      </c>
    </row>
    <row r="69" spans="1:11" x14ac:dyDescent="0.3">
      <c r="A69" s="2" t="s">
        <v>42</v>
      </c>
      <c r="B69" s="3">
        <v>143.01</v>
      </c>
      <c r="C69" s="3">
        <v>175.76</v>
      </c>
      <c r="D69" s="3">
        <v>564.26</v>
      </c>
      <c r="E69" s="3">
        <v>871.4</v>
      </c>
      <c r="F69" s="3">
        <v>624.21</v>
      </c>
      <c r="G69" s="3">
        <v>965.61</v>
      </c>
      <c r="H69" s="3">
        <v>618.80999999999995</v>
      </c>
      <c r="I69" s="3">
        <v>1003.91</v>
      </c>
      <c r="J69" s="3">
        <v>1401.23</v>
      </c>
      <c r="K69" s="3">
        <v>1928.48</v>
      </c>
    </row>
    <row r="70" spans="1:11" x14ac:dyDescent="0.3">
      <c r="A70" s="2" t="s">
        <v>43</v>
      </c>
      <c r="B70" s="3">
        <v>803924800</v>
      </c>
      <c r="C70" s="3">
        <v>802921400</v>
      </c>
      <c r="D70" s="3">
        <v>802960440</v>
      </c>
      <c r="E70" s="3">
        <v>803384282</v>
      </c>
      <c r="F70" s="3">
        <v>804510074</v>
      </c>
      <c r="G70" s="3">
        <v>805119164</v>
      </c>
      <c r="H70" s="3">
        <v>805701266</v>
      </c>
      <c r="I70" s="3">
        <v>806235329</v>
      </c>
      <c r="J70" s="3">
        <v>806463279</v>
      </c>
      <c r="K70" s="3">
        <v>806814036</v>
      </c>
    </row>
    <row r="71" spans="1:11" x14ac:dyDescent="0.3">
      <c r="A71" s="2" t="s">
        <v>44</v>
      </c>
    </row>
    <row r="72" spans="1:11" x14ac:dyDescent="0.3">
      <c r="A72" s="2" t="s">
        <v>45</v>
      </c>
      <c r="B72" s="3">
        <v>2</v>
      </c>
      <c r="C72" s="3">
        <v>2</v>
      </c>
      <c r="D72" s="3">
        <v>2</v>
      </c>
      <c r="E72" s="3">
        <v>2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</row>
    <row r="74" spans="1:11" x14ac:dyDescent="0.3">
      <c r="A74" s="7" t="s">
        <v>255</v>
      </c>
      <c r="B74" s="2">
        <f>B65-SUM(B67:B69)</f>
        <v>938.64999999999964</v>
      </c>
      <c r="C74" s="2">
        <f t="shared" ref="C74:K74" si="1">C65-SUM(C67:C69)</f>
        <v>1043.5699999999988</v>
      </c>
      <c r="D74" s="2">
        <f t="shared" si="1"/>
        <v>1277.5</v>
      </c>
      <c r="E74" s="2">
        <f t="shared" si="1"/>
        <v>1825.8900000000012</v>
      </c>
      <c r="F74" s="2">
        <f t="shared" si="1"/>
        <v>2048.4299999999994</v>
      </c>
      <c r="G74" s="2">
        <f t="shared" si="1"/>
        <v>2369.8000000000002</v>
      </c>
      <c r="H74" s="2">
        <f t="shared" si="1"/>
        <v>2188.869999999999</v>
      </c>
      <c r="I74" s="2">
        <f t="shared" si="1"/>
        <v>2171.5300000000007</v>
      </c>
      <c r="J74" s="2">
        <f t="shared" si="1"/>
        <v>2144.7299999999996</v>
      </c>
      <c r="K74" s="2">
        <f t="shared" si="1"/>
        <v>3153.8899999999994</v>
      </c>
    </row>
    <row r="75" spans="1:11" x14ac:dyDescent="0.3">
      <c r="A75" s="7" t="s">
        <v>85</v>
      </c>
      <c r="B75" s="2">
        <f>B66</f>
        <v>11657.77</v>
      </c>
      <c r="C75" s="2">
        <f t="shared" ref="C75:K75" si="2">C66</f>
        <v>13400.36</v>
      </c>
      <c r="D75" s="2">
        <f t="shared" si="2"/>
        <v>15670.42</v>
      </c>
      <c r="E75" s="2">
        <f t="shared" si="2"/>
        <v>21049.49</v>
      </c>
      <c r="F75" s="2">
        <f t="shared" si="2"/>
        <v>20868.939999999999</v>
      </c>
      <c r="G75" s="2">
        <f t="shared" si="2"/>
        <v>22672.9</v>
      </c>
      <c r="H75" s="2">
        <f t="shared" si="2"/>
        <v>23761.91</v>
      </c>
      <c r="I75" s="2">
        <f t="shared" si="2"/>
        <v>23422.79</v>
      </c>
      <c r="J75" s="2">
        <f t="shared" si="2"/>
        <v>24855.279999999999</v>
      </c>
      <c r="K75" s="2">
        <f t="shared" si="2"/>
        <v>26857.16</v>
      </c>
    </row>
    <row r="76" spans="1:11" x14ac:dyDescent="0.3">
      <c r="A76" s="7"/>
    </row>
    <row r="77" spans="1:11" x14ac:dyDescent="0.3">
      <c r="A77" s="7"/>
    </row>
    <row r="78" spans="1:11" x14ac:dyDescent="0.3">
      <c r="A78" s="7"/>
    </row>
    <row r="79" spans="1:11" x14ac:dyDescent="0.3">
      <c r="A79" s="7"/>
    </row>
    <row r="80" spans="1:11" x14ac:dyDescent="0.3">
      <c r="A80" s="1" t="s">
        <v>46</v>
      </c>
    </row>
    <row r="81" spans="1:11" s="6" customFormat="1" x14ac:dyDescent="0.3">
      <c r="A81" s="4" t="s">
        <v>11</v>
      </c>
      <c r="B81" s="5">
        <v>41364</v>
      </c>
      <c r="C81" s="5">
        <v>41729</v>
      </c>
      <c r="D81" s="5">
        <v>42094</v>
      </c>
      <c r="E81" s="5">
        <v>42460</v>
      </c>
      <c r="F81" s="5">
        <v>42825</v>
      </c>
      <c r="G81" s="5">
        <v>43190</v>
      </c>
      <c r="H81" s="5">
        <v>43555</v>
      </c>
      <c r="I81" s="5">
        <v>43921</v>
      </c>
      <c r="J81" s="5">
        <v>44286</v>
      </c>
      <c r="K81" s="5">
        <v>44651</v>
      </c>
    </row>
    <row r="82" spans="1:11" s="1" customFormat="1" x14ac:dyDescent="0.3">
      <c r="A82" s="7" t="s">
        <v>47</v>
      </c>
      <c r="B82" s="3">
        <v>1397.67</v>
      </c>
      <c r="C82" s="3">
        <v>1563.31</v>
      </c>
      <c r="D82" s="3">
        <v>1173.43</v>
      </c>
      <c r="E82" s="3">
        <v>1740.81</v>
      </c>
      <c r="F82" s="3">
        <v>2381.7600000000002</v>
      </c>
      <c r="G82" s="3">
        <v>1462.76</v>
      </c>
      <c r="H82" s="3">
        <v>1691.15</v>
      </c>
      <c r="I82" s="3">
        <v>3068.45</v>
      </c>
      <c r="J82" s="3">
        <v>3755.2</v>
      </c>
      <c r="K82" s="3">
        <v>3325.9</v>
      </c>
    </row>
    <row r="83" spans="1:11" s="7" customFormat="1" x14ac:dyDescent="0.3">
      <c r="A83" s="7" t="s">
        <v>48</v>
      </c>
      <c r="B83" s="3">
        <v>-2062.89</v>
      </c>
      <c r="C83" s="3">
        <v>-1264.93</v>
      </c>
      <c r="D83" s="3">
        <v>-949.71</v>
      </c>
      <c r="E83" s="3">
        <v>-4532.5600000000004</v>
      </c>
      <c r="F83" s="3">
        <v>-1303.8800000000001</v>
      </c>
      <c r="G83" s="3">
        <v>-834.17</v>
      </c>
      <c r="H83" s="3">
        <v>-1687.53</v>
      </c>
      <c r="I83" s="3">
        <v>114.39</v>
      </c>
      <c r="J83" s="3">
        <v>-2374.39</v>
      </c>
      <c r="K83" s="3">
        <v>-1858.43</v>
      </c>
    </row>
    <row r="84" spans="1:11" s="7" customFormat="1" x14ac:dyDescent="0.3">
      <c r="A84" s="7" t="s">
        <v>49</v>
      </c>
      <c r="B84" s="3">
        <v>717.77</v>
      </c>
      <c r="C84" s="3">
        <v>-265.63</v>
      </c>
      <c r="D84" s="3">
        <v>164.78</v>
      </c>
      <c r="E84" s="3">
        <v>3104.06</v>
      </c>
      <c r="F84" s="3">
        <v>-1325.68</v>
      </c>
      <c r="G84" s="3">
        <v>-385.48</v>
      </c>
      <c r="H84" s="3">
        <v>-348.72</v>
      </c>
      <c r="I84" s="3">
        <v>-2948.82</v>
      </c>
      <c r="J84" s="3">
        <v>-1239.51</v>
      </c>
      <c r="K84" s="3">
        <v>-1599.79</v>
      </c>
    </row>
    <row r="85" spans="1:11" s="1" customFormat="1" x14ac:dyDescent="0.3">
      <c r="A85" s="7" t="s">
        <v>50</v>
      </c>
      <c r="B85" s="3">
        <v>52.55</v>
      </c>
      <c r="C85" s="3">
        <v>32.75</v>
      </c>
      <c r="D85" s="3">
        <v>388.5</v>
      </c>
      <c r="E85" s="3">
        <v>312.31</v>
      </c>
      <c r="F85" s="3">
        <v>-247.8</v>
      </c>
      <c r="G85" s="3">
        <v>243.11</v>
      </c>
      <c r="H85" s="3">
        <v>-345.1</v>
      </c>
      <c r="I85" s="3">
        <v>234.02</v>
      </c>
      <c r="J85" s="3">
        <v>141.30000000000001</v>
      </c>
      <c r="K85" s="3">
        <v>-132.32</v>
      </c>
    </row>
    <row r="86" spans="1:11" x14ac:dyDescent="0.3">
      <c r="A86" s="7"/>
    </row>
    <row r="87" spans="1:11" x14ac:dyDescent="0.3">
      <c r="A87" s="7"/>
    </row>
    <row r="88" spans="1:11" x14ac:dyDescent="0.3">
      <c r="A88" s="7"/>
    </row>
    <row r="89" spans="1:11" x14ac:dyDescent="0.3">
      <c r="A89" s="7"/>
    </row>
    <row r="90" spans="1:11" s="1" customFormat="1" x14ac:dyDescent="0.3">
      <c r="A90" s="1" t="s">
        <v>51</v>
      </c>
      <c r="B90" s="3">
        <v>379.75</v>
      </c>
      <c r="C90" s="3">
        <v>382.8</v>
      </c>
      <c r="D90" s="3">
        <v>712.45</v>
      </c>
      <c r="E90" s="3">
        <v>511.95</v>
      </c>
      <c r="F90" s="3">
        <v>592.95000000000005</v>
      </c>
      <c r="G90" s="3">
        <v>545.45000000000005</v>
      </c>
      <c r="H90" s="3">
        <v>528.9</v>
      </c>
      <c r="I90" s="3">
        <v>422.85</v>
      </c>
      <c r="J90" s="3">
        <v>815.1</v>
      </c>
      <c r="K90" s="3">
        <v>1018.05</v>
      </c>
    </row>
    <row r="92" spans="1:11" s="1" customFormat="1" x14ac:dyDescent="0.3">
      <c r="A92" s="1" t="s">
        <v>52</v>
      </c>
    </row>
    <row r="93" spans="1:11" x14ac:dyDescent="0.3">
      <c r="A93" s="2" t="s">
        <v>53</v>
      </c>
      <c r="B93" s="8">
        <v>80.290000000000006</v>
      </c>
      <c r="C93" s="8">
        <v>80.290000000000006</v>
      </c>
      <c r="D93" s="8">
        <v>80.3</v>
      </c>
      <c r="E93" s="8">
        <v>80.34</v>
      </c>
      <c r="F93" s="8">
        <v>80.45</v>
      </c>
      <c r="G93" s="8">
        <v>80.510000000000005</v>
      </c>
      <c r="H93" s="8">
        <v>80.569999999999993</v>
      </c>
      <c r="I93" s="8">
        <v>80.62</v>
      </c>
      <c r="J93" s="8">
        <v>80.650000000000006</v>
      </c>
      <c r="K93" s="8">
        <v>80.680000000000007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395783FE-8CC2-41A9-9AFE-FD8C767BA304}"/>
  </hyperlinks>
  <pageMargins left="0.70866141732283472" right="0.70866141732283472" top="0.74803149606299213" bottom="0.74803149606299213" header="0.31496062992125984" footer="0.31496062992125984"/>
  <pageSetup paperSize="9" scale="35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F617-A309-4838-9214-6EC5A5F65068}">
  <sheetPr>
    <tabColor rgb="FFC00000"/>
    <pageSetUpPr fitToPage="1"/>
  </sheetPr>
  <dimension ref="B2:L12"/>
  <sheetViews>
    <sheetView showGridLines="0" tabSelected="1" zoomScale="69" zoomScaleNormal="69" workbookViewId="0">
      <selection activeCell="E34" sqref="E34"/>
    </sheetView>
  </sheetViews>
  <sheetFormatPr defaultRowHeight="14.4" x14ac:dyDescent="0.3"/>
  <cols>
    <col min="1" max="1" width="1.88671875" customWidth="1"/>
    <col min="2" max="2" width="5.44140625" bestFit="1" customWidth="1"/>
    <col min="3" max="3" width="16.21875" bestFit="1" customWidth="1"/>
    <col min="4" max="4" width="8.5546875" bestFit="1" customWidth="1"/>
    <col min="5" max="5" width="15.88671875" bestFit="1" customWidth="1"/>
    <col min="6" max="6" width="10.109375" customWidth="1"/>
    <col min="7" max="7" width="13.6640625" bestFit="1" customWidth="1"/>
    <col min="8" max="8" width="10" bestFit="1" customWidth="1"/>
    <col min="9" max="9" width="10.33203125" bestFit="1" customWidth="1"/>
    <col min="10" max="10" width="14" bestFit="1" customWidth="1"/>
    <col min="11" max="11" width="12.6640625" bestFit="1" customWidth="1"/>
    <col min="12" max="12" width="13.6640625" bestFit="1" customWidth="1"/>
  </cols>
  <sheetData>
    <row r="2" spans="2:12" x14ac:dyDescent="0.3"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67</v>
      </c>
      <c r="K2" t="s">
        <v>177</v>
      </c>
      <c r="L2" t="s">
        <v>178</v>
      </c>
    </row>
    <row r="3" spans="2:12" x14ac:dyDescent="0.3">
      <c r="B3">
        <v>4</v>
      </c>
      <c r="C3" t="s">
        <v>162</v>
      </c>
      <c r="D3">
        <v>915.75</v>
      </c>
      <c r="E3">
        <v>80.72</v>
      </c>
      <c r="F3">
        <v>1067.6600000000001</v>
      </c>
      <c r="G3">
        <v>1928.48</v>
      </c>
      <c r="H3">
        <v>73147.899999999994</v>
      </c>
      <c r="I3">
        <v>22274.15</v>
      </c>
      <c r="J3">
        <v>0.22</v>
      </c>
      <c r="K3">
        <v>2682.08</v>
      </c>
      <c r="L3">
        <v>73914.820000000007</v>
      </c>
    </row>
    <row r="4" spans="2:12" x14ac:dyDescent="0.3">
      <c r="B4">
        <v>1</v>
      </c>
      <c r="C4" t="s">
        <v>159</v>
      </c>
      <c r="D4">
        <v>1003.5</v>
      </c>
      <c r="E4">
        <v>239.93</v>
      </c>
      <c r="F4">
        <v>4365.53</v>
      </c>
      <c r="G4">
        <v>5033.3500000000004</v>
      </c>
      <c r="H4">
        <v>239777.71</v>
      </c>
      <c r="I4">
        <v>42401.77</v>
      </c>
      <c r="J4">
        <v>0.27</v>
      </c>
      <c r="K4">
        <v>4302.66</v>
      </c>
      <c r="L4">
        <v>240773.26</v>
      </c>
    </row>
    <row r="5" spans="2:12" x14ac:dyDescent="0.3">
      <c r="B5">
        <v>2</v>
      </c>
      <c r="C5" t="s">
        <v>160</v>
      </c>
      <c r="D5">
        <v>3183.95</v>
      </c>
      <c r="E5">
        <v>26.55</v>
      </c>
      <c r="F5">
        <v>3.29</v>
      </c>
      <c r="G5">
        <v>2818.88</v>
      </c>
      <c r="H5">
        <v>81190.53</v>
      </c>
      <c r="I5">
        <v>8335.18</v>
      </c>
      <c r="J5">
        <v>0.4</v>
      </c>
      <c r="K5">
        <v>2397.0500000000002</v>
      </c>
      <c r="L5">
        <v>84523.87</v>
      </c>
    </row>
    <row r="6" spans="2:12" x14ac:dyDescent="0.3">
      <c r="B6">
        <v>3</v>
      </c>
      <c r="C6" t="s">
        <v>161</v>
      </c>
      <c r="D6">
        <v>4852.8999999999996</v>
      </c>
      <c r="E6">
        <v>16.649999999999999</v>
      </c>
      <c r="F6">
        <v>1728.9</v>
      </c>
      <c r="G6">
        <v>2419.1999999999998</v>
      </c>
      <c r="H6">
        <v>81165.11</v>
      </c>
      <c r="I6">
        <v>23829.5</v>
      </c>
      <c r="J6">
        <v>0.27</v>
      </c>
      <c r="K6">
        <v>3644.1</v>
      </c>
      <c r="L6">
        <v>80814.41</v>
      </c>
    </row>
    <row r="7" spans="2:12" x14ac:dyDescent="0.3">
      <c r="B7">
        <v>5</v>
      </c>
      <c r="C7" t="s">
        <v>163</v>
      </c>
      <c r="D7">
        <v>1577.55</v>
      </c>
      <c r="E7">
        <v>33.840000000000003</v>
      </c>
      <c r="F7">
        <v>4083</v>
      </c>
      <c r="G7">
        <v>403.41</v>
      </c>
      <c r="H7">
        <v>57126.46</v>
      </c>
      <c r="I7">
        <v>9260</v>
      </c>
      <c r="J7">
        <v>0.3</v>
      </c>
      <c r="K7">
        <v>831</v>
      </c>
      <c r="L7">
        <v>53391.46</v>
      </c>
    </row>
    <row r="8" spans="2:12" x14ac:dyDescent="0.3">
      <c r="B8">
        <v>6</v>
      </c>
      <c r="C8" t="s">
        <v>164</v>
      </c>
      <c r="D8">
        <v>503.65</v>
      </c>
      <c r="E8">
        <v>101.22</v>
      </c>
      <c r="F8">
        <v>2446</v>
      </c>
      <c r="G8">
        <v>1106.9000000000001</v>
      </c>
      <c r="H8">
        <v>52641.96</v>
      </c>
      <c r="I8">
        <v>16433.5</v>
      </c>
      <c r="J8">
        <v>0.22</v>
      </c>
      <c r="K8">
        <v>2187</v>
      </c>
      <c r="L8">
        <v>50979.66</v>
      </c>
    </row>
    <row r="9" spans="2:12" x14ac:dyDescent="0.3">
      <c r="B9">
        <v>7</v>
      </c>
      <c r="C9" t="s">
        <v>165</v>
      </c>
      <c r="D9">
        <v>22493.7</v>
      </c>
      <c r="E9">
        <v>2.12</v>
      </c>
      <c r="F9">
        <v>128.86000000000001</v>
      </c>
      <c r="G9">
        <v>2749.22</v>
      </c>
      <c r="H9">
        <v>46145.56</v>
      </c>
      <c r="I9">
        <v>5265.35</v>
      </c>
      <c r="J9">
        <v>0.26</v>
      </c>
      <c r="K9">
        <v>929.4</v>
      </c>
      <c r="L9">
        <v>47799.11</v>
      </c>
    </row>
    <row r="10" spans="2:12" x14ac:dyDescent="0.3">
      <c r="B10">
        <v>8</v>
      </c>
      <c r="C10" t="s">
        <v>166</v>
      </c>
      <c r="D10">
        <v>3345.05</v>
      </c>
      <c r="E10">
        <v>11.96</v>
      </c>
      <c r="F10">
        <v>1854.59</v>
      </c>
      <c r="G10">
        <v>2578.58</v>
      </c>
      <c r="H10">
        <v>39217.379999999997</v>
      </c>
      <c r="I10">
        <v>11180.52</v>
      </c>
      <c r="J10">
        <v>0.16</v>
      </c>
      <c r="K10">
        <v>1047.3399999999999</v>
      </c>
      <c r="L10">
        <v>39995.089999999997</v>
      </c>
    </row>
    <row r="11" spans="2:12" x14ac:dyDescent="0.3">
      <c r="B11">
        <v>9</v>
      </c>
      <c r="C11" t="s">
        <v>167</v>
      </c>
      <c r="D11">
        <v>565.95000000000005</v>
      </c>
      <c r="E11">
        <v>58.59</v>
      </c>
      <c r="F11">
        <v>4501.21</v>
      </c>
      <c r="G11">
        <v>4190.01</v>
      </c>
      <c r="H11">
        <v>32257.98</v>
      </c>
      <c r="I11">
        <v>24191.79</v>
      </c>
      <c r="J11">
        <v>0.16</v>
      </c>
      <c r="K11">
        <v>1997.9</v>
      </c>
      <c r="L11">
        <v>33161.199999999997</v>
      </c>
    </row>
    <row r="12" spans="2:12" x14ac:dyDescent="0.3">
      <c r="B12">
        <v>10</v>
      </c>
      <c r="C12" t="s">
        <v>168</v>
      </c>
      <c r="D12">
        <v>671.4</v>
      </c>
      <c r="E12">
        <v>45.5</v>
      </c>
      <c r="F12">
        <v>4388.95</v>
      </c>
      <c r="G12">
        <v>1098.1300000000001</v>
      </c>
      <c r="H12">
        <v>33961.660000000003</v>
      </c>
      <c r="I12">
        <v>16094.61</v>
      </c>
      <c r="J12">
        <v>0.1</v>
      </c>
      <c r="K12">
        <v>-306.43</v>
      </c>
      <c r="L12">
        <v>30547.45</v>
      </c>
    </row>
  </sheetData>
  <pageMargins left="0.70866141732283472" right="0.70866141732283472" top="0.74803149606299213" bottom="0.74803149606299213" header="0.31496062992125984" footer="0.31496062992125984"/>
  <pageSetup paperSize="9" scale="9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FA3A-2993-4BFA-9398-CB2B1C40CBD7}">
  <sheetPr>
    <tabColor rgb="FFC00000"/>
    <pageSetUpPr fitToPage="1"/>
  </sheetPr>
  <dimension ref="B2:L12"/>
  <sheetViews>
    <sheetView showGridLines="0" tabSelected="1" topLeftCell="G1" zoomScale="69" zoomScaleNormal="69" workbookViewId="0">
      <selection activeCell="E34" sqref="E34"/>
    </sheetView>
  </sheetViews>
  <sheetFormatPr defaultRowHeight="14.4" x14ac:dyDescent="0.3"/>
  <cols>
    <col min="1" max="1" width="1.88671875" customWidth="1"/>
    <col min="3" max="3" width="16.21875" bestFit="1" customWidth="1"/>
    <col min="4" max="6" width="11.77734375" customWidth="1"/>
    <col min="7" max="7" width="10.109375" bestFit="1" customWidth="1"/>
    <col min="8" max="8" width="13.6640625" bestFit="1" customWidth="1"/>
    <col min="9" max="11" width="11.77734375" customWidth="1"/>
    <col min="12" max="12" width="12.6640625" bestFit="1" customWidth="1"/>
  </cols>
  <sheetData>
    <row r="2" spans="2:12" x14ac:dyDescent="0.3">
      <c r="B2" t="s">
        <v>169</v>
      </c>
      <c r="C2" t="s">
        <v>170</v>
      </c>
      <c r="D2" s="146" t="s">
        <v>171</v>
      </c>
      <c r="E2" s="146" t="s">
        <v>172</v>
      </c>
      <c r="F2" s="146" t="s">
        <v>348</v>
      </c>
      <c r="G2" s="146" t="s">
        <v>173</v>
      </c>
      <c r="H2" s="146" t="s">
        <v>174</v>
      </c>
      <c r="I2" s="146" t="s">
        <v>349</v>
      </c>
      <c r="J2" s="146" t="s">
        <v>176</v>
      </c>
      <c r="K2" s="146" t="s">
        <v>66</v>
      </c>
      <c r="L2" s="146" t="s">
        <v>177</v>
      </c>
    </row>
    <row r="3" spans="2:12" x14ac:dyDescent="0.3">
      <c r="B3">
        <v>4</v>
      </c>
      <c r="C3" t="s">
        <v>162</v>
      </c>
      <c r="D3">
        <v>908.5</v>
      </c>
      <c r="E3">
        <v>80.72</v>
      </c>
      <c r="F3">
        <f>D3*E3</f>
        <v>73334.12</v>
      </c>
      <c r="G3">
        <v>1067.6600000000001</v>
      </c>
      <c r="H3">
        <v>1928.48</v>
      </c>
      <c r="I3">
        <f>F3+H3-G3</f>
        <v>74194.939999999988</v>
      </c>
      <c r="J3">
        <v>22274.15</v>
      </c>
      <c r="K3">
        <v>4900.3130000000001</v>
      </c>
      <c r="L3">
        <v>2682.08</v>
      </c>
    </row>
    <row r="4" spans="2:12" x14ac:dyDescent="0.3">
      <c r="B4">
        <v>1</v>
      </c>
      <c r="C4" t="s">
        <v>159</v>
      </c>
      <c r="D4">
        <v>994.1</v>
      </c>
      <c r="E4">
        <v>239.93</v>
      </c>
      <c r="F4">
        <f>D4*E4</f>
        <v>238514.413</v>
      </c>
      <c r="G4">
        <v>4365.53</v>
      </c>
      <c r="H4">
        <v>5033.3500000000004</v>
      </c>
      <c r="I4">
        <f>F4+H4-G4</f>
        <v>239182.23300000001</v>
      </c>
      <c r="J4">
        <v>42401.77</v>
      </c>
      <c r="K4">
        <v>11448.4779</v>
      </c>
      <c r="L4">
        <v>4302.66</v>
      </c>
    </row>
    <row r="5" spans="2:12" x14ac:dyDescent="0.3">
      <c r="B5">
        <v>2</v>
      </c>
      <c r="C5" t="s">
        <v>160</v>
      </c>
      <c r="D5">
        <v>3175.4</v>
      </c>
      <c r="E5">
        <v>26.55</v>
      </c>
      <c r="F5">
        <f t="shared" ref="F5:F12" si="0">D5*E5</f>
        <v>84306.87000000001</v>
      </c>
      <c r="G5">
        <v>3.29</v>
      </c>
      <c r="H5">
        <v>2818.88</v>
      </c>
      <c r="I5">
        <f t="shared" ref="I5:J12" si="1">F5+H5-G5</f>
        <v>87122.460000000021</v>
      </c>
      <c r="J5">
        <v>8335.18</v>
      </c>
      <c r="K5">
        <v>3334.0720000000001</v>
      </c>
      <c r="L5">
        <v>2397.0500000000002</v>
      </c>
    </row>
    <row r="6" spans="2:12" x14ac:dyDescent="0.3">
      <c r="B6">
        <v>3</v>
      </c>
      <c r="C6" t="s">
        <v>161</v>
      </c>
      <c r="D6">
        <v>4905.75</v>
      </c>
      <c r="E6">
        <v>16.649999999999999</v>
      </c>
      <c r="F6">
        <f t="shared" si="0"/>
        <v>81680.737499999988</v>
      </c>
      <c r="G6">
        <v>1728.9</v>
      </c>
      <c r="H6">
        <v>2419.1999999999998</v>
      </c>
      <c r="I6">
        <f t="shared" si="1"/>
        <v>82371.037499999991</v>
      </c>
      <c r="J6">
        <v>23829.5</v>
      </c>
      <c r="K6">
        <v>6433.9650000000001</v>
      </c>
      <c r="L6">
        <v>3644.1</v>
      </c>
    </row>
    <row r="7" spans="2:12" x14ac:dyDescent="0.3">
      <c r="B7">
        <v>5</v>
      </c>
      <c r="C7" t="s">
        <v>163</v>
      </c>
      <c r="D7">
        <v>1609.55</v>
      </c>
      <c r="E7">
        <v>33.840000000000003</v>
      </c>
      <c r="F7">
        <f t="shared" si="0"/>
        <v>54467.172000000006</v>
      </c>
      <c r="G7">
        <v>4083</v>
      </c>
      <c r="H7">
        <v>403.41</v>
      </c>
      <c r="I7">
        <f t="shared" si="1"/>
        <v>50787.582000000009</v>
      </c>
      <c r="J7">
        <v>9260</v>
      </c>
      <c r="K7">
        <v>2778</v>
      </c>
      <c r="L7">
        <v>831</v>
      </c>
    </row>
    <row r="8" spans="2:12" x14ac:dyDescent="0.3">
      <c r="B8">
        <v>6</v>
      </c>
      <c r="C8" t="s">
        <v>164</v>
      </c>
      <c r="D8">
        <v>507.4</v>
      </c>
      <c r="E8">
        <v>101.22</v>
      </c>
      <c r="F8">
        <f t="shared" si="0"/>
        <v>51359.027999999998</v>
      </c>
      <c r="G8">
        <v>2446</v>
      </c>
      <c r="H8">
        <v>1106.9000000000001</v>
      </c>
      <c r="I8">
        <f t="shared" si="1"/>
        <v>50019.928</v>
      </c>
      <c r="J8">
        <v>16433.5</v>
      </c>
      <c r="K8">
        <v>3615.37</v>
      </c>
      <c r="L8">
        <v>2187</v>
      </c>
    </row>
    <row r="9" spans="2:12" x14ac:dyDescent="0.3">
      <c r="B9">
        <v>7</v>
      </c>
      <c r="C9" t="s">
        <v>165</v>
      </c>
      <c r="D9">
        <v>22524.85</v>
      </c>
      <c r="E9">
        <v>2.12</v>
      </c>
      <c r="F9">
        <f t="shared" si="0"/>
        <v>47752.682000000001</v>
      </c>
      <c r="G9">
        <v>128.86000000000001</v>
      </c>
      <c r="H9">
        <v>2749.22</v>
      </c>
      <c r="I9">
        <f t="shared" si="1"/>
        <v>50373.042000000001</v>
      </c>
      <c r="J9">
        <v>5265.35</v>
      </c>
      <c r="K9">
        <v>1368.9910000000002</v>
      </c>
      <c r="L9">
        <v>929.4</v>
      </c>
    </row>
    <row r="10" spans="2:12" x14ac:dyDescent="0.3">
      <c r="B10">
        <v>8</v>
      </c>
      <c r="C10" t="s">
        <v>166</v>
      </c>
      <c r="D10">
        <v>3376.4</v>
      </c>
      <c r="E10">
        <v>11.96</v>
      </c>
      <c r="F10">
        <f t="shared" si="0"/>
        <v>40381.744000000006</v>
      </c>
      <c r="G10">
        <v>1854.59</v>
      </c>
      <c r="H10">
        <v>2578.58</v>
      </c>
      <c r="I10">
        <f t="shared" si="1"/>
        <v>41105.734000000011</v>
      </c>
      <c r="J10">
        <v>11180.52</v>
      </c>
      <c r="K10">
        <v>1788.8832000000002</v>
      </c>
      <c r="L10">
        <v>1047.3399999999999</v>
      </c>
    </row>
    <row r="11" spans="2:12" x14ac:dyDescent="0.3">
      <c r="B11">
        <v>9</v>
      </c>
      <c r="C11" t="s">
        <v>167</v>
      </c>
      <c r="D11">
        <v>571.25</v>
      </c>
      <c r="E11">
        <v>58.59</v>
      </c>
      <c r="F11">
        <f t="shared" si="0"/>
        <v>33469.537499999999</v>
      </c>
      <c r="G11">
        <v>4501.21</v>
      </c>
      <c r="H11">
        <v>4190.01</v>
      </c>
      <c r="I11">
        <f t="shared" si="1"/>
        <v>33158.337500000001</v>
      </c>
      <c r="J11">
        <v>24191.79</v>
      </c>
      <c r="K11">
        <v>3870.6864</v>
      </c>
      <c r="L11">
        <v>1997.9</v>
      </c>
    </row>
    <row r="12" spans="2:12" x14ac:dyDescent="0.3">
      <c r="B12">
        <v>10</v>
      </c>
      <c r="C12" t="s">
        <v>168</v>
      </c>
      <c r="D12">
        <v>684.3</v>
      </c>
      <c r="E12">
        <v>45.5</v>
      </c>
      <c r="F12">
        <f t="shared" si="0"/>
        <v>31135.649999999998</v>
      </c>
      <c r="G12">
        <v>4388.95</v>
      </c>
      <c r="H12">
        <v>1098.1300000000001</v>
      </c>
      <c r="I12">
        <f t="shared" si="1"/>
        <v>27844.829999999998</v>
      </c>
      <c r="J12">
        <v>16094.61</v>
      </c>
      <c r="K12">
        <v>1609.4610000000002</v>
      </c>
      <c r="L12">
        <v>-306.43</v>
      </c>
    </row>
  </sheetData>
  <pageMargins left="0.70866141732283472" right="0.70866141732283472" top="0.74803149606299213" bottom="0.74803149606299213" header="0.31496062992125984" footer="0.31496062992125984"/>
  <pageSetup paperSize="9" scale="97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E0AE-0D58-4E7E-8485-4E3B4DA26838}">
  <sheetPr>
    <pageSetUpPr fitToPage="1"/>
  </sheetPr>
  <dimension ref="B2:N82"/>
  <sheetViews>
    <sheetView showGridLines="0" tabSelected="1" view="pageBreakPreview" topLeftCell="B1" zoomScale="69" zoomScaleNormal="62" zoomScaleSheetLayoutView="69" workbookViewId="0">
      <pane xSplit="1" ySplit="2" topLeftCell="C6" activePane="bottomRight" state="frozen"/>
      <selection activeCell="E34" sqref="E34"/>
      <selection pane="topRight" activeCell="E34" sqref="E34"/>
      <selection pane="bottomLeft" activeCell="E34" sqref="E34"/>
      <selection pane="bottomRight" activeCell="E34" sqref="E34"/>
    </sheetView>
  </sheetViews>
  <sheetFormatPr defaultRowHeight="14.4" x14ac:dyDescent="0.3"/>
  <cols>
    <col min="1" max="1" width="1.88671875" customWidth="1"/>
    <col min="2" max="2" width="28.21875" customWidth="1"/>
    <col min="3" max="14" width="10.77734375" customWidth="1"/>
  </cols>
  <sheetData>
    <row r="2" spans="2:14" x14ac:dyDescent="0.3">
      <c r="B2" s="91" t="s">
        <v>254</v>
      </c>
      <c r="C2" s="104">
        <v>40603</v>
      </c>
      <c r="D2" s="104">
        <v>40969</v>
      </c>
      <c r="E2" s="104">
        <v>41334</v>
      </c>
      <c r="F2" s="104">
        <v>41699</v>
      </c>
      <c r="G2" s="104">
        <v>42064</v>
      </c>
      <c r="H2" s="104">
        <v>42430</v>
      </c>
      <c r="I2" s="104">
        <v>42795</v>
      </c>
      <c r="J2" s="104">
        <v>43160</v>
      </c>
      <c r="K2" s="104">
        <v>43525</v>
      </c>
      <c r="L2" s="104">
        <v>43891</v>
      </c>
      <c r="M2" s="104">
        <v>44256</v>
      </c>
      <c r="N2" s="104">
        <v>44621</v>
      </c>
    </row>
    <row r="3" spans="2:14" s="77" customFormat="1" x14ac:dyDescent="0.3">
      <c r="B3" s="105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</row>
    <row r="4" spans="2:14" x14ac:dyDescent="0.3">
      <c r="B4" s="10" t="s">
        <v>256</v>
      </c>
      <c r="C4" s="108">
        <v>161</v>
      </c>
      <c r="D4" s="108">
        <v>161</v>
      </c>
      <c r="E4" s="108">
        <v>161</v>
      </c>
      <c r="F4" s="108">
        <v>161</v>
      </c>
      <c r="G4" s="108">
        <v>161</v>
      </c>
      <c r="H4" s="108">
        <v>161</v>
      </c>
      <c r="I4" s="108">
        <v>161</v>
      </c>
      <c r="J4" s="108">
        <v>161</v>
      </c>
      <c r="K4" s="108">
        <v>161</v>
      </c>
      <c r="L4" s="108">
        <v>161</v>
      </c>
      <c r="M4" s="108">
        <v>161</v>
      </c>
      <c r="N4" s="108">
        <v>161</v>
      </c>
    </row>
    <row r="5" spans="2:14" x14ac:dyDescent="0.3">
      <c r="B5" s="10" t="s">
        <v>32</v>
      </c>
      <c r="C5" s="108">
        <v>6506</v>
      </c>
      <c r="D5" s="108">
        <v>7478</v>
      </c>
      <c r="E5" s="108">
        <v>8858</v>
      </c>
      <c r="F5" s="108">
        <v>9890</v>
      </c>
      <c r="G5" s="108">
        <v>10641</v>
      </c>
      <c r="H5" s="108">
        <v>11356</v>
      </c>
      <c r="I5" s="108">
        <v>12383</v>
      </c>
      <c r="J5" s="108">
        <v>14068</v>
      </c>
      <c r="K5" s="108">
        <v>14851</v>
      </c>
      <c r="L5" s="108">
        <v>15602</v>
      </c>
      <c r="M5" s="108">
        <v>18165</v>
      </c>
      <c r="N5" s="108">
        <v>20680</v>
      </c>
    </row>
    <row r="6" spans="2:14" x14ac:dyDescent="0.3">
      <c r="B6" s="10" t="s">
        <v>284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</row>
    <row r="7" spans="2:14" x14ac:dyDescent="0.3">
      <c r="B7" t="s">
        <v>257</v>
      </c>
      <c r="C7" s="108">
        <v>18</v>
      </c>
      <c r="D7" s="108">
        <v>3</v>
      </c>
      <c r="E7" s="108">
        <v>1</v>
      </c>
      <c r="F7" s="108">
        <v>318</v>
      </c>
      <c r="G7" s="108">
        <v>309</v>
      </c>
      <c r="H7" s="108">
        <v>222</v>
      </c>
      <c r="I7" s="108">
        <v>3645</v>
      </c>
      <c r="J7" s="108">
        <v>3662</v>
      </c>
      <c r="K7" s="108">
        <v>3830</v>
      </c>
      <c r="L7" s="108">
        <v>2369</v>
      </c>
      <c r="M7" s="108">
        <v>1203</v>
      </c>
      <c r="N7" s="108">
        <v>416</v>
      </c>
    </row>
    <row r="8" spans="2:14" x14ac:dyDescent="0.3">
      <c r="B8" t="s">
        <v>258</v>
      </c>
      <c r="C8" s="108">
        <v>523</v>
      </c>
      <c r="D8" s="108">
        <v>10</v>
      </c>
      <c r="E8" s="108">
        <v>966</v>
      </c>
      <c r="F8" s="108">
        <v>910</v>
      </c>
      <c r="G8" s="108">
        <v>1392</v>
      </c>
      <c r="H8" s="108">
        <v>4970</v>
      </c>
      <c r="I8" s="108">
        <v>467</v>
      </c>
      <c r="J8" s="108">
        <v>436</v>
      </c>
      <c r="K8" s="108">
        <v>486</v>
      </c>
      <c r="L8" s="108">
        <v>447</v>
      </c>
      <c r="M8" s="108">
        <v>553</v>
      </c>
      <c r="N8" s="108">
        <v>408</v>
      </c>
    </row>
    <row r="9" spans="2:14" x14ac:dyDescent="0.3">
      <c r="B9" t="s">
        <v>259</v>
      </c>
      <c r="C9" s="108">
        <v>0</v>
      </c>
      <c r="D9" s="108">
        <v>0</v>
      </c>
      <c r="E9" s="108">
        <v>0</v>
      </c>
      <c r="F9" s="108">
        <v>0</v>
      </c>
      <c r="G9" s="108">
        <v>0</v>
      </c>
      <c r="H9" s="108">
        <v>0</v>
      </c>
      <c r="I9" s="108">
        <v>0</v>
      </c>
      <c r="J9" s="108">
        <v>0</v>
      </c>
      <c r="K9" s="108">
        <v>0</v>
      </c>
      <c r="L9" s="108">
        <v>0</v>
      </c>
      <c r="M9" s="108">
        <v>259</v>
      </c>
      <c r="N9" s="108">
        <v>232</v>
      </c>
    </row>
    <row r="10" spans="2:14" x14ac:dyDescent="0.3">
      <c r="B10" t="s">
        <v>260</v>
      </c>
      <c r="C10" s="108">
        <v>31</v>
      </c>
      <c r="D10" s="108">
        <v>16</v>
      </c>
      <c r="E10" s="108">
        <v>0</v>
      </c>
      <c r="F10" s="108">
        <v>20</v>
      </c>
      <c r="G10" s="108">
        <v>2</v>
      </c>
      <c r="H10" s="108">
        <v>10</v>
      </c>
      <c r="I10" s="108">
        <v>0</v>
      </c>
      <c r="J10" s="108">
        <v>0</v>
      </c>
      <c r="K10" s="108">
        <v>0</v>
      </c>
      <c r="L10" s="108">
        <v>0</v>
      </c>
      <c r="M10" s="108">
        <v>0</v>
      </c>
      <c r="N10" s="108">
        <v>0</v>
      </c>
    </row>
    <row r="11" spans="2:14" x14ac:dyDescent="0.3">
      <c r="B11" t="s">
        <v>261</v>
      </c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</row>
    <row r="12" spans="2:14" x14ac:dyDescent="0.3">
      <c r="B12" t="s">
        <v>262</v>
      </c>
      <c r="C12" s="108">
        <v>0</v>
      </c>
      <c r="D12" s="108">
        <v>0</v>
      </c>
      <c r="E12" s="108">
        <v>0</v>
      </c>
      <c r="F12" s="108">
        <v>50</v>
      </c>
      <c r="G12" s="108">
        <v>180</v>
      </c>
      <c r="H12" s="108">
        <v>350</v>
      </c>
      <c r="I12" s="108">
        <v>438</v>
      </c>
      <c r="J12" s="108">
        <v>352</v>
      </c>
      <c r="K12" s="108">
        <v>332</v>
      </c>
      <c r="L12" s="108">
        <v>294</v>
      </c>
      <c r="M12" s="108">
        <v>259</v>
      </c>
      <c r="N12" s="108">
        <v>276</v>
      </c>
    </row>
    <row r="13" spans="2:14" x14ac:dyDescent="0.3">
      <c r="B13" t="s">
        <v>263</v>
      </c>
      <c r="C13" s="108">
        <v>721</v>
      </c>
      <c r="D13" s="108">
        <v>692</v>
      </c>
      <c r="E13" s="108">
        <v>828</v>
      </c>
      <c r="F13" s="108">
        <v>980</v>
      </c>
      <c r="G13" s="108">
        <v>1452</v>
      </c>
      <c r="H13" s="108">
        <v>1476</v>
      </c>
      <c r="I13" s="108">
        <v>1571</v>
      </c>
      <c r="J13" s="108">
        <v>2119</v>
      </c>
      <c r="K13" s="108">
        <v>1948</v>
      </c>
      <c r="L13" s="108">
        <v>2282</v>
      </c>
      <c r="M13" s="108">
        <v>2067</v>
      </c>
      <c r="N13" s="108">
        <v>2508</v>
      </c>
    </row>
    <row r="14" spans="2:14" x14ac:dyDescent="0.3">
      <c r="B14" t="s">
        <v>264</v>
      </c>
      <c r="C14" s="108">
        <v>8</v>
      </c>
      <c r="D14" s="108">
        <v>107</v>
      </c>
      <c r="E14" s="108">
        <v>70</v>
      </c>
      <c r="F14" s="108">
        <v>107</v>
      </c>
      <c r="G14" s="108">
        <v>106</v>
      </c>
      <c r="H14" s="108">
        <v>29</v>
      </c>
      <c r="I14" s="108">
        <v>52</v>
      </c>
      <c r="J14" s="108">
        <v>71</v>
      </c>
      <c r="K14" s="108">
        <v>44</v>
      </c>
      <c r="L14" s="108">
        <v>34</v>
      </c>
      <c r="M14" s="108">
        <v>40</v>
      </c>
      <c r="N14" s="108">
        <v>74</v>
      </c>
    </row>
    <row r="15" spans="2:14" x14ac:dyDescent="0.3">
      <c r="B15" t="s">
        <v>265</v>
      </c>
      <c r="C15" s="109">
        <v>630</v>
      </c>
      <c r="D15" s="109">
        <v>883</v>
      </c>
      <c r="E15" s="109">
        <v>774</v>
      </c>
      <c r="F15" s="109">
        <v>966</v>
      </c>
      <c r="G15" s="109">
        <v>1427</v>
      </c>
      <c r="H15" s="109">
        <v>2476</v>
      </c>
      <c r="I15" s="109">
        <v>2152</v>
      </c>
      <c r="J15" s="109">
        <v>1803</v>
      </c>
      <c r="K15" s="109">
        <v>2109</v>
      </c>
      <c r="L15" s="109">
        <v>2233</v>
      </c>
      <c r="M15" s="109">
        <v>2149</v>
      </c>
      <c r="N15" s="109">
        <v>2102</v>
      </c>
    </row>
    <row r="16" spans="2:14" x14ac:dyDescent="0.3">
      <c r="B16" s="94" t="s">
        <v>82</v>
      </c>
      <c r="C16" s="113">
        <v>8597</v>
      </c>
      <c r="D16" s="113">
        <v>9350</v>
      </c>
      <c r="E16" s="113">
        <v>11658</v>
      </c>
      <c r="F16" s="113">
        <v>13400</v>
      </c>
      <c r="G16" s="113">
        <v>15670</v>
      </c>
      <c r="H16" s="113">
        <v>21049</v>
      </c>
      <c r="I16" s="113">
        <v>20869</v>
      </c>
      <c r="J16" s="113">
        <v>22673</v>
      </c>
      <c r="K16" s="113">
        <v>23762</v>
      </c>
      <c r="L16" s="113">
        <v>23423</v>
      </c>
      <c r="M16" s="113">
        <v>24855</v>
      </c>
      <c r="N16" s="113">
        <v>26857</v>
      </c>
    </row>
    <row r="17" spans="2:14" x14ac:dyDescent="0.3"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2:14" x14ac:dyDescent="0.3">
      <c r="B18" s="10" t="s">
        <v>283</v>
      </c>
    </row>
    <row r="19" spans="2:14" x14ac:dyDescent="0.3">
      <c r="B19" t="s">
        <v>266</v>
      </c>
      <c r="C19" s="108">
        <v>112</v>
      </c>
      <c r="D19" s="108">
        <v>114</v>
      </c>
      <c r="E19" s="108">
        <v>115</v>
      </c>
      <c r="F19" s="108">
        <v>116</v>
      </c>
      <c r="G19" s="108">
        <v>148</v>
      </c>
      <c r="H19" s="108">
        <v>95</v>
      </c>
      <c r="I19" s="108">
        <v>97</v>
      </c>
      <c r="J19" s="108">
        <v>107</v>
      </c>
      <c r="K19" s="108">
        <v>115</v>
      </c>
      <c r="L19" s="108">
        <v>161</v>
      </c>
      <c r="M19" s="108">
        <v>194</v>
      </c>
      <c r="N19" s="108">
        <v>219</v>
      </c>
    </row>
    <row r="20" spans="2:14" x14ac:dyDescent="0.3">
      <c r="B20" t="s">
        <v>267</v>
      </c>
      <c r="C20" s="108">
        <v>1008</v>
      </c>
      <c r="D20" s="108">
        <v>1083</v>
      </c>
      <c r="E20" s="108">
        <v>1499</v>
      </c>
      <c r="F20" s="108">
        <v>1797</v>
      </c>
      <c r="G20" s="108">
        <v>2011</v>
      </c>
      <c r="H20" s="108">
        <v>2033</v>
      </c>
      <c r="I20" s="108">
        <v>2247</v>
      </c>
      <c r="J20" s="108">
        <v>2550</v>
      </c>
      <c r="K20" s="108">
        <v>2547</v>
      </c>
      <c r="L20" s="108">
        <v>2866</v>
      </c>
      <c r="M20" s="108">
        <v>2805</v>
      </c>
      <c r="N20" s="108">
        <v>3051</v>
      </c>
    </row>
    <row r="21" spans="2:14" x14ac:dyDescent="0.3">
      <c r="B21" t="s">
        <v>268</v>
      </c>
      <c r="C21" s="108">
        <v>2953</v>
      </c>
      <c r="D21" s="108">
        <v>3240</v>
      </c>
      <c r="E21" s="108">
        <v>3491</v>
      </c>
      <c r="F21" s="108">
        <v>3983</v>
      </c>
      <c r="G21" s="108">
        <v>4389</v>
      </c>
      <c r="H21" s="108">
        <v>2776</v>
      </c>
      <c r="I21" s="108">
        <v>3476</v>
      </c>
      <c r="J21" s="108">
        <v>4168</v>
      </c>
      <c r="K21" s="108">
        <v>4585</v>
      </c>
      <c r="L21" s="108">
        <v>4916</v>
      </c>
      <c r="M21" s="108">
        <v>5291</v>
      </c>
      <c r="N21" s="108">
        <v>5811</v>
      </c>
    </row>
    <row r="22" spans="2:14" x14ac:dyDescent="0.3">
      <c r="B22" t="s">
        <v>269</v>
      </c>
      <c r="C22" s="108">
        <v>51</v>
      </c>
      <c r="D22" s="108">
        <v>61</v>
      </c>
      <c r="E22" s="108">
        <v>75</v>
      </c>
      <c r="F22" s="108">
        <v>100</v>
      </c>
      <c r="G22" s="108">
        <v>114</v>
      </c>
      <c r="H22" s="108">
        <v>66</v>
      </c>
      <c r="I22" s="108">
        <v>77</v>
      </c>
      <c r="J22" s="108">
        <v>93</v>
      </c>
      <c r="K22" s="108">
        <v>98</v>
      </c>
      <c r="L22" s="108">
        <v>103</v>
      </c>
      <c r="M22" s="108">
        <v>92</v>
      </c>
      <c r="N22" s="108">
        <v>99</v>
      </c>
    </row>
    <row r="23" spans="2:14" x14ac:dyDescent="0.3">
      <c r="B23" t="s">
        <v>270</v>
      </c>
      <c r="C23" s="108">
        <v>0</v>
      </c>
      <c r="D23" s="108">
        <v>0</v>
      </c>
      <c r="E23" s="108">
        <v>0</v>
      </c>
      <c r="F23" s="108">
        <v>0</v>
      </c>
      <c r="G23" s="108">
        <v>0</v>
      </c>
      <c r="H23" s="108">
        <v>0</v>
      </c>
      <c r="I23" s="108">
        <v>0</v>
      </c>
      <c r="J23" s="108">
        <v>0</v>
      </c>
      <c r="K23" s="108">
        <v>0</v>
      </c>
      <c r="L23" s="108">
        <v>35</v>
      </c>
      <c r="M23" s="108">
        <v>8</v>
      </c>
      <c r="N23" s="108">
        <v>1</v>
      </c>
    </row>
    <row r="24" spans="2:14" x14ac:dyDescent="0.3">
      <c r="B24" t="s">
        <v>271</v>
      </c>
      <c r="C24" s="108">
        <v>108</v>
      </c>
      <c r="D24" s="108">
        <v>120</v>
      </c>
      <c r="E24" s="108">
        <v>128</v>
      </c>
      <c r="F24" s="108">
        <v>160</v>
      </c>
      <c r="G24" s="108">
        <v>176</v>
      </c>
      <c r="H24" s="108">
        <v>104</v>
      </c>
      <c r="I24" s="108">
        <v>122</v>
      </c>
      <c r="J24" s="108">
        <v>138</v>
      </c>
      <c r="K24" s="108">
        <v>150</v>
      </c>
      <c r="L24" s="108">
        <v>156</v>
      </c>
      <c r="M24" s="108">
        <v>147</v>
      </c>
      <c r="N24" s="108">
        <v>156</v>
      </c>
    </row>
    <row r="25" spans="2:14" x14ac:dyDescent="0.3">
      <c r="B25" t="s">
        <v>272</v>
      </c>
      <c r="C25" s="108">
        <v>9</v>
      </c>
      <c r="D25" s="108">
        <v>10</v>
      </c>
      <c r="E25" s="108">
        <v>10</v>
      </c>
      <c r="F25" s="108">
        <v>16</v>
      </c>
      <c r="G25" s="108">
        <v>20</v>
      </c>
      <c r="H25" s="108">
        <v>10</v>
      </c>
      <c r="I25" s="108">
        <v>13</v>
      </c>
      <c r="J25" s="108">
        <v>10</v>
      </c>
      <c r="K25" s="108">
        <v>11</v>
      </c>
      <c r="L25" s="108">
        <v>13</v>
      </c>
      <c r="M25" s="108">
        <v>12</v>
      </c>
      <c r="N25" s="108">
        <v>14</v>
      </c>
    </row>
    <row r="26" spans="2:14" x14ac:dyDescent="0.3">
      <c r="B26" t="s">
        <v>273</v>
      </c>
      <c r="C26" s="108">
        <v>0</v>
      </c>
      <c r="D26" s="108">
        <v>0</v>
      </c>
      <c r="E26" s="108">
        <v>0</v>
      </c>
      <c r="F26" s="108">
        <v>2493</v>
      </c>
      <c r="G26" s="108">
        <v>2569</v>
      </c>
      <c r="H26" s="108">
        <v>3874</v>
      </c>
      <c r="I26" s="108">
        <v>4003</v>
      </c>
      <c r="J26" s="108">
        <v>3134</v>
      </c>
      <c r="K26" s="108">
        <v>3427</v>
      </c>
      <c r="L26" s="108">
        <v>3566</v>
      </c>
      <c r="M26" s="108">
        <v>3779</v>
      </c>
      <c r="N26" s="108">
        <v>3951</v>
      </c>
    </row>
    <row r="27" spans="2:14" x14ac:dyDescent="0.3">
      <c r="B27" t="s">
        <v>274</v>
      </c>
      <c r="C27" s="108">
        <v>0</v>
      </c>
      <c r="D27" s="108">
        <v>0</v>
      </c>
      <c r="E27" s="108">
        <v>0</v>
      </c>
      <c r="F27" s="108">
        <v>12</v>
      </c>
      <c r="G27" s="108">
        <v>135</v>
      </c>
      <c r="H27" s="108">
        <v>1209</v>
      </c>
      <c r="I27" s="108">
        <v>1319</v>
      </c>
      <c r="J27" s="108">
        <v>2760</v>
      </c>
      <c r="K27" s="108">
        <v>2925</v>
      </c>
      <c r="L27" s="108">
        <v>3336</v>
      </c>
      <c r="M27" s="108">
        <v>3458</v>
      </c>
      <c r="N27" s="108">
        <v>3666</v>
      </c>
    </row>
    <row r="28" spans="2:14" s="10" customFormat="1" x14ac:dyDescent="0.3">
      <c r="B28" s="10" t="s">
        <v>275</v>
      </c>
      <c r="C28" s="114">
        <v>4241</v>
      </c>
      <c r="D28" s="114">
        <v>4626</v>
      </c>
      <c r="E28" s="114">
        <v>5318</v>
      </c>
      <c r="F28" s="114">
        <v>8676</v>
      </c>
      <c r="G28" s="114">
        <v>9562</v>
      </c>
      <c r="H28" s="114">
        <v>10168</v>
      </c>
      <c r="I28" s="114">
        <v>11355</v>
      </c>
      <c r="J28" s="114">
        <v>12961</v>
      </c>
      <c r="K28" s="114">
        <v>13858</v>
      </c>
      <c r="L28" s="114">
        <v>15151</v>
      </c>
      <c r="M28" s="114">
        <v>15787</v>
      </c>
      <c r="N28" s="114">
        <v>16968</v>
      </c>
    </row>
    <row r="29" spans="2:14" x14ac:dyDescent="0.3">
      <c r="B29" t="s">
        <v>276</v>
      </c>
      <c r="C29" s="115">
        <v>1146</v>
      </c>
      <c r="D29" s="115">
        <v>1411</v>
      </c>
      <c r="E29" s="115">
        <v>1708</v>
      </c>
      <c r="F29" s="115">
        <v>2180</v>
      </c>
      <c r="G29" s="115">
        <v>2732</v>
      </c>
      <c r="H29" s="115">
        <v>799</v>
      </c>
      <c r="I29" s="115">
        <v>1863</v>
      </c>
      <c r="J29" s="115">
        <v>3011</v>
      </c>
      <c r="K29" s="115">
        <v>4250</v>
      </c>
      <c r="L29" s="115">
        <v>5468</v>
      </c>
      <c r="M29" s="115">
        <v>6271</v>
      </c>
      <c r="N29" s="115">
        <v>7285</v>
      </c>
    </row>
    <row r="30" spans="2:14" x14ac:dyDescent="0.3">
      <c r="B30" s="94" t="s">
        <v>36</v>
      </c>
      <c r="C30" s="113">
        <f>C28-C29</f>
        <v>3095</v>
      </c>
      <c r="D30" s="113">
        <f t="shared" ref="D30:N30" si="0">D28-D29</f>
        <v>3215</v>
      </c>
      <c r="E30" s="113">
        <f t="shared" si="0"/>
        <v>3610</v>
      </c>
      <c r="F30" s="113">
        <f t="shared" si="0"/>
        <v>6496</v>
      </c>
      <c r="G30" s="113">
        <f t="shared" si="0"/>
        <v>6830</v>
      </c>
      <c r="H30" s="113">
        <f t="shared" si="0"/>
        <v>9369</v>
      </c>
      <c r="I30" s="113">
        <f t="shared" si="0"/>
        <v>9492</v>
      </c>
      <c r="J30" s="113">
        <f t="shared" si="0"/>
        <v>9950</v>
      </c>
      <c r="K30" s="113">
        <f t="shared" si="0"/>
        <v>9608</v>
      </c>
      <c r="L30" s="113">
        <f t="shared" si="0"/>
        <v>9683</v>
      </c>
      <c r="M30" s="113">
        <f t="shared" si="0"/>
        <v>9516</v>
      </c>
      <c r="N30" s="113">
        <f t="shared" si="0"/>
        <v>9683</v>
      </c>
    </row>
    <row r="31" spans="2:14" x14ac:dyDescent="0.3"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</row>
    <row r="32" spans="2:14" x14ac:dyDescent="0.3">
      <c r="B32" s="10" t="s">
        <v>277</v>
      </c>
      <c r="C32" s="108">
        <v>285</v>
      </c>
      <c r="D32" s="108">
        <v>371</v>
      </c>
      <c r="E32" s="108">
        <v>378</v>
      </c>
      <c r="F32" s="108">
        <v>442</v>
      </c>
      <c r="G32" s="108">
        <v>581</v>
      </c>
      <c r="H32" s="108">
        <v>2061</v>
      </c>
      <c r="I32" s="108">
        <v>1683</v>
      </c>
      <c r="J32" s="108">
        <v>981</v>
      </c>
      <c r="K32" s="108">
        <v>676</v>
      </c>
      <c r="L32" s="108">
        <v>825</v>
      </c>
      <c r="M32" s="108">
        <v>969</v>
      </c>
      <c r="N32" s="108">
        <v>766</v>
      </c>
    </row>
    <row r="33" spans="2:14" x14ac:dyDescent="0.3">
      <c r="B33" s="10" t="s">
        <v>38</v>
      </c>
      <c r="C33" s="108">
        <v>591</v>
      </c>
      <c r="D33" s="108">
        <v>1269</v>
      </c>
      <c r="E33" s="108">
        <v>2532</v>
      </c>
      <c r="F33" s="108">
        <v>709</v>
      </c>
      <c r="G33" s="108">
        <v>640</v>
      </c>
      <c r="H33" s="108">
        <v>759</v>
      </c>
      <c r="I33" s="108">
        <v>973</v>
      </c>
      <c r="J33" s="108">
        <v>1259</v>
      </c>
      <c r="K33" s="108">
        <v>2554</v>
      </c>
      <c r="L33" s="108">
        <v>1471</v>
      </c>
      <c r="M33" s="108">
        <v>2710</v>
      </c>
      <c r="N33" s="108">
        <v>2551</v>
      </c>
    </row>
    <row r="34" spans="2:14" x14ac:dyDescent="0.3"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</row>
    <row r="35" spans="2:14" x14ac:dyDescent="0.3">
      <c r="B35" s="10" t="s">
        <v>282</v>
      </c>
    </row>
    <row r="36" spans="2:14" x14ac:dyDescent="0.3">
      <c r="C36" s="108">
        <v>1906</v>
      </c>
      <c r="D36" s="108">
        <v>1850</v>
      </c>
      <c r="E36" s="108">
        <v>2387</v>
      </c>
      <c r="F36" s="108">
        <v>2895</v>
      </c>
      <c r="G36" s="108">
        <v>3781</v>
      </c>
      <c r="H36" s="108">
        <v>3808</v>
      </c>
      <c r="I36" s="108">
        <v>3485</v>
      </c>
      <c r="J36" s="108">
        <v>4045</v>
      </c>
      <c r="K36" s="108">
        <v>3965</v>
      </c>
      <c r="L36" s="108">
        <v>4378</v>
      </c>
      <c r="M36" s="108">
        <v>4669</v>
      </c>
      <c r="N36" s="108">
        <v>5350</v>
      </c>
    </row>
    <row r="37" spans="2:14" x14ac:dyDescent="0.3">
      <c r="B37" t="s">
        <v>278</v>
      </c>
      <c r="C37" s="108">
        <v>1491</v>
      </c>
      <c r="D37" s="108">
        <v>1554</v>
      </c>
      <c r="E37" s="108">
        <v>1669</v>
      </c>
      <c r="F37" s="108">
        <v>1639</v>
      </c>
      <c r="G37" s="108">
        <v>1998</v>
      </c>
      <c r="H37" s="108">
        <v>2356</v>
      </c>
      <c r="I37" s="108">
        <v>2563</v>
      </c>
      <c r="J37" s="108">
        <v>3102</v>
      </c>
      <c r="K37" s="108">
        <v>4151</v>
      </c>
      <c r="L37" s="108">
        <v>3891</v>
      </c>
      <c r="M37" s="108">
        <v>3446</v>
      </c>
      <c r="N37" s="108">
        <v>3424</v>
      </c>
    </row>
    <row r="38" spans="2:14" x14ac:dyDescent="0.3">
      <c r="B38" t="s">
        <v>279</v>
      </c>
      <c r="C38" s="108">
        <v>96</v>
      </c>
      <c r="D38" s="108">
        <v>90</v>
      </c>
      <c r="E38" s="108">
        <v>143</v>
      </c>
      <c r="F38" s="108">
        <v>176</v>
      </c>
      <c r="G38" s="108">
        <v>564</v>
      </c>
      <c r="H38" s="108">
        <v>871</v>
      </c>
      <c r="I38" s="108">
        <v>624</v>
      </c>
      <c r="J38" s="108">
        <v>966</v>
      </c>
      <c r="K38" s="108">
        <v>619</v>
      </c>
      <c r="L38" s="108">
        <v>1004</v>
      </c>
      <c r="M38" s="108">
        <v>1401</v>
      </c>
      <c r="N38" s="108">
        <v>1928</v>
      </c>
    </row>
    <row r="39" spans="2:14" x14ac:dyDescent="0.3">
      <c r="B39" t="s">
        <v>280</v>
      </c>
      <c r="C39" s="108">
        <v>727</v>
      </c>
      <c r="D39" s="108">
        <v>622</v>
      </c>
      <c r="E39" s="108">
        <v>470</v>
      </c>
      <c r="F39" s="108">
        <v>732</v>
      </c>
      <c r="G39" s="108">
        <v>961</v>
      </c>
      <c r="H39" s="108">
        <v>1825</v>
      </c>
      <c r="I39" s="108">
        <v>1394</v>
      </c>
      <c r="J39" s="108">
        <v>1787</v>
      </c>
      <c r="K39" s="108">
        <v>1768</v>
      </c>
      <c r="L39" s="108">
        <v>1657</v>
      </c>
      <c r="M39" s="108">
        <v>1722</v>
      </c>
      <c r="N39" s="108">
        <v>2278</v>
      </c>
    </row>
    <row r="40" spans="2:14" x14ac:dyDescent="0.3">
      <c r="B40" t="s">
        <v>281</v>
      </c>
      <c r="C40" s="109">
        <v>407</v>
      </c>
      <c r="D40" s="109">
        <v>378</v>
      </c>
      <c r="E40" s="109">
        <v>469</v>
      </c>
      <c r="F40" s="109">
        <v>311</v>
      </c>
      <c r="G40" s="109">
        <v>316</v>
      </c>
      <c r="H40" s="109">
        <v>1</v>
      </c>
      <c r="I40" s="109">
        <v>655</v>
      </c>
      <c r="J40" s="109">
        <v>583</v>
      </c>
      <c r="K40" s="109">
        <v>421</v>
      </c>
      <c r="L40" s="109">
        <v>515</v>
      </c>
      <c r="M40" s="109">
        <v>423</v>
      </c>
      <c r="N40" s="109">
        <v>876</v>
      </c>
    </row>
    <row r="41" spans="2:14" ht="15" thickBot="1" x14ac:dyDescent="0.35">
      <c r="B41" s="99" t="s">
        <v>85</v>
      </c>
      <c r="C41" s="110">
        <v>8597</v>
      </c>
      <c r="D41" s="110">
        <v>9350</v>
      </c>
      <c r="E41" s="110">
        <v>11658</v>
      </c>
      <c r="F41" s="110">
        <v>13400</v>
      </c>
      <c r="G41" s="110">
        <v>15670</v>
      </c>
      <c r="H41" s="110">
        <v>21049</v>
      </c>
      <c r="I41" s="110">
        <v>20869</v>
      </c>
      <c r="J41" s="110">
        <v>22673</v>
      </c>
      <c r="K41" s="110">
        <v>23762</v>
      </c>
      <c r="L41" s="110">
        <v>23423</v>
      </c>
      <c r="M41" s="110">
        <v>24855</v>
      </c>
      <c r="N41" s="110">
        <v>26857</v>
      </c>
    </row>
    <row r="42" spans="2:14" ht="15" thickTop="1" x14ac:dyDescent="0.3"/>
    <row r="44" spans="2:14" x14ac:dyDescent="0.3">
      <c r="B44" s="91" t="s">
        <v>254</v>
      </c>
      <c r="C44" s="104">
        <v>40603</v>
      </c>
      <c r="D44" s="104">
        <v>40969</v>
      </c>
      <c r="E44" s="104">
        <v>41334</v>
      </c>
      <c r="F44" s="104">
        <v>41699</v>
      </c>
      <c r="G44" s="104">
        <v>42064</v>
      </c>
      <c r="H44" s="104">
        <v>42430</v>
      </c>
      <c r="I44" s="104">
        <v>42795</v>
      </c>
      <c r="J44" s="104">
        <v>43160</v>
      </c>
      <c r="K44" s="104">
        <v>43525</v>
      </c>
      <c r="L44" s="104">
        <v>43891</v>
      </c>
      <c r="M44" s="104">
        <v>44256</v>
      </c>
      <c r="N44" s="104">
        <v>44621</v>
      </c>
    </row>
    <row r="45" spans="2:14" s="77" customFormat="1" x14ac:dyDescent="0.3">
      <c r="B45" s="105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</row>
    <row r="46" spans="2:14" x14ac:dyDescent="0.3">
      <c r="B46" s="10" t="s">
        <v>302</v>
      </c>
    </row>
    <row r="47" spans="2:14" x14ac:dyDescent="0.3">
      <c r="B47" t="s">
        <v>88</v>
      </c>
      <c r="C47" s="24">
        <v>1451</v>
      </c>
      <c r="D47" s="24">
        <v>1799</v>
      </c>
      <c r="E47" s="24">
        <v>2379</v>
      </c>
      <c r="F47" s="24">
        <v>2433</v>
      </c>
      <c r="G47" s="24">
        <v>2284</v>
      </c>
      <c r="H47" s="24">
        <v>2678</v>
      </c>
      <c r="I47" s="24">
        <v>2597</v>
      </c>
      <c r="J47" s="24">
        <v>2963</v>
      </c>
      <c r="K47" s="24">
        <v>3348</v>
      </c>
      <c r="L47" s="24">
        <v>3544</v>
      </c>
      <c r="M47" s="24">
        <v>4421</v>
      </c>
      <c r="N47" s="24">
        <v>4643</v>
      </c>
    </row>
    <row r="48" spans="2:14" x14ac:dyDescent="0.3">
      <c r="B48" t="s">
        <v>40</v>
      </c>
      <c r="C48">
        <v>309</v>
      </c>
      <c r="D48">
        <v>132</v>
      </c>
      <c r="E48">
        <v>-166</v>
      </c>
      <c r="F48">
        <v>-251</v>
      </c>
      <c r="G48">
        <v>-443</v>
      </c>
      <c r="H48">
        <v>77</v>
      </c>
      <c r="I48">
        <v>-288</v>
      </c>
      <c r="J48">
        <v>-855</v>
      </c>
      <c r="K48" s="24">
        <v>-1015</v>
      </c>
      <c r="L48">
        <v>217</v>
      </c>
      <c r="M48">
        <v>423</v>
      </c>
      <c r="N48">
        <v>81</v>
      </c>
    </row>
    <row r="49" spans="2:14" x14ac:dyDescent="0.3">
      <c r="B49" t="s">
        <v>41</v>
      </c>
      <c r="C49">
        <v>-373</v>
      </c>
      <c r="D49">
        <v>56</v>
      </c>
      <c r="E49">
        <v>-537</v>
      </c>
      <c r="F49">
        <v>-175</v>
      </c>
      <c r="G49">
        <v>-833</v>
      </c>
      <c r="H49">
        <v>-65</v>
      </c>
      <c r="I49">
        <v>323</v>
      </c>
      <c r="J49">
        <v>-559</v>
      </c>
      <c r="K49">
        <v>104</v>
      </c>
      <c r="L49">
        <v>-332</v>
      </c>
      <c r="M49">
        <v>-254</v>
      </c>
      <c r="N49">
        <v>-621</v>
      </c>
    </row>
    <row r="50" spans="2:14" x14ac:dyDescent="0.3">
      <c r="B50" t="s">
        <v>89</v>
      </c>
      <c r="C50">
        <v>-97</v>
      </c>
      <c r="D50">
        <v>57</v>
      </c>
      <c r="E50">
        <v>183</v>
      </c>
      <c r="F50">
        <v>-135</v>
      </c>
      <c r="G50">
        <v>557</v>
      </c>
      <c r="H50">
        <v>-441</v>
      </c>
      <c r="I50">
        <v>201</v>
      </c>
      <c r="J50">
        <v>636</v>
      </c>
      <c r="K50">
        <v>-153</v>
      </c>
      <c r="L50">
        <v>487</v>
      </c>
      <c r="M50">
        <v>203</v>
      </c>
      <c r="N50">
        <v>362</v>
      </c>
    </row>
    <row r="51" spans="2:14" x14ac:dyDescent="0.3">
      <c r="B51" t="s">
        <v>90</v>
      </c>
      <c r="C51">
        <v>-162</v>
      </c>
      <c r="D51">
        <v>245</v>
      </c>
      <c r="E51">
        <v>-520</v>
      </c>
      <c r="F51">
        <v>-561</v>
      </c>
      <c r="G51">
        <v>-719</v>
      </c>
      <c r="H51">
        <v>-429</v>
      </c>
      <c r="I51">
        <v>235</v>
      </c>
      <c r="J51">
        <v>-778</v>
      </c>
      <c r="K51" s="24">
        <v>-1064</v>
      </c>
      <c r="L51">
        <v>373</v>
      </c>
      <c r="M51">
        <v>372</v>
      </c>
      <c r="N51">
        <v>-177</v>
      </c>
    </row>
    <row r="52" spans="2:14" x14ac:dyDescent="0.3">
      <c r="B52" t="s">
        <v>91</v>
      </c>
      <c r="C52">
        <v>-264</v>
      </c>
      <c r="D52">
        <v>-331</v>
      </c>
      <c r="E52">
        <v>-462</v>
      </c>
      <c r="F52">
        <v>-308</v>
      </c>
      <c r="G52">
        <v>-392</v>
      </c>
      <c r="H52">
        <v>-508</v>
      </c>
      <c r="I52">
        <v>-450</v>
      </c>
      <c r="J52">
        <v>-722</v>
      </c>
      <c r="K52">
        <v>-593</v>
      </c>
      <c r="L52">
        <v>-848</v>
      </c>
      <c r="M52" s="24">
        <v>-1037</v>
      </c>
      <c r="N52" s="24">
        <v>-1140</v>
      </c>
    </row>
    <row r="53" spans="2:14" x14ac:dyDescent="0.3">
      <c r="B53" s="94" t="s">
        <v>302</v>
      </c>
      <c r="C53" s="113">
        <f>SUM(C47:C52)</f>
        <v>864</v>
      </c>
      <c r="D53" s="113">
        <f t="shared" ref="D53:N53" si="1">SUM(D47:D52)</f>
        <v>1958</v>
      </c>
      <c r="E53" s="113">
        <f t="shared" si="1"/>
        <v>877</v>
      </c>
      <c r="F53" s="113">
        <f t="shared" si="1"/>
        <v>1003</v>
      </c>
      <c r="G53" s="113">
        <f t="shared" si="1"/>
        <v>454</v>
      </c>
      <c r="H53" s="113">
        <f t="shared" si="1"/>
        <v>1312</v>
      </c>
      <c r="I53" s="113">
        <f t="shared" si="1"/>
        <v>2618</v>
      </c>
      <c r="J53" s="113">
        <f t="shared" si="1"/>
        <v>685</v>
      </c>
      <c r="K53" s="113">
        <f t="shared" si="1"/>
        <v>627</v>
      </c>
      <c r="L53" s="113">
        <f t="shared" si="1"/>
        <v>3441</v>
      </c>
      <c r="M53" s="113">
        <f t="shared" si="1"/>
        <v>4128</v>
      </c>
      <c r="N53" s="113">
        <f t="shared" si="1"/>
        <v>3148</v>
      </c>
    </row>
    <row r="54" spans="2:14" x14ac:dyDescent="0.3">
      <c r="M54" s="24"/>
      <c r="N54" s="24"/>
    </row>
    <row r="55" spans="2:14" x14ac:dyDescent="0.3">
      <c r="B55" s="10" t="s">
        <v>303</v>
      </c>
    </row>
    <row r="56" spans="2:14" x14ac:dyDescent="0.3">
      <c r="B56" t="s">
        <v>93</v>
      </c>
      <c r="C56">
        <v>-710</v>
      </c>
      <c r="D56">
        <v>-561</v>
      </c>
      <c r="E56">
        <v>-757</v>
      </c>
      <c r="F56">
        <v>-570</v>
      </c>
      <c r="G56">
        <v>-646</v>
      </c>
      <c r="H56" s="24">
        <v>-1077</v>
      </c>
      <c r="I56" s="24">
        <v>-1136</v>
      </c>
      <c r="J56">
        <v>-816</v>
      </c>
      <c r="K56">
        <v>-527</v>
      </c>
      <c r="L56" s="24">
        <v>-1000</v>
      </c>
      <c r="M56">
        <v>-819</v>
      </c>
      <c r="N56">
        <v>-701</v>
      </c>
    </row>
    <row r="57" spans="2:14" x14ac:dyDescent="0.3">
      <c r="B57" t="s">
        <v>94</v>
      </c>
      <c r="C57">
        <v>13</v>
      </c>
      <c r="D57">
        <v>5</v>
      </c>
      <c r="E57">
        <v>5</v>
      </c>
      <c r="F57">
        <v>3</v>
      </c>
      <c r="G57">
        <v>21</v>
      </c>
      <c r="H57">
        <v>24</v>
      </c>
      <c r="I57">
        <v>38</v>
      </c>
      <c r="J57">
        <v>77</v>
      </c>
      <c r="K57">
        <v>23</v>
      </c>
      <c r="L57">
        <v>14</v>
      </c>
      <c r="M57">
        <v>28</v>
      </c>
      <c r="N57">
        <v>20</v>
      </c>
    </row>
    <row r="58" spans="2:14" x14ac:dyDescent="0.3">
      <c r="B58" t="s">
        <v>95</v>
      </c>
      <c r="C58" s="24">
        <v>-5228</v>
      </c>
      <c r="D58" s="24">
        <v>-7471</v>
      </c>
      <c r="E58" s="24">
        <v>-18720</v>
      </c>
      <c r="F58" s="24">
        <v>-18029</v>
      </c>
      <c r="G58" s="24">
        <v>-20564</v>
      </c>
      <c r="H58" s="24">
        <v>-15940</v>
      </c>
      <c r="I58">
        <v>-198</v>
      </c>
      <c r="J58">
        <v>-190</v>
      </c>
      <c r="K58">
        <v>-910</v>
      </c>
      <c r="L58">
        <v>0</v>
      </c>
      <c r="M58" s="24">
        <v>-1245</v>
      </c>
      <c r="N58">
        <v>0</v>
      </c>
    </row>
    <row r="59" spans="2:14" x14ac:dyDescent="0.3">
      <c r="B59" t="s">
        <v>96</v>
      </c>
      <c r="C59" s="24">
        <v>5251</v>
      </c>
      <c r="D59" s="24">
        <v>7119</v>
      </c>
      <c r="E59" s="24">
        <v>17341</v>
      </c>
      <c r="F59" s="24">
        <v>19842</v>
      </c>
      <c r="G59" s="24">
        <v>20525</v>
      </c>
      <c r="H59" s="24">
        <v>15950</v>
      </c>
      <c r="I59">
        <v>137</v>
      </c>
      <c r="J59">
        <v>10</v>
      </c>
      <c r="K59">
        <v>84</v>
      </c>
      <c r="L59" s="24">
        <v>1210</v>
      </c>
      <c r="M59">
        <v>0</v>
      </c>
      <c r="N59">
        <v>171</v>
      </c>
    </row>
    <row r="60" spans="2:14" x14ac:dyDescent="0.3">
      <c r="B60" t="s">
        <v>296</v>
      </c>
      <c r="C60">
        <v>0</v>
      </c>
      <c r="D60">
        <v>239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2:14" x14ac:dyDescent="0.3">
      <c r="B61" t="s">
        <v>97</v>
      </c>
      <c r="C61">
        <v>7</v>
      </c>
      <c r="D61">
        <v>7</v>
      </c>
      <c r="E61">
        <v>2</v>
      </c>
      <c r="F61">
        <v>19</v>
      </c>
      <c r="G61">
        <v>10</v>
      </c>
      <c r="H61">
        <v>9</v>
      </c>
      <c r="I61">
        <v>12</v>
      </c>
      <c r="J61">
        <v>30</v>
      </c>
      <c r="K61">
        <v>38</v>
      </c>
      <c r="L61">
        <v>50</v>
      </c>
      <c r="M61">
        <v>41</v>
      </c>
      <c r="N61">
        <v>47</v>
      </c>
    </row>
    <row r="62" spans="2:14" x14ac:dyDescent="0.3">
      <c r="B62" t="s">
        <v>98</v>
      </c>
      <c r="C62">
        <v>9</v>
      </c>
      <c r="D62">
        <v>36</v>
      </c>
      <c r="E62">
        <v>92</v>
      </c>
      <c r="F62">
        <v>74</v>
      </c>
      <c r="G62">
        <v>22</v>
      </c>
      <c r="H62">
        <v>0</v>
      </c>
      <c r="I62">
        <v>0</v>
      </c>
      <c r="J62">
        <v>4</v>
      </c>
      <c r="K62">
        <v>34</v>
      </c>
      <c r="L62">
        <v>0</v>
      </c>
      <c r="M62">
        <v>22</v>
      </c>
      <c r="N62">
        <v>0</v>
      </c>
    </row>
    <row r="63" spans="2:14" x14ac:dyDescent="0.3">
      <c r="B63" t="s">
        <v>297</v>
      </c>
      <c r="C63">
        <v>-2</v>
      </c>
      <c r="D63">
        <v>-311</v>
      </c>
      <c r="E63">
        <v>-21</v>
      </c>
      <c r="F63">
        <v>-11</v>
      </c>
      <c r="G63">
        <v>0</v>
      </c>
      <c r="H63">
        <v>-13</v>
      </c>
      <c r="I63">
        <v>-3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2:14" x14ac:dyDescent="0.3"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21</v>
      </c>
      <c r="J64">
        <v>143</v>
      </c>
      <c r="K64">
        <v>0</v>
      </c>
      <c r="L64">
        <v>1</v>
      </c>
      <c r="M64">
        <v>3</v>
      </c>
      <c r="N64">
        <v>0</v>
      </c>
    </row>
    <row r="65" spans="2:14" x14ac:dyDescent="0.3">
      <c r="B65" t="s">
        <v>298</v>
      </c>
      <c r="C65">
        <v>-31</v>
      </c>
      <c r="D65">
        <v>0</v>
      </c>
      <c r="E65">
        <v>0</v>
      </c>
      <c r="F65" s="24">
        <v>-2578</v>
      </c>
      <c r="G65">
        <v>-314</v>
      </c>
      <c r="H65" s="24">
        <v>-3482</v>
      </c>
      <c r="I65">
        <v>-188</v>
      </c>
      <c r="J65">
        <v>-14</v>
      </c>
      <c r="K65">
        <v>-421</v>
      </c>
      <c r="L65">
        <v>-33</v>
      </c>
      <c r="M65">
        <v>-14</v>
      </c>
      <c r="N65">
        <v>-18</v>
      </c>
    </row>
    <row r="66" spans="2:14" x14ac:dyDescent="0.3">
      <c r="B66" t="s">
        <v>299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2:14" x14ac:dyDescent="0.3">
      <c r="B67" t="s">
        <v>100</v>
      </c>
      <c r="C67">
        <v>-217</v>
      </c>
      <c r="D67">
        <v>-28</v>
      </c>
      <c r="E67">
        <v>-5</v>
      </c>
      <c r="F67">
        <v>-15</v>
      </c>
      <c r="G67">
        <v>-3</v>
      </c>
      <c r="H67">
        <v>-4</v>
      </c>
      <c r="I67">
        <v>13</v>
      </c>
      <c r="J67">
        <v>-77</v>
      </c>
      <c r="K67">
        <v>-8</v>
      </c>
      <c r="L67">
        <v>-128</v>
      </c>
      <c r="M67">
        <v>-389</v>
      </c>
      <c r="N67" s="24">
        <v>-1377</v>
      </c>
    </row>
    <row r="68" spans="2:14" x14ac:dyDescent="0.3">
      <c r="B68" s="94" t="s">
        <v>302</v>
      </c>
      <c r="C68" s="113">
        <f>SUM(C56:C67)</f>
        <v>-908</v>
      </c>
      <c r="D68" s="113">
        <f t="shared" ref="D68:N68" si="2">SUM(D56:D67)</f>
        <v>-965</v>
      </c>
      <c r="E68" s="113">
        <f t="shared" si="2"/>
        <v>-2063</v>
      </c>
      <c r="F68" s="113">
        <f t="shared" si="2"/>
        <v>-1265</v>
      </c>
      <c r="G68" s="113">
        <f t="shared" si="2"/>
        <v>-949</v>
      </c>
      <c r="H68" s="113">
        <f t="shared" si="2"/>
        <v>-4532</v>
      </c>
      <c r="I68" s="113">
        <f t="shared" si="2"/>
        <v>-1304</v>
      </c>
      <c r="J68" s="113">
        <f t="shared" si="2"/>
        <v>-833</v>
      </c>
      <c r="K68" s="113">
        <f t="shared" si="2"/>
        <v>-1687</v>
      </c>
      <c r="L68" s="113">
        <f t="shared" si="2"/>
        <v>114</v>
      </c>
      <c r="M68" s="113">
        <f t="shared" si="2"/>
        <v>-2373</v>
      </c>
      <c r="N68" s="113">
        <f t="shared" si="2"/>
        <v>-1858</v>
      </c>
    </row>
    <row r="69" spans="2:14" x14ac:dyDescent="0.3">
      <c r="N69" s="24"/>
    </row>
    <row r="70" spans="2:14" x14ac:dyDescent="0.3">
      <c r="B70" s="10" t="s">
        <v>304</v>
      </c>
    </row>
    <row r="71" spans="2:14" x14ac:dyDescent="0.3">
      <c r="B71" t="s">
        <v>300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12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2:14" x14ac:dyDescent="0.3">
      <c r="B72" t="s">
        <v>102</v>
      </c>
      <c r="C72">
        <v>868</v>
      </c>
      <c r="D72">
        <v>200</v>
      </c>
      <c r="E72">
        <v>956</v>
      </c>
      <c r="F72">
        <v>156</v>
      </c>
      <c r="G72">
        <v>508</v>
      </c>
      <c r="H72" s="24">
        <v>3508</v>
      </c>
      <c r="I72" s="24">
        <v>3652</v>
      </c>
      <c r="J72">
        <v>0</v>
      </c>
      <c r="K72">
        <v>48</v>
      </c>
      <c r="L72">
        <v>264</v>
      </c>
      <c r="M72">
        <v>70</v>
      </c>
      <c r="N72">
        <v>35</v>
      </c>
    </row>
    <row r="73" spans="2:14" x14ac:dyDescent="0.3">
      <c r="B73" t="s">
        <v>103</v>
      </c>
      <c r="C73">
        <v>-671</v>
      </c>
      <c r="D73">
        <v>-743</v>
      </c>
      <c r="E73">
        <v>-18</v>
      </c>
      <c r="F73">
        <v>-112</v>
      </c>
      <c r="G73">
        <v>0</v>
      </c>
      <c r="H73">
        <v>-66</v>
      </c>
      <c r="I73" s="24">
        <v>-4733</v>
      </c>
      <c r="J73">
        <v>-34</v>
      </c>
      <c r="K73">
        <v>-108</v>
      </c>
      <c r="L73" s="24">
        <v>-1948</v>
      </c>
      <c r="M73" s="24">
        <v>-1064</v>
      </c>
      <c r="N73" s="24">
        <v>-1041</v>
      </c>
    </row>
    <row r="74" spans="2:14" x14ac:dyDescent="0.3">
      <c r="B74" t="s">
        <v>104</v>
      </c>
      <c r="C74">
        <v>-17</v>
      </c>
      <c r="D74">
        <v>-24</v>
      </c>
      <c r="E74">
        <v>-33</v>
      </c>
      <c r="F74">
        <v>-121</v>
      </c>
      <c r="G74">
        <v>-167</v>
      </c>
      <c r="H74">
        <v>-161</v>
      </c>
      <c r="I74">
        <v>-159</v>
      </c>
      <c r="J74">
        <v>-118</v>
      </c>
      <c r="K74">
        <v>-159</v>
      </c>
      <c r="L74">
        <v>-164</v>
      </c>
      <c r="M74">
        <v>-121</v>
      </c>
      <c r="N74">
        <v>-76</v>
      </c>
    </row>
    <row r="75" spans="2:14" x14ac:dyDescent="0.3">
      <c r="B75" t="s">
        <v>105</v>
      </c>
      <c r="C75">
        <v>-225</v>
      </c>
      <c r="D75">
        <v>-161</v>
      </c>
      <c r="E75">
        <v>-161</v>
      </c>
      <c r="F75">
        <v>-161</v>
      </c>
      <c r="G75">
        <v>-161</v>
      </c>
      <c r="H75">
        <v>-159</v>
      </c>
      <c r="I75">
        <v>-161</v>
      </c>
      <c r="J75">
        <v>-161</v>
      </c>
      <c r="K75">
        <v>-242</v>
      </c>
      <c r="L75">
        <v>-564</v>
      </c>
      <c r="M75">
        <v>0</v>
      </c>
      <c r="N75">
        <v>-403</v>
      </c>
    </row>
    <row r="76" spans="2:14" x14ac:dyDescent="0.3">
      <c r="B76" t="s">
        <v>106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-76</v>
      </c>
      <c r="M76">
        <v>-84</v>
      </c>
      <c r="N76">
        <v>-92</v>
      </c>
    </row>
    <row r="77" spans="2:14" x14ac:dyDescent="0.3">
      <c r="B77" t="s">
        <v>301</v>
      </c>
      <c r="C77">
        <v>0</v>
      </c>
      <c r="D77">
        <v>0</v>
      </c>
      <c r="E77">
        <v>0</v>
      </c>
      <c r="F77">
        <v>0</v>
      </c>
      <c r="G77">
        <v>12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2:14" x14ac:dyDescent="0.3">
      <c r="B78" t="s">
        <v>107</v>
      </c>
      <c r="C78">
        <v>-37</v>
      </c>
      <c r="D78">
        <v>-26</v>
      </c>
      <c r="E78">
        <v>-26</v>
      </c>
      <c r="F78">
        <v>-27</v>
      </c>
      <c r="G78">
        <v>-27</v>
      </c>
      <c r="H78">
        <v>-20</v>
      </c>
      <c r="I78">
        <v>63</v>
      </c>
      <c r="J78">
        <v>-72</v>
      </c>
      <c r="K78">
        <v>112</v>
      </c>
      <c r="L78">
        <v>-461</v>
      </c>
      <c r="M78">
        <v>-41</v>
      </c>
      <c r="N78">
        <v>-23</v>
      </c>
    </row>
    <row r="79" spans="2:14" x14ac:dyDescent="0.3">
      <c r="B79" s="94" t="s">
        <v>304</v>
      </c>
      <c r="C79" s="113">
        <f>SUM(C71:C78)</f>
        <v>-82</v>
      </c>
      <c r="D79" s="113">
        <f t="shared" ref="D79:N79" si="3">SUM(D71:D78)</f>
        <v>-754</v>
      </c>
      <c r="E79" s="113">
        <f t="shared" si="3"/>
        <v>718</v>
      </c>
      <c r="F79" s="113">
        <f t="shared" si="3"/>
        <v>-265</v>
      </c>
      <c r="G79" s="113">
        <f t="shared" si="3"/>
        <v>165</v>
      </c>
      <c r="H79" s="113">
        <f t="shared" si="3"/>
        <v>3105</v>
      </c>
      <c r="I79" s="113">
        <f t="shared" si="3"/>
        <v>-1326</v>
      </c>
      <c r="J79" s="113">
        <f t="shared" si="3"/>
        <v>-385</v>
      </c>
      <c r="K79" s="113">
        <f t="shared" si="3"/>
        <v>-349</v>
      </c>
      <c r="L79" s="113">
        <f t="shared" si="3"/>
        <v>-2949</v>
      </c>
      <c r="M79" s="113">
        <f t="shared" si="3"/>
        <v>-1240</v>
      </c>
      <c r="N79" s="113">
        <f t="shared" si="3"/>
        <v>-1600</v>
      </c>
    </row>
    <row r="81" spans="2:14" ht="15" thickBot="1" x14ac:dyDescent="0.35">
      <c r="B81" s="99" t="s">
        <v>50</v>
      </c>
      <c r="C81" s="110">
        <f>SUM(C53+C68+C79)</f>
        <v>-126</v>
      </c>
      <c r="D81" s="110">
        <f t="shared" ref="D81:N81" si="4">SUM(D53+D68+D79)</f>
        <v>239</v>
      </c>
      <c r="E81" s="110">
        <f t="shared" si="4"/>
        <v>-468</v>
      </c>
      <c r="F81" s="110">
        <f t="shared" si="4"/>
        <v>-527</v>
      </c>
      <c r="G81" s="110">
        <f t="shared" si="4"/>
        <v>-330</v>
      </c>
      <c r="H81" s="110">
        <f t="shared" si="4"/>
        <v>-115</v>
      </c>
      <c r="I81" s="110">
        <f t="shared" si="4"/>
        <v>-12</v>
      </c>
      <c r="J81" s="110">
        <f t="shared" si="4"/>
        <v>-533</v>
      </c>
      <c r="K81" s="110">
        <f t="shared" si="4"/>
        <v>-1409</v>
      </c>
      <c r="L81" s="110">
        <f t="shared" si="4"/>
        <v>606</v>
      </c>
      <c r="M81" s="110">
        <f t="shared" si="4"/>
        <v>515</v>
      </c>
      <c r="N81" s="110">
        <f t="shared" si="4"/>
        <v>-310</v>
      </c>
    </row>
    <row r="82" spans="2:14" ht="15" thickTop="1" x14ac:dyDescent="0.3"/>
  </sheetData>
  <pageMargins left="0.70866141732283472" right="0.70866141732283472" top="0.74803149606299213" bottom="0.74803149606299213" header="0.31496062992125984" footer="0.31496062992125984"/>
  <pageSetup paperSize="9" scale="41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C731-CB04-4764-BFD6-366F2CC27026}">
  <sheetPr>
    <pageSetUpPr fitToPage="1"/>
  </sheetPr>
  <dimension ref="B2:N68"/>
  <sheetViews>
    <sheetView showGridLines="0" tabSelected="1" topLeftCell="A17" zoomScale="69" zoomScaleNormal="69" workbookViewId="0">
      <selection activeCell="E34" sqref="E34"/>
    </sheetView>
  </sheetViews>
  <sheetFormatPr defaultRowHeight="14.4" x14ac:dyDescent="0.3"/>
  <cols>
    <col min="1" max="1" width="1.88671875" customWidth="1"/>
    <col min="2" max="2" width="26.6640625" bestFit="1" customWidth="1"/>
  </cols>
  <sheetData>
    <row r="2" spans="2:12" x14ac:dyDescent="0.3">
      <c r="C2" s="9">
        <v>41334</v>
      </c>
      <c r="D2" s="9">
        <v>41699</v>
      </c>
      <c r="E2" s="9">
        <v>42064</v>
      </c>
      <c r="F2" s="9">
        <v>42430</v>
      </c>
      <c r="G2" s="9">
        <v>42795</v>
      </c>
      <c r="H2" s="9">
        <v>43160</v>
      </c>
      <c r="I2" s="9">
        <v>43525</v>
      </c>
      <c r="J2" s="9">
        <v>43891</v>
      </c>
      <c r="K2" s="9">
        <v>44256</v>
      </c>
      <c r="L2" s="9">
        <v>44621</v>
      </c>
    </row>
    <row r="3" spans="2:12" x14ac:dyDescent="0.3">
      <c r="B3" t="s">
        <v>87</v>
      </c>
      <c r="C3" s="24">
        <v>1398</v>
      </c>
      <c r="D3" s="24">
        <v>1563</v>
      </c>
      <c r="E3" s="24">
        <v>1173</v>
      </c>
      <c r="F3" s="24">
        <v>1741</v>
      </c>
      <c r="G3" s="24">
        <v>2382</v>
      </c>
      <c r="H3" s="24">
        <v>1463</v>
      </c>
      <c r="I3" s="24">
        <v>1691</v>
      </c>
      <c r="J3" s="24">
        <v>3068</v>
      </c>
      <c r="K3" s="24">
        <v>3755</v>
      </c>
      <c r="L3" s="24">
        <v>3326</v>
      </c>
    </row>
    <row r="4" spans="2:12" x14ac:dyDescent="0.3">
      <c r="B4" t="s">
        <v>88</v>
      </c>
      <c r="C4" s="24">
        <v>2379</v>
      </c>
      <c r="D4" s="24">
        <v>2433</v>
      </c>
      <c r="E4" s="24">
        <v>2284</v>
      </c>
      <c r="F4" s="24">
        <v>2678</v>
      </c>
      <c r="G4" s="24">
        <v>2597</v>
      </c>
      <c r="H4" s="24">
        <v>2963</v>
      </c>
      <c r="I4" s="24">
        <v>3348</v>
      </c>
      <c r="J4" s="24">
        <v>3544</v>
      </c>
      <c r="K4" s="24">
        <v>4421</v>
      </c>
      <c r="L4" s="24">
        <v>4643</v>
      </c>
    </row>
    <row r="5" spans="2:12" x14ac:dyDescent="0.3">
      <c r="B5" t="s">
        <v>40</v>
      </c>
      <c r="C5">
        <v>-166</v>
      </c>
      <c r="D5">
        <v>-251</v>
      </c>
      <c r="E5">
        <v>-443</v>
      </c>
      <c r="F5">
        <v>77</v>
      </c>
      <c r="G5">
        <v>-288</v>
      </c>
      <c r="H5">
        <v>-855</v>
      </c>
      <c r="I5" s="24">
        <v>-1015</v>
      </c>
      <c r="J5">
        <v>217</v>
      </c>
      <c r="K5">
        <v>423</v>
      </c>
      <c r="L5">
        <v>81</v>
      </c>
    </row>
    <row r="6" spans="2:12" x14ac:dyDescent="0.3">
      <c r="B6" t="s">
        <v>41</v>
      </c>
      <c r="C6">
        <v>-537</v>
      </c>
      <c r="D6">
        <v>-175</v>
      </c>
      <c r="E6">
        <v>-833</v>
      </c>
      <c r="F6">
        <v>-65</v>
      </c>
      <c r="G6">
        <v>323</v>
      </c>
      <c r="H6">
        <v>-559</v>
      </c>
      <c r="I6">
        <v>104</v>
      </c>
      <c r="J6">
        <v>-332</v>
      </c>
      <c r="K6">
        <v>-254</v>
      </c>
      <c r="L6">
        <v>-621</v>
      </c>
    </row>
    <row r="7" spans="2:12" x14ac:dyDescent="0.3">
      <c r="B7" t="s">
        <v>89</v>
      </c>
      <c r="C7">
        <v>183</v>
      </c>
      <c r="D7">
        <v>-135</v>
      </c>
      <c r="E7">
        <v>557</v>
      </c>
      <c r="F7">
        <v>-441</v>
      </c>
      <c r="G7">
        <v>201</v>
      </c>
      <c r="H7">
        <v>636</v>
      </c>
      <c r="I7">
        <v>-153</v>
      </c>
      <c r="J7">
        <v>487</v>
      </c>
      <c r="K7">
        <v>203</v>
      </c>
      <c r="L7">
        <v>362</v>
      </c>
    </row>
    <row r="8" spans="2:12" x14ac:dyDescent="0.3">
      <c r="B8" t="s">
        <v>90</v>
      </c>
      <c r="C8">
        <v>-520</v>
      </c>
      <c r="D8">
        <v>-561</v>
      </c>
      <c r="E8">
        <v>-719</v>
      </c>
      <c r="F8">
        <v>-429</v>
      </c>
      <c r="G8">
        <v>235</v>
      </c>
      <c r="H8">
        <v>-778</v>
      </c>
      <c r="I8" s="24">
        <v>-1064</v>
      </c>
      <c r="J8">
        <v>373</v>
      </c>
      <c r="K8">
        <v>372</v>
      </c>
      <c r="L8">
        <v>-177</v>
      </c>
    </row>
    <row r="9" spans="2:12" x14ac:dyDescent="0.3">
      <c r="B9" t="s">
        <v>91</v>
      </c>
      <c r="C9">
        <v>-462</v>
      </c>
      <c r="D9">
        <v>-308</v>
      </c>
      <c r="E9">
        <v>-392</v>
      </c>
      <c r="F9">
        <v>-508</v>
      </c>
      <c r="G9">
        <v>-450</v>
      </c>
      <c r="H9">
        <v>-722</v>
      </c>
      <c r="I9">
        <v>-593</v>
      </c>
      <c r="J9">
        <v>-848</v>
      </c>
      <c r="K9" s="24">
        <v>-1037</v>
      </c>
      <c r="L9" s="24">
        <v>-1140</v>
      </c>
    </row>
    <row r="10" spans="2:12" x14ac:dyDescent="0.3">
      <c r="B10" t="s">
        <v>92</v>
      </c>
      <c r="C10" s="24">
        <v>-2063</v>
      </c>
      <c r="D10" s="24">
        <v>-1265</v>
      </c>
      <c r="E10">
        <v>-950</v>
      </c>
      <c r="F10" s="24">
        <v>-4533</v>
      </c>
      <c r="G10" s="24">
        <v>-1304</v>
      </c>
      <c r="H10">
        <v>-834</v>
      </c>
      <c r="I10" s="24">
        <v>-1688</v>
      </c>
      <c r="J10">
        <v>114</v>
      </c>
      <c r="K10" s="24">
        <v>-2374</v>
      </c>
      <c r="L10" s="24">
        <v>-1858</v>
      </c>
    </row>
    <row r="11" spans="2:12" x14ac:dyDescent="0.3">
      <c r="B11" t="s">
        <v>93</v>
      </c>
      <c r="C11">
        <v>-757</v>
      </c>
      <c r="D11">
        <v>-570</v>
      </c>
      <c r="E11">
        <v>-646</v>
      </c>
      <c r="F11" s="24">
        <v>-1077</v>
      </c>
      <c r="G11" s="24">
        <v>-1136</v>
      </c>
      <c r="H11">
        <v>-816</v>
      </c>
      <c r="I11">
        <v>-527</v>
      </c>
      <c r="J11" s="24">
        <v>-1000</v>
      </c>
      <c r="K11">
        <v>-819</v>
      </c>
      <c r="L11">
        <v>-701</v>
      </c>
    </row>
    <row r="12" spans="2:12" x14ac:dyDescent="0.3">
      <c r="B12" t="s">
        <v>94</v>
      </c>
      <c r="C12">
        <v>5</v>
      </c>
      <c r="D12">
        <v>3</v>
      </c>
      <c r="E12">
        <v>21</v>
      </c>
      <c r="F12">
        <v>24</v>
      </c>
      <c r="G12">
        <v>38</v>
      </c>
      <c r="H12">
        <v>77</v>
      </c>
      <c r="I12">
        <v>23</v>
      </c>
      <c r="J12">
        <v>14</v>
      </c>
      <c r="K12">
        <v>28</v>
      </c>
      <c r="L12">
        <v>20</v>
      </c>
    </row>
    <row r="13" spans="2:12" x14ac:dyDescent="0.3">
      <c r="B13" t="s">
        <v>95</v>
      </c>
      <c r="C13" s="24">
        <v>-18720</v>
      </c>
      <c r="D13" s="24">
        <v>-18029</v>
      </c>
      <c r="E13" s="24">
        <v>-20564</v>
      </c>
      <c r="F13" s="24">
        <v>-15940</v>
      </c>
      <c r="G13">
        <v>-198</v>
      </c>
      <c r="H13">
        <v>-190</v>
      </c>
      <c r="I13">
        <v>-910</v>
      </c>
      <c r="J13">
        <v>0</v>
      </c>
      <c r="K13" s="24">
        <v>-1245</v>
      </c>
      <c r="L13">
        <v>0</v>
      </c>
    </row>
    <row r="14" spans="2:12" x14ac:dyDescent="0.3">
      <c r="B14" t="s">
        <v>96</v>
      </c>
      <c r="C14" s="24">
        <v>17341</v>
      </c>
      <c r="D14" s="24">
        <v>19842</v>
      </c>
      <c r="E14" s="24">
        <v>20525</v>
      </c>
      <c r="F14" s="24">
        <v>15950</v>
      </c>
      <c r="G14">
        <v>137</v>
      </c>
      <c r="H14">
        <v>10</v>
      </c>
      <c r="I14">
        <v>84</v>
      </c>
      <c r="J14" s="24">
        <v>1210</v>
      </c>
      <c r="K14">
        <v>0</v>
      </c>
      <c r="L14">
        <v>171</v>
      </c>
    </row>
    <row r="15" spans="2:12" x14ac:dyDescent="0.3">
      <c r="B15" t="s">
        <v>296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2:12" x14ac:dyDescent="0.3">
      <c r="B16" t="s">
        <v>97</v>
      </c>
      <c r="C16">
        <v>2</v>
      </c>
      <c r="D16">
        <v>19</v>
      </c>
      <c r="E16">
        <v>10</v>
      </c>
      <c r="F16">
        <v>9</v>
      </c>
      <c r="G16">
        <v>12</v>
      </c>
      <c r="H16">
        <v>30</v>
      </c>
      <c r="I16">
        <v>38</v>
      </c>
      <c r="J16">
        <v>50</v>
      </c>
      <c r="K16">
        <v>41</v>
      </c>
      <c r="L16">
        <v>47</v>
      </c>
    </row>
    <row r="17" spans="2:12" x14ac:dyDescent="0.3">
      <c r="B17" t="s">
        <v>98</v>
      </c>
      <c r="C17">
        <v>92</v>
      </c>
      <c r="D17">
        <v>74</v>
      </c>
      <c r="E17">
        <v>22</v>
      </c>
      <c r="F17">
        <v>0</v>
      </c>
      <c r="G17">
        <v>0</v>
      </c>
      <c r="H17">
        <v>4</v>
      </c>
      <c r="I17">
        <v>34</v>
      </c>
      <c r="J17">
        <v>0</v>
      </c>
      <c r="K17">
        <v>22</v>
      </c>
      <c r="L17">
        <v>0</v>
      </c>
    </row>
    <row r="18" spans="2:12" x14ac:dyDescent="0.3">
      <c r="B18" t="s">
        <v>297</v>
      </c>
      <c r="C18">
        <v>-21</v>
      </c>
      <c r="D18">
        <v>-11</v>
      </c>
      <c r="E18">
        <v>0</v>
      </c>
      <c r="F18">
        <v>-13</v>
      </c>
      <c r="G18">
        <v>-3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2:12" x14ac:dyDescent="0.3">
      <c r="B19" t="s">
        <v>99</v>
      </c>
      <c r="C19">
        <v>0</v>
      </c>
      <c r="D19">
        <v>0</v>
      </c>
      <c r="E19">
        <v>0</v>
      </c>
      <c r="F19">
        <v>0</v>
      </c>
      <c r="G19">
        <v>21</v>
      </c>
      <c r="H19">
        <v>143</v>
      </c>
      <c r="I19">
        <v>0</v>
      </c>
      <c r="J19">
        <v>1</v>
      </c>
      <c r="K19">
        <v>3</v>
      </c>
      <c r="L19">
        <v>0</v>
      </c>
    </row>
    <row r="20" spans="2:12" x14ac:dyDescent="0.3">
      <c r="B20" t="s">
        <v>298</v>
      </c>
      <c r="C20">
        <v>0</v>
      </c>
      <c r="D20" s="24">
        <v>-2578</v>
      </c>
      <c r="E20">
        <v>-314</v>
      </c>
      <c r="F20" s="24">
        <v>-3482</v>
      </c>
      <c r="G20">
        <v>-188</v>
      </c>
      <c r="H20">
        <v>-14</v>
      </c>
      <c r="I20">
        <v>-421</v>
      </c>
      <c r="J20">
        <v>-33</v>
      </c>
      <c r="K20">
        <v>-14</v>
      </c>
      <c r="L20">
        <v>-18</v>
      </c>
    </row>
    <row r="21" spans="2:12" x14ac:dyDescent="0.3">
      <c r="B21" t="s">
        <v>299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2:12" x14ac:dyDescent="0.3">
      <c r="B22" t="s">
        <v>100</v>
      </c>
      <c r="C22">
        <v>-5</v>
      </c>
      <c r="D22">
        <v>-15</v>
      </c>
      <c r="E22">
        <v>-3</v>
      </c>
      <c r="F22">
        <v>-4</v>
      </c>
      <c r="G22">
        <v>13</v>
      </c>
      <c r="H22">
        <v>-77</v>
      </c>
      <c r="I22">
        <v>-8</v>
      </c>
      <c r="J22">
        <v>-128</v>
      </c>
      <c r="K22">
        <v>-389</v>
      </c>
      <c r="L22" s="24">
        <v>-1377</v>
      </c>
    </row>
    <row r="23" spans="2:12" x14ac:dyDescent="0.3">
      <c r="B23" t="s">
        <v>101</v>
      </c>
      <c r="C23">
        <v>718</v>
      </c>
      <c r="D23">
        <v>-266</v>
      </c>
      <c r="E23">
        <v>165</v>
      </c>
      <c r="F23" s="24">
        <v>3104</v>
      </c>
      <c r="G23" s="24">
        <v>-1326</v>
      </c>
      <c r="H23">
        <v>-385</v>
      </c>
      <c r="I23">
        <v>-349</v>
      </c>
      <c r="J23" s="24">
        <v>-2949</v>
      </c>
      <c r="K23" s="24">
        <v>-1240</v>
      </c>
      <c r="L23" s="24">
        <v>-1600</v>
      </c>
    </row>
    <row r="24" spans="2:12" x14ac:dyDescent="0.3">
      <c r="B24" t="s">
        <v>300</v>
      </c>
      <c r="C24">
        <v>0</v>
      </c>
      <c r="D24">
        <v>0</v>
      </c>
      <c r="E24">
        <v>0</v>
      </c>
      <c r="F24">
        <v>3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2:12" x14ac:dyDescent="0.3">
      <c r="B25" t="s">
        <v>102</v>
      </c>
      <c r="C25">
        <v>956</v>
      </c>
      <c r="D25">
        <v>156</v>
      </c>
      <c r="E25">
        <v>508</v>
      </c>
      <c r="F25" s="24">
        <v>3508</v>
      </c>
      <c r="G25" s="24">
        <v>3652</v>
      </c>
      <c r="H25">
        <v>0</v>
      </c>
      <c r="I25">
        <v>48</v>
      </c>
      <c r="J25">
        <v>264</v>
      </c>
      <c r="K25">
        <v>70</v>
      </c>
      <c r="L25">
        <v>35</v>
      </c>
    </row>
    <row r="26" spans="2:12" x14ac:dyDescent="0.3">
      <c r="B26" t="s">
        <v>103</v>
      </c>
      <c r="C26">
        <v>-18</v>
      </c>
      <c r="D26">
        <v>-112</v>
      </c>
      <c r="E26">
        <v>0</v>
      </c>
      <c r="F26">
        <v>-66</v>
      </c>
      <c r="G26" s="24">
        <v>-4733</v>
      </c>
      <c r="H26">
        <v>-34</v>
      </c>
      <c r="I26">
        <v>-108</v>
      </c>
      <c r="J26" s="24">
        <v>-1948</v>
      </c>
      <c r="K26" s="24">
        <v>-1064</v>
      </c>
      <c r="L26" s="24">
        <v>-1041</v>
      </c>
    </row>
    <row r="27" spans="2:12" x14ac:dyDescent="0.3">
      <c r="B27" t="s">
        <v>104</v>
      </c>
      <c r="C27">
        <v>-33</v>
      </c>
      <c r="D27">
        <v>-121</v>
      </c>
      <c r="E27">
        <v>-167</v>
      </c>
      <c r="F27">
        <v>-161</v>
      </c>
      <c r="G27">
        <v>-159</v>
      </c>
      <c r="H27">
        <v>-118</v>
      </c>
      <c r="I27">
        <v>-159</v>
      </c>
      <c r="J27">
        <v>-164</v>
      </c>
      <c r="K27">
        <v>-121</v>
      </c>
      <c r="L27">
        <v>-76</v>
      </c>
    </row>
    <row r="28" spans="2:12" x14ac:dyDescent="0.3">
      <c r="B28" t="s">
        <v>105</v>
      </c>
      <c r="C28">
        <v>-161</v>
      </c>
      <c r="D28">
        <v>-161</v>
      </c>
      <c r="E28">
        <v>-161</v>
      </c>
      <c r="F28">
        <v>-159</v>
      </c>
      <c r="G28">
        <v>-161</v>
      </c>
      <c r="H28">
        <v>-161</v>
      </c>
      <c r="I28">
        <v>-242</v>
      </c>
      <c r="J28">
        <v>-564</v>
      </c>
      <c r="K28">
        <v>0</v>
      </c>
      <c r="L28">
        <v>-403</v>
      </c>
    </row>
    <row r="29" spans="2:12" x14ac:dyDescent="0.3">
      <c r="B29" t="s">
        <v>106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-76</v>
      </c>
      <c r="K29">
        <v>-84</v>
      </c>
      <c r="L29">
        <v>-92</v>
      </c>
    </row>
    <row r="30" spans="2:12" x14ac:dyDescent="0.3">
      <c r="B30" t="s">
        <v>301</v>
      </c>
      <c r="C30">
        <v>0</v>
      </c>
      <c r="D30">
        <v>0</v>
      </c>
      <c r="E30">
        <v>12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2:12" x14ac:dyDescent="0.3">
      <c r="B31" t="s">
        <v>107</v>
      </c>
      <c r="C31">
        <v>-26</v>
      </c>
      <c r="D31">
        <v>-27</v>
      </c>
      <c r="E31">
        <v>-27</v>
      </c>
      <c r="F31">
        <v>-20</v>
      </c>
      <c r="G31">
        <v>63</v>
      </c>
      <c r="H31">
        <v>-72</v>
      </c>
      <c r="I31">
        <v>112</v>
      </c>
      <c r="J31">
        <v>-461</v>
      </c>
      <c r="K31">
        <v>-41</v>
      </c>
      <c r="L31">
        <v>-23</v>
      </c>
    </row>
    <row r="32" spans="2:12" x14ac:dyDescent="0.3">
      <c r="B32" t="s">
        <v>50</v>
      </c>
      <c r="C32">
        <v>53</v>
      </c>
      <c r="D32">
        <v>33</v>
      </c>
      <c r="E32">
        <v>388</v>
      </c>
      <c r="F32">
        <v>312</v>
      </c>
      <c r="G32">
        <v>-248</v>
      </c>
      <c r="H32">
        <v>243</v>
      </c>
      <c r="I32">
        <v>-345</v>
      </c>
      <c r="J32">
        <v>234</v>
      </c>
      <c r="K32">
        <v>141</v>
      </c>
      <c r="L32">
        <v>-132</v>
      </c>
    </row>
    <row r="38" spans="2:14" x14ac:dyDescent="0.3">
      <c r="C38" s="9">
        <v>40603</v>
      </c>
      <c r="D38" s="9">
        <v>40969</v>
      </c>
      <c r="E38" s="9">
        <v>41334</v>
      </c>
      <c r="F38" s="9">
        <v>41699</v>
      </c>
      <c r="G38" s="9">
        <v>42064</v>
      </c>
      <c r="H38" s="9">
        <v>42430</v>
      </c>
      <c r="I38" s="9">
        <v>42795</v>
      </c>
      <c r="J38" s="9">
        <v>43160</v>
      </c>
      <c r="K38" s="9">
        <v>43525</v>
      </c>
      <c r="L38" s="9">
        <v>43891</v>
      </c>
      <c r="M38" s="9">
        <v>44256</v>
      </c>
      <c r="N38" s="9">
        <v>44621</v>
      </c>
    </row>
    <row r="39" spans="2:14" x14ac:dyDescent="0.3">
      <c r="B39" t="s">
        <v>87</v>
      </c>
      <c r="C39" s="24">
        <v>1025</v>
      </c>
      <c r="D39" s="24">
        <v>1713</v>
      </c>
      <c r="E39" s="24">
        <v>1398</v>
      </c>
      <c r="F39" s="24">
        <v>1563</v>
      </c>
      <c r="G39" s="24">
        <v>1173</v>
      </c>
      <c r="H39" s="24">
        <v>1741</v>
      </c>
      <c r="I39" s="24">
        <v>2382</v>
      </c>
      <c r="J39" s="24">
        <v>1463</v>
      </c>
      <c r="K39" s="24">
        <v>1691</v>
      </c>
      <c r="L39" s="24">
        <v>3068</v>
      </c>
      <c r="M39" s="24">
        <v>3755</v>
      </c>
      <c r="N39" s="24">
        <v>3326</v>
      </c>
    </row>
    <row r="40" spans="2:14" x14ac:dyDescent="0.3">
      <c r="B40" t="s">
        <v>88</v>
      </c>
      <c r="C40" s="24">
        <v>1451</v>
      </c>
      <c r="D40" s="24">
        <v>1799</v>
      </c>
      <c r="E40" s="24">
        <v>2379</v>
      </c>
      <c r="F40" s="24">
        <v>2433</v>
      </c>
      <c r="G40" s="24">
        <v>2284</v>
      </c>
      <c r="H40" s="24">
        <v>2678</v>
      </c>
      <c r="I40" s="24">
        <v>2597</v>
      </c>
      <c r="J40" s="24">
        <v>2963</v>
      </c>
      <c r="K40" s="24">
        <v>3348</v>
      </c>
      <c r="L40" s="24">
        <v>3544</v>
      </c>
      <c r="M40" s="24">
        <v>4421</v>
      </c>
      <c r="N40" s="24">
        <v>4643</v>
      </c>
    </row>
    <row r="41" spans="2:14" x14ac:dyDescent="0.3">
      <c r="B41" t="s">
        <v>40</v>
      </c>
      <c r="C41">
        <v>309</v>
      </c>
      <c r="D41">
        <v>132</v>
      </c>
      <c r="E41">
        <v>-166</v>
      </c>
      <c r="F41">
        <v>-251</v>
      </c>
      <c r="G41">
        <v>-443</v>
      </c>
      <c r="H41">
        <v>77</v>
      </c>
      <c r="I41">
        <v>-288</v>
      </c>
      <c r="J41">
        <v>-855</v>
      </c>
      <c r="K41" s="24">
        <v>-1015</v>
      </c>
      <c r="L41">
        <v>217</v>
      </c>
      <c r="M41">
        <v>423</v>
      </c>
      <c r="N41">
        <v>81</v>
      </c>
    </row>
    <row r="42" spans="2:14" x14ac:dyDescent="0.3">
      <c r="B42" t="s">
        <v>41</v>
      </c>
      <c r="C42">
        <v>-373</v>
      </c>
      <c r="D42">
        <v>56</v>
      </c>
      <c r="E42">
        <v>-537</v>
      </c>
      <c r="F42">
        <v>-175</v>
      </c>
      <c r="G42">
        <v>-833</v>
      </c>
      <c r="H42">
        <v>-65</v>
      </c>
      <c r="I42">
        <v>323</v>
      </c>
      <c r="J42">
        <v>-559</v>
      </c>
      <c r="K42">
        <v>104</v>
      </c>
      <c r="L42">
        <v>-332</v>
      </c>
      <c r="M42">
        <v>-254</v>
      </c>
      <c r="N42">
        <v>-621</v>
      </c>
    </row>
    <row r="43" spans="2:14" x14ac:dyDescent="0.3">
      <c r="B43" t="s">
        <v>89</v>
      </c>
      <c r="C43">
        <v>-97</v>
      </c>
      <c r="D43">
        <v>57</v>
      </c>
      <c r="E43">
        <v>183</v>
      </c>
      <c r="F43">
        <v>-135</v>
      </c>
      <c r="G43">
        <v>557</v>
      </c>
      <c r="H43">
        <v>-441</v>
      </c>
      <c r="I43">
        <v>201</v>
      </c>
      <c r="J43">
        <v>636</v>
      </c>
      <c r="K43">
        <v>-153</v>
      </c>
      <c r="L43">
        <v>487</v>
      </c>
      <c r="M43">
        <v>203</v>
      </c>
      <c r="N43">
        <v>362</v>
      </c>
    </row>
    <row r="44" spans="2:14" x14ac:dyDescent="0.3">
      <c r="B44" t="s">
        <v>90</v>
      </c>
      <c r="C44">
        <v>-162</v>
      </c>
      <c r="D44">
        <v>245</v>
      </c>
      <c r="E44">
        <v>-520</v>
      </c>
      <c r="F44">
        <v>-561</v>
      </c>
      <c r="G44">
        <v>-719</v>
      </c>
      <c r="H44">
        <v>-429</v>
      </c>
      <c r="I44">
        <v>235</v>
      </c>
      <c r="J44">
        <v>-778</v>
      </c>
      <c r="K44" s="24">
        <v>-1064</v>
      </c>
      <c r="L44">
        <v>373</v>
      </c>
      <c r="M44">
        <v>372</v>
      </c>
      <c r="N44">
        <v>-177</v>
      </c>
    </row>
    <row r="45" spans="2:14" x14ac:dyDescent="0.3">
      <c r="B45" t="s">
        <v>91</v>
      </c>
      <c r="C45">
        <v>-264</v>
      </c>
      <c r="D45">
        <v>-331</v>
      </c>
      <c r="E45">
        <v>-462</v>
      </c>
      <c r="F45">
        <v>-308</v>
      </c>
      <c r="G45">
        <v>-392</v>
      </c>
      <c r="H45">
        <v>-508</v>
      </c>
      <c r="I45">
        <v>-450</v>
      </c>
      <c r="J45">
        <v>-722</v>
      </c>
      <c r="K45">
        <v>-593</v>
      </c>
      <c r="L45">
        <v>-848</v>
      </c>
      <c r="M45" s="24">
        <v>-1037</v>
      </c>
      <c r="N45" s="24">
        <v>-1140</v>
      </c>
    </row>
    <row r="46" spans="2:14" x14ac:dyDescent="0.3">
      <c r="B46" t="s">
        <v>92</v>
      </c>
      <c r="C46">
        <v>-908</v>
      </c>
      <c r="D46">
        <v>-965</v>
      </c>
      <c r="E46" s="24">
        <v>-2063</v>
      </c>
      <c r="F46" s="24">
        <v>-1265</v>
      </c>
      <c r="G46">
        <v>-950</v>
      </c>
      <c r="H46" s="24">
        <v>-4533</v>
      </c>
      <c r="I46" s="24">
        <v>-1304</v>
      </c>
      <c r="J46">
        <v>-834</v>
      </c>
      <c r="K46" s="24">
        <v>-1688</v>
      </c>
      <c r="L46">
        <v>114</v>
      </c>
      <c r="M46" s="24">
        <v>-2374</v>
      </c>
      <c r="N46" s="24">
        <v>-1858</v>
      </c>
    </row>
    <row r="47" spans="2:14" x14ac:dyDescent="0.3">
      <c r="B47" t="s">
        <v>93</v>
      </c>
      <c r="C47">
        <v>-710</v>
      </c>
      <c r="D47">
        <v>-561</v>
      </c>
      <c r="E47">
        <v>-757</v>
      </c>
      <c r="F47">
        <v>-570</v>
      </c>
      <c r="G47">
        <v>-646</v>
      </c>
      <c r="H47" s="24">
        <v>-1077</v>
      </c>
      <c r="I47" s="24">
        <v>-1136</v>
      </c>
      <c r="J47">
        <v>-816</v>
      </c>
      <c r="K47">
        <v>-527</v>
      </c>
      <c r="L47" s="24">
        <v>-1000</v>
      </c>
      <c r="M47">
        <v>-819</v>
      </c>
      <c r="N47">
        <v>-701</v>
      </c>
    </row>
    <row r="48" spans="2:14" x14ac:dyDescent="0.3">
      <c r="B48" t="s">
        <v>94</v>
      </c>
      <c r="C48">
        <v>13</v>
      </c>
      <c r="D48">
        <v>5</v>
      </c>
      <c r="E48">
        <v>5</v>
      </c>
      <c r="F48">
        <v>3</v>
      </c>
      <c r="G48">
        <v>21</v>
      </c>
      <c r="H48">
        <v>24</v>
      </c>
      <c r="I48">
        <v>38</v>
      </c>
      <c r="J48">
        <v>77</v>
      </c>
      <c r="K48">
        <v>23</v>
      </c>
      <c r="L48">
        <v>14</v>
      </c>
      <c r="M48">
        <v>28</v>
      </c>
      <c r="N48">
        <v>20</v>
      </c>
    </row>
    <row r="49" spans="2:14" x14ac:dyDescent="0.3">
      <c r="B49" t="s">
        <v>95</v>
      </c>
      <c r="C49" s="24">
        <v>-5228</v>
      </c>
      <c r="D49" s="24">
        <v>-7471</v>
      </c>
      <c r="E49" s="24">
        <v>-18720</v>
      </c>
      <c r="F49" s="24">
        <v>-18029</v>
      </c>
      <c r="G49" s="24">
        <v>-20564</v>
      </c>
      <c r="H49" s="24">
        <v>-15940</v>
      </c>
      <c r="I49">
        <v>-198</v>
      </c>
      <c r="J49">
        <v>-190</v>
      </c>
      <c r="K49">
        <v>-910</v>
      </c>
      <c r="L49">
        <v>0</v>
      </c>
      <c r="M49" s="24">
        <v>-1245</v>
      </c>
      <c r="N49">
        <v>0</v>
      </c>
    </row>
    <row r="50" spans="2:14" x14ac:dyDescent="0.3">
      <c r="B50" t="s">
        <v>96</v>
      </c>
      <c r="C50" s="24">
        <v>5251</v>
      </c>
      <c r="D50" s="24">
        <v>7119</v>
      </c>
      <c r="E50" s="24">
        <v>17341</v>
      </c>
      <c r="F50" s="24">
        <v>19842</v>
      </c>
      <c r="G50" s="24">
        <v>20525</v>
      </c>
      <c r="H50" s="24">
        <v>15950</v>
      </c>
      <c r="I50">
        <v>137</v>
      </c>
      <c r="J50">
        <v>10</v>
      </c>
      <c r="K50">
        <v>84</v>
      </c>
      <c r="L50" s="24">
        <v>1210</v>
      </c>
      <c r="M50">
        <v>0</v>
      </c>
      <c r="N50">
        <v>171</v>
      </c>
    </row>
    <row r="51" spans="2:14" x14ac:dyDescent="0.3">
      <c r="B51" t="s">
        <v>296</v>
      </c>
      <c r="C51">
        <v>0</v>
      </c>
      <c r="D51">
        <v>239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2:14" x14ac:dyDescent="0.3">
      <c r="B52" t="s">
        <v>97</v>
      </c>
      <c r="C52">
        <v>7</v>
      </c>
      <c r="D52">
        <v>7</v>
      </c>
      <c r="E52">
        <v>2</v>
      </c>
      <c r="F52">
        <v>19</v>
      </c>
      <c r="G52">
        <v>10</v>
      </c>
      <c r="H52">
        <v>9</v>
      </c>
      <c r="I52">
        <v>12</v>
      </c>
      <c r="J52">
        <v>30</v>
      </c>
      <c r="K52">
        <v>38</v>
      </c>
      <c r="L52">
        <v>50</v>
      </c>
      <c r="M52">
        <v>41</v>
      </c>
      <c r="N52">
        <v>47</v>
      </c>
    </row>
    <row r="53" spans="2:14" x14ac:dyDescent="0.3">
      <c r="B53" t="s">
        <v>98</v>
      </c>
      <c r="C53">
        <v>9</v>
      </c>
      <c r="D53">
        <v>36</v>
      </c>
      <c r="E53">
        <v>92</v>
      </c>
      <c r="F53">
        <v>74</v>
      </c>
      <c r="G53">
        <v>22</v>
      </c>
      <c r="H53">
        <v>0</v>
      </c>
      <c r="I53">
        <v>0</v>
      </c>
      <c r="J53">
        <v>4</v>
      </c>
      <c r="K53">
        <v>34</v>
      </c>
      <c r="L53">
        <v>0</v>
      </c>
      <c r="M53">
        <v>22</v>
      </c>
      <c r="N53">
        <v>0</v>
      </c>
    </row>
    <row r="54" spans="2:14" x14ac:dyDescent="0.3">
      <c r="B54" t="s">
        <v>297</v>
      </c>
      <c r="C54">
        <v>-2</v>
      </c>
      <c r="D54">
        <v>-311</v>
      </c>
      <c r="E54">
        <v>-21</v>
      </c>
      <c r="F54">
        <v>-11</v>
      </c>
      <c r="G54">
        <v>0</v>
      </c>
      <c r="H54">
        <v>-13</v>
      </c>
      <c r="I54">
        <v>-3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2:14" x14ac:dyDescent="0.3">
      <c r="B55" t="s">
        <v>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21</v>
      </c>
      <c r="J55">
        <v>143</v>
      </c>
      <c r="K55">
        <v>0</v>
      </c>
      <c r="L55">
        <v>1</v>
      </c>
      <c r="M55">
        <v>3</v>
      </c>
      <c r="N55">
        <v>0</v>
      </c>
    </row>
    <row r="56" spans="2:14" x14ac:dyDescent="0.3">
      <c r="B56" t="s">
        <v>298</v>
      </c>
      <c r="C56">
        <v>-31</v>
      </c>
      <c r="D56">
        <v>0</v>
      </c>
      <c r="E56">
        <v>0</v>
      </c>
      <c r="F56" s="24">
        <v>-2578</v>
      </c>
      <c r="G56">
        <v>-314</v>
      </c>
      <c r="H56" s="24">
        <v>-3482</v>
      </c>
      <c r="I56">
        <v>-188</v>
      </c>
      <c r="J56">
        <v>-14</v>
      </c>
      <c r="K56">
        <v>-421</v>
      </c>
      <c r="L56">
        <v>-33</v>
      </c>
      <c r="M56">
        <v>-14</v>
      </c>
      <c r="N56">
        <v>-18</v>
      </c>
    </row>
    <row r="57" spans="2:14" x14ac:dyDescent="0.3">
      <c r="B57" t="s">
        <v>299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2:14" x14ac:dyDescent="0.3">
      <c r="B58" t="s">
        <v>100</v>
      </c>
      <c r="C58">
        <v>-217</v>
      </c>
      <c r="D58">
        <v>-28</v>
      </c>
      <c r="E58">
        <v>-5</v>
      </c>
      <c r="F58">
        <v>-15</v>
      </c>
      <c r="G58">
        <v>-3</v>
      </c>
      <c r="H58">
        <v>-4</v>
      </c>
      <c r="I58">
        <v>13</v>
      </c>
      <c r="J58">
        <v>-77</v>
      </c>
      <c r="K58">
        <v>-8</v>
      </c>
      <c r="L58">
        <v>-128</v>
      </c>
      <c r="M58">
        <v>-389</v>
      </c>
      <c r="N58" s="24">
        <v>-1377</v>
      </c>
    </row>
    <row r="59" spans="2:14" x14ac:dyDescent="0.3">
      <c r="B59" t="s">
        <v>101</v>
      </c>
      <c r="C59">
        <v>-83</v>
      </c>
      <c r="D59">
        <v>-753</v>
      </c>
      <c r="E59">
        <v>718</v>
      </c>
      <c r="F59">
        <v>-266</v>
      </c>
      <c r="G59">
        <v>165</v>
      </c>
      <c r="H59" s="24">
        <v>3104</v>
      </c>
      <c r="I59" s="24">
        <v>-1326</v>
      </c>
      <c r="J59">
        <v>-385</v>
      </c>
      <c r="K59">
        <v>-349</v>
      </c>
      <c r="L59" s="24">
        <v>-2949</v>
      </c>
      <c r="M59" s="24">
        <v>-1240</v>
      </c>
      <c r="N59" s="24">
        <v>-1600</v>
      </c>
    </row>
    <row r="60" spans="2:14" x14ac:dyDescent="0.3">
      <c r="B60" t="s">
        <v>300</v>
      </c>
      <c r="C60">
        <v>0</v>
      </c>
      <c r="D60">
        <v>0</v>
      </c>
      <c r="E60">
        <v>0</v>
      </c>
      <c r="F60">
        <v>0</v>
      </c>
      <c r="G60">
        <v>0</v>
      </c>
      <c r="H60">
        <v>3</v>
      </c>
      <c r="I60">
        <v>12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2:14" x14ac:dyDescent="0.3">
      <c r="B61" t="s">
        <v>102</v>
      </c>
      <c r="C61">
        <v>868</v>
      </c>
      <c r="D61">
        <v>200</v>
      </c>
      <c r="E61">
        <v>956</v>
      </c>
      <c r="F61">
        <v>156</v>
      </c>
      <c r="G61">
        <v>508</v>
      </c>
      <c r="H61" s="24">
        <v>3508</v>
      </c>
      <c r="I61" s="24">
        <v>3652</v>
      </c>
      <c r="J61">
        <v>0</v>
      </c>
      <c r="K61">
        <v>48</v>
      </c>
      <c r="L61">
        <v>264</v>
      </c>
      <c r="M61">
        <v>70</v>
      </c>
      <c r="N61">
        <v>35</v>
      </c>
    </row>
    <row r="62" spans="2:14" x14ac:dyDescent="0.3">
      <c r="B62" t="s">
        <v>103</v>
      </c>
      <c r="C62">
        <v>-671</v>
      </c>
      <c r="D62">
        <v>-743</v>
      </c>
      <c r="E62">
        <v>-18</v>
      </c>
      <c r="F62">
        <v>-112</v>
      </c>
      <c r="G62">
        <v>0</v>
      </c>
      <c r="H62">
        <v>-66</v>
      </c>
      <c r="I62" s="24">
        <v>-4733</v>
      </c>
      <c r="J62">
        <v>-34</v>
      </c>
      <c r="K62">
        <v>-108</v>
      </c>
      <c r="L62" s="24">
        <v>-1948</v>
      </c>
      <c r="M62" s="24">
        <v>-1064</v>
      </c>
      <c r="N62" s="24">
        <v>-1041</v>
      </c>
    </row>
    <row r="63" spans="2:14" x14ac:dyDescent="0.3">
      <c r="B63" t="s">
        <v>104</v>
      </c>
      <c r="C63">
        <v>-17</v>
      </c>
      <c r="D63">
        <v>-24</v>
      </c>
      <c r="E63">
        <v>-33</v>
      </c>
      <c r="F63">
        <v>-121</v>
      </c>
      <c r="G63">
        <v>-167</v>
      </c>
      <c r="H63">
        <v>-161</v>
      </c>
      <c r="I63">
        <v>-159</v>
      </c>
      <c r="J63">
        <v>-118</v>
      </c>
      <c r="K63">
        <v>-159</v>
      </c>
      <c r="L63">
        <v>-164</v>
      </c>
      <c r="M63">
        <v>-121</v>
      </c>
      <c r="N63">
        <v>-76</v>
      </c>
    </row>
    <row r="64" spans="2:14" x14ac:dyDescent="0.3">
      <c r="B64" t="s">
        <v>105</v>
      </c>
      <c r="C64">
        <v>-225</v>
      </c>
      <c r="D64">
        <v>-161</v>
      </c>
      <c r="E64">
        <v>-161</v>
      </c>
      <c r="F64">
        <v>-161</v>
      </c>
      <c r="G64">
        <v>-161</v>
      </c>
      <c r="H64">
        <v>-159</v>
      </c>
      <c r="I64">
        <v>-161</v>
      </c>
      <c r="J64">
        <v>-161</v>
      </c>
      <c r="K64">
        <v>-242</v>
      </c>
      <c r="L64">
        <v>-564</v>
      </c>
      <c r="M64">
        <v>0</v>
      </c>
      <c r="N64">
        <v>-403</v>
      </c>
    </row>
    <row r="65" spans="2:14" x14ac:dyDescent="0.3">
      <c r="B65" t="s">
        <v>106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-76</v>
      </c>
      <c r="M65">
        <v>-84</v>
      </c>
      <c r="N65">
        <v>-92</v>
      </c>
    </row>
    <row r="66" spans="2:14" x14ac:dyDescent="0.3">
      <c r="B66" t="s">
        <v>301</v>
      </c>
      <c r="C66">
        <v>0</v>
      </c>
      <c r="D66">
        <v>0</v>
      </c>
      <c r="E66">
        <v>0</v>
      </c>
      <c r="F66">
        <v>0</v>
      </c>
      <c r="G66">
        <v>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2:14" x14ac:dyDescent="0.3">
      <c r="B67" t="s">
        <v>107</v>
      </c>
      <c r="C67">
        <v>-37</v>
      </c>
      <c r="D67">
        <v>-26</v>
      </c>
      <c r="E67">
        <v>-26</v>
      </c>
      <c r="F67">
        <v>-27</v>
      </c>
      <c r="G67">
        <v>-27</v>
      </c>
      <c r="H67">
        <v>-20</v>
      </c>
      <c r="I67">
        <v>63</v>
      </c>
      <c r="J67">
        <v>-72</v>
      </c>
      <c r="K67">
        <v>112</v>
      </c>
      <c r="L67">
        <v>-461</v>
      </c>
      <c r="M67">
        <v>-41</v>
      </c>
      <c r="N67">
        <v>-23</v>
      </c>
    </row>
    <row r="68" spans="2:14" x14ac:dyDescent="0.3">
      <c r="B68" t="s">
        <v>50</v>
      </c>
      <c r="C68">
        <v>34</v>
      </c>
      <c r="D68">
        <v>-6</v>
      </c>
      <c r="E68">
        <v>53</v>
      </c>
      <c r="F68">
        <v>33</v>
      </c>
      <c r="G68">
        <v>388</v>
      </c>
      <c r="H68">
        <v>312</v>
      </c>
      <c r="I68">
        <v>-248</v>
      </c>
      <c r="J68">
        <v>243</v>
      </c>
      <c r="K68">
        <v>-345</v>
      </c>
      <c r="L68">
        <v>234</v>
      </c>
      <c r="M68">
        <v>141</v>
      </c>
      <c r="N68">
        <v>-132</v>
      </c>
    </row>
  </sheetData>
  <pageMargins left="0.70866141732283472" right="0.70866141732283472" top="0.74803149606299213" bottom="0.74803149606299213" header="0.31496062992125984" footer="0.31496062992125984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Financials&gt;</vt:lpstr>
      <vt:lpstr>HistoricalFS</vt:lpstr>
      <vt:lpstr>Ratio Analysis</vt:lpstr>
      <vt:lpstr>Forecasting</vt:lpstr>
      <vt:lpstr>Common Size Statement</vt:lpstr>
      <vt:lpstr>DCF&gt;</vt:lpstr>
      <vt:lpstr>WAAC</vt:lpstr>
      <vt:lpstr>Data&gt;</vt:lpstr>
      <vt:lpstr>Cipla Beta Regression</vt:lpstr>
      <vt:lpstr>Rm</vt:lpstr>
      <vt:lpstr>Instrisic Growth</vt:lpstr>
      <vt:lpstr>DCF</vt:lpstr>
      <vt:lpstr>Relative Valuation</vt:lpstr>
      <vt:lpstr>Comps Beta&gt;</vt:lpstr>
      <vt:lpstr>Sun Pharma Beta Regression </vt:lpstr>
      <vt:lpstr>Dr. Reddy Labs Beta Regression </vt:lpstr>
      <vt:lpstr>Divi's Lab Beta Regression </vt:lpstr>
      <vt:lpstr>Torrent Pharma Beta Regression </vt:lpstr>
      <vt:lpstr> Data Room&gt;</vt:lpstr>
      <vt:lpstr>Data Sheet</vt:lpstr>
      <vt:lpstr>Beta - Comps</vt:lpstr>
      <vt:lpstr>RV Data</vt:lpstr>
      <vt:lpstr>Raw FS</vt:lpstr>
      <vt:lpstr>Raw CF Data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cp:lastPrinted>2023-04-19T15:32:13Z</cp:lastPrinted>
  <dcterms:created xsi:type="dcterms:W3CDTF">2023-04-14T06:20:24Z</dcterms:created>
  <dcterms:modified xsi:type="dcterms:W3CDTF">2023-04-19T15:40:12Z</dcterms:modified>
</cp:coreProperties>
</file>