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usta\Documents\Python_Scripts\Solubility_in_scCO2\"/>
    </mc:Choice>
  </mc:AlternateContent>
  <xr:revisionPtr revIDLastSave="0" documentId="13_ncr:1_{4EDECAB2-735A-4F7D-9075-94C0C0C14EE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Calculation" sheetId="6" r:id="rId1"/>
  </sheets>
  <definedNames>
    <definedName name="_xlnm.Print_Area" localSheetId="0">Calculation!$A$1:$H$53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2" i="6" l="1"/>
  <c r="H133" i="6"/>
  <c r="H131" i="6"/>
  <c r="H122" i="6"/>
  <c r="H123" i="6"/>
  <c r="H124" i="6"/>
  <c r="H125" i="6"/>
  <c r="H126" i="6"/>
  <c r="H127" i="6"/>
  <c r="H128" i="6"/>
  <c r="H129" i="6"/>
  <c r="H121" i="6"/>
  <c r="H111" i="6"/>
  <c r="H112" i="6"/>
  <c r="H113" i="6"/>
  <c r="H114" i="6"/>
  <c r="H115" i="6"/>
  <c r="H116" i="6"/>
  <c r="H117" i="6"/>
  <c r="H118" i="6"/>
  <c r="H119" i="6"/>
  <c r="H110" i="6"/>
  <c r="H106" i="6"/>
  <c r="H107" i="6"/>
  <c r="H108" i="6"/>
  <c r="H105" i="6"/>
  <c r="H100" i="6"/>
  <c r="H101" i="6"/>
  <c r="H102" i="6"/>
  <c r="H103" i="6"/>
  <c r="H99" i="6"/>
  <c r="H89" i="6"/>
  <c r="H90" i="6"/>
  <c r="H91" i="6"/>
  <c r="H92" i="6"/>
  <c r="H93" i="6"/>
  <c r="H94" i="6"/>
  <c r="H95" i="6"/>
  <c r="H96" i="6"/>
  <c r="H97" i="6"/>
  <c r="H88" i="6"/>
  <c r="Y83" i="6" l="1"/>
  <c r="G34" i="6" s="1"/>
  <c r="S83" i="6"/>
  <c r="J144" i="6" s="1"/>
  <c r="N83" i="6"/>
  <c r="G41" i="6" s="1"/>
  <c r="Q83" i="6"/>
  <c r="J142" i="6" s="1"/>
  <c r="M83" i="6"/>
  <c r="G35" i="6" s="1"/>
  <c r="U83" i="6"/>
  <c r="G45" i="6" s="1"/>
  <c r="T83" i="6"/>
  <c r="J145" i="6" s="1"/>
  <c r="P83" i="6"/>
  <c r="G43" i="6" s="1"/>
  <c r="L83" i="6"/>
  <c r="G38" i="6" s="1"/>
  <c r="X83" i="6"/>
  <c r="J149" i="6" s="1"/>
  <c r="O83" i="6"/>
  <c r="G42" i="6" s="1"/>
  <c r="K83" i="6"/>
  <c r="W83" i="6"/>
  <c r="J148" i="6" s="1"/>
  <c r="R83" i="6"/>
  <c r="J143" i="6" s="1"/>
  <c r="Z83" i="6"/>
  <c r="V83" i="6"/>
  <c r="J83" i="6"/>
  <c r="G37" i="6" l="1"/>
  <c r="J137" i="6" s="1"/>
  <c r="G36" i="6"/>
  <c r="G48" i="6" s="1"/>
  <c r="G49" i="6"/>
  <c r="G51" i="6"/>
  <c r="G44" i="6" l="1"/>
  <c r="G50" i="6" s="1"/>
  <c r="G39" i="6"/>
  <c r="G52" i="6" s="1"/>
  <c r="J138" i="6"/>
  <c r="J139" i="6" s="1"/>
  <c r="G40" i="6" s="1"/>
  <c r="G53" i="6" s="1"/>
</calcChain>
</file>

<file path=xl/sharedStrings.xml><?xml version="1.0" encoding="utf-8"?>
<sst xmlns="http://schemas.openxmlformats.org/spreadsheetml/2006/main" count="195" uniqueCount="115">
  <si>
    <t>Group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</si>
  <si>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c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</si>
  <si>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c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</si>
  <si>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c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</si>
  <si>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b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</si>
  <si>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m</t>
    </r>
  </si>
  <si>
    <r>
      <t>H</t>
    </r>
    <r>
      <rPr>
        <b/>
        <vertAlign val="subscript"/>
        <sz val="11"/>
        <color theme="1"/>
        <rFont val="Calibri"/>
        <family val="2"/>
        <scheme val="minor"/>
      </rPr>
      <t>form</t>
    </r>
  </si>
  <si>
    <r>
      <t>G</t>
    </r>
    <r>
      <rPr>
        <b/>
        <vertAlign val="subscript"/>
        <sz val="11"/>
        <color theme="1"/>
        <rFont val="Calibri"/>
        <family val="2"/>
        <scheme val="minor"/>
      </rPr>
      <t>form</t>
    </r>
  </si>
  <si>
    <t>a</t>
  </si>
  <si>
    <t>b</t>
  </si>
  <si>
    <t>c</t>
  </si>
  <si>
    <t>d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</si>
  <si>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fusion</t>
    </r>
  </si>
  <si>
    <r>
      <t>H</t>
    </r>
    <r>
      <rPr>
        <b/>
        <vertAlign val="subscript"/>
        <sz val="11"/>
        <color theme="1"/>
        <rFont val="Calibri"/>
        <family val="2"/>
        <scheme val="minor"/>
      </rPr>
      <t>vap</t>
    </r>
  </si>
  <si>
    <t>Critical State Data</t>
  </si>
  <si>
    <t>Temperatures</t>
  </si>
  <si>
    <t>of Phase Transitions</t>
  </si>
  <si>
    <t>Chemical Caloric</t>
  </si>
  <si>
    <t>Properties</t>
  </si>
  <si>
    <t>Ideal Gas Heat Capacities</t>
  </si>
  <si>
    <t>Enthalpies</t>
  </si>
  <si>
    <t>Dynamic Viscosity</t>
  </si>
  <si>
    <t>Non-ring groups</t>
  </si>
  <si>
    <r>
      <t>-CH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</t>
    </r>
  </si>
  <si>
    <t>&gt;CH-</t>
  </si>
  <si>
    <t>&gt;C&lt;</t>
  </si>
  <si>
    <t>=CH-</t>
  </si>
  <si>
    <t>=C&lt;</t>
  </si>
  <si>
    <t>n. a.</t>
  </si>
  <si>
    <t>=C=</t>
  </si>
  <si>
    <t>≡CH</t>
  </si>
  <si>
    <t>≡C-</t>
  </si>
  <si>
    <t>Ring groups</t>
  </si>
  <si>
    <t>0.0082</t>
  </si>
  <si>
    <t>Halogen groups</t>
  </si>
  <si>
    <t>-F</t>
  </si>
  <si>
    <t>-Cl</t>
  </si>
  <si>
    <t>-Br</t>
  </si>
  <si>
    <t>-I</t>
  </si>
  <si>
    <t>Oxygen groups</t>
  </si>
  <si>
    <t>-OH (alcohol)</t>
  </si>
  <si>
    <t>-OH (phenol)</t>
  </si>
  <si>
    <t>-O- (nonring)</t>
  </si>
  <si>
    <t>-O- (ring)</t>
  </si>
  <si>
    <t>&gt;C=O (nonring)</t>
  </si>
  <si>
    <t>&gt;C=O (ring)</t>
  </si>
  <si>
    <t>O=CH- (aldehyde)</t>
  </si>
  <si>
    <t>-COOH (acid)</t>
  </si>
  <si>
    <t>-COO- (ester)</t>
  </si>
  <si>
    <t>0.0143</t>
  </si>
  <si>
    <t>Nitrogen groups</t>
  </si>
  <si>
    <t>&gt;NH (non-ring)</t>
  </si>
  <si>
    <t>&gt;NH (ring)</t>
  </si>
  <si>
    <t>&gt;N-(nonring)</t>
  </si>
  <si>
    <t>-N= (nonring)</t>
  </si>
  <si>
    <t>-N= (ring)</t>
  </si>
  <si>
    <t>-CN</t>
  </si>
  <si>
    <t>Sulfur groups</t>
  </si>
  <si>
    <t>-SH</t>
  </si>
  <si>
    <t>-S- (nonring)</t>
  </si>
  <si>
    <t>-S- (ring)</t>
  </si>
  <si>
    <t>=O (other than above)</t>
  </si>
  <si>
    <t>=NH</t>
  </si>
  <si>
    <r>
      <t>-CH</t>
    </r>
    <r>
      <rPr>
        <vertAlign val="subscript"/>
        <sz val="11"/>
        <color theme="1"/>
        <rFont val="Calibri"/>
        <family val="2"/>
        <scheme val="minor"/>
      </rPr>
      <t>3</t>
    </r>
  </si>
  <si>
    <t>-NH2</t>
  </si>
  <si>
    <t>-NO2</t>
  </si>
  <si>
    <t>C</t>
  </si>
  <si>
    <t>kJ/mol</t>
  </si>
  <si>
    <t>Pc</t>
  </si>
  <si>
    <t>CheGuide.com</t>
  </si>
  <si>
    <t>Chemical Engineer's Guide</t>
  </si>
  <si>
    <t>Property Estimation - Joback Method</t>
  </si>
  <si>
    <t>No. of</t>
  </si>
  <si>
    <t>Atoms</t>
  </si>
  <si>
    <t>Molecular</t>
  </si>
  <si>
    <t>Weight</t>
  </si>
  <si>
    <t>Molecular Weight</t>
  </si>
  <si>
    <t>g/mol</t>
  </si>
  <si>
    <t>Critical Temperature, Tc</t>
  </si>
  <si>
    <t>Date</t>
  </si>
  <si>
    <t>By</t>
  </si>
  <si>
    <t>CheGuide</t>
  </si>
  <si>
    <t>bar</t>
  </si>
  <si>
    <t>Critical Volume, Vc</t>
  </si>
  <si>
    <t>Critical Pressure, Pc</t>
  </si>
  <si>
    <t>cm³/mol</t>
  </si>
  <si>
    <t>Critical Compressibility, Zc</t>
  </si>
  <si>
    <t>atm</t>
  </si>
  <si>
    <t>Tr</t>
  </si>
  <si>
    <t>ω</t>
  </si>
  <si>
    <t>Freezing Point</t>
  </si>
  <si>
    <t>Heat of Formation, (Ideal Gas 298 K)</t>
  </si>
  <si>
    <t>Gibbs Energy of Formation</t>
  </si>
  <si>
    <t>Normal Boiling Point, Tnbp</t>
  </si>
  <si>
    <t>Heat of Vaporization at Tnbp</t>
  </si>
  <si>
    <t>Heat of Fusion</t>
  </si>
  <si>
    <t>Accentric Factor Estimation</t>
  </si>
  <si>
    <t>Heat Capacity, Ideal Gas</t>
  </si>
  <si>
    <t>A</t>
  </si>
  <si>
    <t>B</t>
  </si>
  <si>
    <t>D</t>
  </si>
  <si>
    <t>Properties at Temperature</t>
  </si>
  <si>
    <t>Heat Capacity, Ideal Gas, Cp</t>
  </si>
  <si>
    <t>J/mol.K</t>
  </si>
  <si>
    <t>K</t>
  </si>
  <si>
    <t>Heat of Vaporization</t>
  </si>
  <si>
    <t>Liquid Viscosity</t>
  </si>
  <si>
    <t>Pa.s</t>
  </si>
  <si>
    <t>Liquid Density</t>
  </si>
  <si>
    <t>g/cm³</t>
  </si>
  <si>
    <t>Vapor Pressure</t>
  </si>
  <si>
    <t>Reduced Temperature, Tr</t>
  </si>
  <si>
    <t>PHYSICAL PROPERTIES</t>
  </si>
  <si>
    <r>
      <t xml:space="preserve">Acentric Factor, </t>
    </r>
    <r>
      <rPr>
        <sz val="11"/>
        <color theme="1"/>
        <rFont val="Calibri"/>
        <family val="2"/>
      </rPr>
      <t>ω</t>
    </r>
  </si>
  <si>
    <r>
      <t>=CH</t>
    </r>
    <r>
      <rPr>
        <vertAlign val="sub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</si>
</sst>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000"/>
    <numFmt numFmtId="166" formatCode="0.00000"/>
    <numFmt numFmtId="167" formatCode="0.0000E+00"/>
    <numFmt numFmtId="168" formatCode="0.0000"/>
    <numFmt numFmtId="169" formatCode="0.000E+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sz val="11"/>
      <color rgb="FF7030A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rgb="FF7030A0"/>
      <name val="Calibri"/>
      <family val="2"/>
    </font>
    <font>
      <b/>
      <i/>
      <sz val="11"/>
      <color theme="5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quotePrefix="1" applyAlignment="1">
      <alignment horizontal="left" vertical="center" wrapText="1"/>
    </xf>
    <xf numFmtId="2" fontId="0" fillId="0" borderId="0" xfId="0" applyNumberFormat="1"/>
    <xf numFmtId="164" fontId="0" fillId="0" borderId="0" xfId="0" applyNumberFormat="1"/>
    <xf numFmtId="167" fontId="0" fillId="0" borderId="0" xfId="0" applyNumberFormat="1"/>
    <xf numFmtId="0" fontId="0" fillId="0" borderId="0" xfId="0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164" fontId="7" fillId="0" borderId="0" xfId="0" applyNumberFormat="1" applyFont="1" applyProtection="1"/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3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168" fontId="0" fillId="0" borderId="0" xfId="0" applyNumberFormat="1"/>
    <xf numFmtId="0" fontId="10" fillId="0" borderId="0" xfId="0" applyFont="1"/>
    <xf numFmtId="0" fontId="0" fillId="0" borderId="0" xfId="0" quotePrefix="1"/>
    <xf numFmtId="164" fontId="6" fillId="0" borderId="0" xfId="1" applyNumberFormat="1" applyFont="1" applyProtection="1"/>
    <xf numFmtId="169" fontId="0" fillId="0" borderId="0" xfId="0" applyNumberFormat="1"/>
    <xf numFmtId="164" fontId="0" fillId="0" borderId="0" xfId="0" applyNumberFormat="1" applyFill="1"/>
    <xf numFmtId="15" fontId="9" fillId="3" borderId="0" xfId="0" applyNumberFormat="1" applyFont="1" applyFill="1" applyAlignment="1">
      <alignment horizontal="left"/>
    </xf>
    <xf numFmtId="0" fontId="9" fillId="3" borderId="0" xfId="0" applyFont="1" applyFill="1" applyAlignment="1">
      <alignment horizontal="left"/>
    </xf>
    <xf numFmtId="0" fontId="11" fillId="0" borderId="1" xfId="0" applyFont="1" applyBorder="1" applyAlignment="1">
      <alignment horizontal="center"/>
    </xf>
    <xf numFmtId="0" fontId="12" fillId="0" borderId="1" xfId="0" applyFont="1" applyBorder="1"/>
    <xf numFmtId="0" fontId="0" fillId="0" borderId="0" xfId="0" applyBorder="1"/>
    <xf numFmtId="0" fontId="8" fillId="0" borderId="0" xfId="0" applyFont="1" applyBorder="1" applyAlignment="1">
      <alignment horizontal="center"/>
    </xf>
    <xf numFmtId="2" fontId="0" fillId="0" borderId="0" xfId="0" applyNumberFormat="1" applyBorder="1"/>
    <xf numFmtId="0" fontId="0" fillId="0" borderId="2" xfId="0" applyBorder="1"/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11" fontId="0" fillId="0" borderId="2" xfId="0" applyNumberFormat="1" applyBorder="1" applyAlignment="1">
      <alignment horizontal="right" vertical="center"/>
    </xf>
    <xf numFmtId="166" fontId="0" fillId="0" borderId="2" xfId="0" applyNumberFormat="1" applyBorder="1"/>
    <xf numFmtId="0" fontId="0" fillId="0" borderId="2" xfId="0" applyBorder="1" applyAlignment="1">
      <alignment horizontal="left" vertical="center"/>
    </xf>
    <xf numFmtId="165" fontId="0" fillId="0" borderId="2" xfId="0" applyNumberFormat="1" applyBorder="1"/>
    <xf numFmtId="0" fontId="0" fillId="0" borderId="0" xfId="0" applyFont="1"/>
    <xf numFmtId="0" fontId="0" fillId="0" borderId="0" xfId="0" applyFont="1" applyBorder="1"/>
    <xf numFmtId="0" fontId="0" fillId="3" borderId="1" xfId="0" applyFont="1" applyFill="1" applyBorder="1"/>
    <xf numFmtId="168" fontId="0" fillId="0" borderId="2" xfId="0" applyNumberFormat="1" applyBorder="1" applyAlignment="1">
      <alignment horizontal="right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1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heguid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9"/>
  <sheetViews>
    <sheetView showGridLines="0" tabSelected="1" topLeftCell="A31" zoomScaleNormal="100" workbookViewId="0">
      <selection activeCell="G48" sqref="G48"/>
    </sheetView>
  </sheetViews>
  <sheetFormatPr defaultRowHeight="15" x14ac:dyDescent="0.25"/>
  <cols>
    <col min="1" max="1" width="4.7109375" style="7" customWidth="1"/>
    <col min="2" max="2" width="9.140625" customWidth="1"/>
    <col min="4" max="4" width="3.85546875" customWidth="1"/>
    <col min="5" max="5" width="10.42578125" customWidth="1"/>
    <col min="6" max="6" width="10" customWidth="1"/>
    <col min="7" max="7" width="10.5703125" bestFit="1" customWidth="1"/>
    <col min="9" max="9" width="20.7109375" bestFit="1" customWidth="1"/>
    <col min="10" max="10" width="11" bestFit="1" customWidth="1"/>
    <col min="25" max="25" width="10.5703125" bestFit="1" customWidth="1"/>
  </cols>
  <sheetData>
    <row r="1" spans="2:7" ht="9" customHeight="1" x14ac:dyDescent="0.25"/>
    <row r="2" spans="2:7" ht="18.75" x14ac:dyDescent="0.3">
      <c r="B2" s="47" t="s">
        <v>71</v>
      </c>
      <c r="C2" s="47"/>
      <c r="D2" s="47"/>
      <c r="E2" s="47"/>
      <c r="F2" s="47"/>
      <c r="G2" s="47"/>
    </row>
    <row r="3" spans="2:7" ht="7.5" customHeight="1" x14ac:dyDescent="0.25"/>
    <row r="4" spans="2:7" x14ac:dyDescent="0.25">
      <c r="B4" s="18" t="s">
        <v>69</v>
      </c>
      <c r="F4" s="14" t="s">
        <v>79</v>
      </c>
      <c r="G4" s="21">
        <v>42849</v>
      </c>
    </row>
    <row r="5" spans="2:7" x14ac:dyDescent="0.25">
      <c r="B5" s="8" t="s">
        <v>70</v>
      </c>
      <c r="F5" s="14" t="s">
        <v>80</v>
      </c>
      <c r="G5" s="22" t="s">
        <v>81</v>
      </c>
    </row>
    <row r="6" spans="2:7" ht="7.5" customHeight="1" x14ac:dyDescent="0.25"/>
    <row r="7" spans="2:7" x14ac:dyDescent="0.25">
      <c r="B7" s="45" t="s">
        <v>22</v>
      </c>
      <c r="C7" s="45"/>
      <c r="E7" s="45" t="s">
        <v>39</v>
      </c>
      <c r="F7" s="45"/>
      <c r="G7" s="45"/>
    </row>
    <row r="8" spans="2:7" ht="18" x14ac:dyDescent="0.25">
      <c r="B8" s="1" t="s">
        <v>63</v>
      </c>
      <c r="C8" s="12"/>
      <c r="E8" s="9" t="s">
        <v>40</v>
      </c>
      <c r="G8" s="12"/>
    </row>
    <row r="9" spans="2:7" ht="18" x14ac:dyDescent="0.25">
      <c r="B9" s="5" t="s">
        <v>23</v>
      </c>
      <c r="C9" s="12"/>
      <c r="E9" s="9" t="s">
        <v>41</v>
      </c>
      <c r="G9" s="12"/>
    </row>
    <row r="10" spans="2:7" x14ac:dyDescent="0.25">
      <c r="B10" s="5" t="s">
        <v>24</v>
      </c>
      <c r="C10" s="12"/>
      <c r="E10" s="9" t="s">
        <v>42</v>
      </c>
      <c r="G10" s="12"/>
    </row>
    <row r="11" spans="2:7" x14ac:dyDescent="0.25">
      <c r="B11" s="5" t="s">
        <v>25</v>
      </c>
      <c r="C11" s="12"/>
      <c r="E11" s="9" t="s">
        <v>43</v>
      </c>
      <c r="G11" s="12"/>
    </row>
    <row r="12" spans="2:7" ht="18" x14ac:dyDescent="0.25">
      <c r="B12" s="1" t="s">
        <v>114</v>
      </c>
      <c r="C12" s="12"/>
      <c r="E12" s="9" t="s">
        <v>44</v>
      </c>
      <c r="G12" s="12"/>
    </row>
    <row r="13" spans="2:7" x14ac:dyDescent="0.25">
      <c r="B13" s="5" t="s">
        <v>26</v>
      </c>
      <c r="C13" s="12"/>
      <c r="E13" s="9" t="s">
        <v>45</v>
      </c>
      <c r="G13" s="12"/>
    </row>
    <row r="14" spans="2:7" x14ac:dyDescent="0.25">
      <c r="B14" s="5" t="s">
        <v>27</v>
      </c>
      <c r="C14" s="12"/>
      <c r="E14" s="9" t="s">
        <v>46</v>
      </c>
      <c r="G14" s="12"/>
    </row>
    <row r="15" spans="2:7" x14ac:dyDescent="0.25">
      <c r="B15" s="5" t="s">
        <v>29</v>
      </c>
      <c r="C15" s="12"/>
      <c r="E15" s="9" t="s">
        <v>47</v>
      </c>
      <c r="G15" s="12"/>
    </row>
    <row r="16" spans="2:7" x14ac:dyDescent="0.25">
      <c r="B16" s="5" t="s">
        <v>30</v>
      </c>
      <c r="C16" s="12"/>
      <c r="E16" s="9" t="s">
        <v>48</v>
      </c>
      <c r="G16" s="12"/>
    </row>
    <row r="17" spans="2:7" x14ac:dyDescent="0.25">
      <c r="B17" s="5" t="s">
        <v>31</v>
      </c>
      <c r="C17" s="12"/>
      <c r="E17" s="10" t="s">
        <v>61</v>
      </c>
      <c r="G17" s="12"/>
    </row>
    <row r="18" spans="2:7" x14ac:dyDescent="0.25">
      <c r="B18" s="45" t="s">
        <v>32</v>
      </c>
      <c r="C18" s="45"/>
      <c r="E18" s="45" t="s">
        <v>50</v>
      </c>
      <c r="F18" s="45"/>
      <c r="G18" s="45"/>
    </row>
    <row r="19" spans="2:7" ht="18" x14ac:dyDescent="0.25">
      <c r="B19" s="5" t="s">
        <v>23</v>
      </c>
      <c r="C19" s="12"/>
      <c r="E19" s="10" t="s">
        <v>64</v>
      </c>
      <c r="G19" s="12"/>
    </row>
    <row r="20" spans="2:7" x14ac:dyDescent="0.25">
      <c r="B20" s="5" t="s">
        <v>24</v>
      </c>
      <c r="C20" s="12"/>
      <c r="E20" s="9" t="s">
        <v>51</v>
      </c>
      <c r="G20" s="12"/>
    </row>
    <row r="21" spans="2:7" x14ac:dyDescent="0.25">
      <c r="B21" s="5" t="s">
        <v>25</v>
      </c>
      <c r="C21" s="12"/>
      <c r="E21" s="9" t="s">
        <v>52</v>
      </c>
      <c r="G21" s="12"/>
    </row>
    <row r="22" spans="2:7" x14ac:dyDescent="0.25">
      <c r="B22" s="5" t="s">
        <v>26</v>
      </c>
      <c r="C22" s="12">
        <v>8</v>
      </c>
      <c r="E22" s="9" t="s">
        <v>53</v>
      </c>
      <c r="G22" s="12"/>
    </row>
    <row r="23" spans="2:7" x14ac:dyDescent="0.25">
      <c r="B23" s="5" t="s">
        <v>27</v>
      </c>
      <c r="C23" s="12">
        <v>2</v>
      </c>
      <c r="E23" s="9" t="s">
        <v>54</v>
      </c>
      <c r="G23" s="12"/>
    </row>
    <row r="24" spans="2:7" x14ac:dyDescent="0.25">
      <c r="B24" s="42" t="s">
        <v>34</v>
      </c>
      <c r="C24" s="42"/>
      <c r="E24" s="9" t="s">
        <v>55</v>
      </c>
      <c r="G24" s="12"/>
    </row>
    <row r="25" spans="2:7" x14ac:dyDescent="0.25">
      <c r="B25" s="9" t="s">
        <v>35</v>
      </c>
      <c r="C25" s="12"/>
      <c r="E25" s="10" t="s">
        <v>62</v>
      </c>
      <c r="G25" s="12"/>
    </row>
    <row r="26" spans="2:7" x14ac:dyDescent="0.25">
      <c r="B26" s="9" t="s">
        <v>36</v>
      </c>
      <c r="C26" s="12"/>
      <c r="E26" s="9" t="s">
        <v>56</v>
      </c>
      <c r="G26" s="12"/>
    </row>
    <row r="27" spans="2:7" x14ac:dyDescent="0.25">
      <c r="B27" s="9" t="s">
        <v>37</v>
      </c>
      <c r="C27" s="12"/>
      <c r="E27" s="10" t="s">
        <v>65</v>
      </c>
      <c r="G27" s="12"/>
    </row>
    <row r="28" spans="2:7" x14ac:dyDescent="0.25">
      <c r="B28" s="9" t="s">
        <v>38</v>
      </c>
      <c r="C28" s="12"/>
      <c r="E28" s="45" t="s">
        <v>57</v>
      </c>
      <c r="F28" s="45"/>
      <c r="G28" s="45"/>
    </row>
    <row r="29" spans="2:7" x14ac:dyDescent="0.25">
      <c r="E29" s="9" t="s">
        <v>58</v>
      </c>
      <c r="G29" s="12"/>
    </row>
    <row r="30" spans="2:7" x14ac:dyDescent="0.25">
      <c r="E30" s="9" t="s">
        <v>59</v>
      </c>
      <c r="G30" s="12"/>
    </row>
    <row r="31" spans="2:7" x14ac:dyDescent="0.25">
      <c r="E31" s="9" t="s">
        <v>60</v>
      </c>
      <c r="G31" s="12"/>
    </row>
    <row r="32" spans="2:7" ht="8.25" customHeight="1" x14ac:dyDescent="0.25"/>
    <row r="33" spans="2:7" x14ac:dyDescent="0.25">
      <c r="B33" s="46" t="s">
        <v>112</v>
      </c>
      <c r="C33" s="46"/>
      <c r="D33" s="46"/>
      <c r="E33" s="46"/>
      <c r="F33" s="46"/>
      <c r="G33" s="46"/>
    </row>
    <row r="34" spans="2:7" x14ac:dyDescent="0.25">
      <c r="B34" s="38" t="s">
        <v>76</v>
      </c>
      <c r="F34" s="13" t="s">
        <v>77</v>
      </c>
      <c r="G34">
        <f>Y83</f>
        <v>128.17052000000001</v>
      </c>
    </row>
    <row r="35" spans="2:7" x14ac:dyDescent="0.25">
      <c r="B35" s="38" t="s">
        <v>93</v>
      </c>
      <c r="F35" s="13" t="s">
        <v>104</v>
      </c>
      <c r="G35" s="2">
        <f>198+M83</f>
        <v>473.86</v>
      </c>
    </row>
    <row r="36" spans="2:7" x14ac:dyDescent="0.25">
      <c r="B36" s="38" t="s">
        <v>78</v>
      </c>
      <c r="F36" s="13" t="s">
        <v>104</v>
      </c>
      <c r="G36" s="2">
        <f>G35/(0.584+0.965*J83-J83^2)</f>
        <v>775.82630921221789</v>
      </c>
    </row>
    <row r="37" spans="2:7" x14ac:dyDescent="0.25">
      <c r="B37" s="38" t="s">
        <v>84</v>
      </c>
      <c r="F37" s="13" t="s">
        <v>82</v>
      </c>
      <c r="G37" s="2">
        <f>(0.113+0.0032*Z83-K83)^-2</f>
        <v>38.965026550769089</v>
      </c>
    </row>
    <row r="38" spans="2:7" x14ac:dyDescent="0.25">
      <c r="B38" s="38" t="s">
        <v>83</v>
      </c>
      <c r="F38" s="13" t="s">
        <v>85</v>
      </c>
      <c r="G38" s="2">
        <f>17.5+L83</f>
        <v>409.5</v>
      </c>
    </row>
    <row r="39" spans="2:7" x14ac:dyDescent="0.25">
      <c r="B39" s="38" t="s">
        <v>86</v>
      </c>
      <c r="G39" s="15">
        <f>G37*G38/(83.1447*G36)</f>
        <v>0.2473601918024923</v>
      </c>
    </row>
    <row r="40" spans="2:7" x14ac:dyDescent="0.25">
      <c r="B40" s="38" t="s">
        <v>113</v>
      </c>
      <c r="G40" s="15">
        <f>J139</f>
        <v>6.3508438621439442E-2</v>
      </c>
    </row>
    <row r="41" spans="2:7" x14ac:dyDescent="0.25">
      <c r="B41" s="38" t="s">
        <v>90</v>
      </c>
      <c r="F41" s="13" t="s">
        <v>104</v>
      </c>
      <c r="G41">
        <f>122.5+N83</f>
        <v>261.58000000000004</v>
      </c>
    </row>
    <row r="42" spans="2:7" x14ac:dyDescent="0.25">
      <c r="B42" s="38" t="s">
        <v>91</v>
      </c>
      <c r="F42" s="13" t="s">
        <v>67</v>
      </c>
      <c r="G42">
        <f>68.29+O83</f>
        <v>177.87</v>
      </c>
    </row>
    <row r="43" spans="2:7" x14ac:dyDescent="0.25">
      <c r="B43" s="38" t="s">
        <v>92</v>
      </c>
      <c r="F43" s="13" t="s">
        <v>67</v>
      </c>
      <c r="G43">
        <f>53.88+P83</f>
        <v>252.38</v>
      </c>
    </row>
    <row r="44" spans="2:7" x14ac:dyDescent="0.25">
      <c r="B44" s="38" t="s">
        <v>94</v>
      </c>
      <c r="F44" s="13" t="s">
        <v>67</v>
      </c>
      <c r="G44" s="2">
        <f>1.092*8.3144598*G35*(LN(G37)-1.013)/(0.93 - G35/G36)/1000</f>
        <v>35.711569145349038</v>
      </c>
    </row>
    <row r="45" spans="2:7" x14ac:dyDescent="0.25">
      <c r="B45" s="39" t="s">
        <v>95</v>
      </c>
      <c r="C45" s="25"/>
      <c r="D45" s="25"/>
      <c r="E45" s="25"/>
      <c r="F45" s="26" t="s">
        <v>67</v>
      </c>
      <c r="G45" s="27">
        <f>-0.88+U83</f>
        <v>12.715999999999999</v>
      </c>
    </row>
    <row r="46" spans="2:7" ht="6.75" customHeight="1" x14ac:dyDescent="0.25">
      <c r="B46" s="25"/>
      <c r="C46" s="25"/>
      <c r="D46" s="25"/>
      <c r="E46" s="25"/>
      <c r="F46" s="26"/>
      <c r="G46" s="27"/>
    </row>
    <row r="47" spans="2:7" x14ac:dyDescent="0.25">
      <c r="B47" s="24" t="s">
        <v>101</v>
      </c>
      <c r="C47" s="24"/>
      <c r="D47" s="24"/>
      <c r="E47" s="24"/>
      <c r="F47" s="23" t="s">
        <v>104</v>
      </c>
      <c r="G47" s="40">
        <v>298</v>
      </c>
    </row>
    <row r="48" spans="2:7" x14ac:dyDescent="0.25">
      <c r="B48" s="38" t="s">
        <v>111</v>
      </c>
      <c r="F48" s="13"/>
      <c r="G48" s="20">
        <f>G47/G36</f>
        <v>0.3841065924956738</v>
      </c>
    </row>
    <row r="49" spans="2:7" x14ac:dyDescent="0.25">
      <c r="B49" s="38" t="s">
        <v>102</v>
      </c>
      <c r="F49" s="13" t="s">
        <v>103</v>
      </c>
      <c r="G49" s="2">
        <f>J142+J143*G47+J144*G47^2+J145*G47^3</f>
        <v>132.63358564479998</v>
      </c>
    </row>
    <row r="50" spans="2:7" x14ac:dyDescent="0.25">
      <c r="B50" s="38" t="s">
        <v>105</v>
      </c>
      <c r="F50" s="13" t="s">
        <v>67</v>
      </c>
      <c r="G50" s="2">
        <f>G44*( ((G36-G47)/(G36-G35))^0.38)</f>
        <v>42.51550372075517</v>
      </c>
    </row>
    <row r="51" spans="2:7" x14ac:dyDescent="0.25">
      <c r="B51" s="38" t="s">
        <v>106</v>
      </c>
      <c r="F51" s="13" t="s">
        <v>107</v>
      </c>
      <c r="G51" s="19">
        <f>G34*EXP(J148/G47+J149)</f>
        <v>1.0856919383953547E-3</v>
      </c>
    </row>
    <row r="52" spans="2:7" x14ac:dyDescent="0.25">
      <c r="B52" s="38" t="s">
        <v>108</v>
      </c>
      <c r="F52" s="13" t="s">
        <v>109</v>
      </c>
      <c r="G52" s="3">
        <f>G34/( (83.1447*G36/G37)*(G39^(1 + ((1-G47/G36)^(2/7)))  ) )</f>
        <v>1.0562094250396226</v>
      </c>
    </row>
    <row r="53" spans="2:7" x14ac:dyDescent="0.25">
      <c r="B53" s="38" t="s">
        <v>110</v>
      </c>
      <c r="F53" s="13" t="s">
        <v>82</v>
      </c>
      <c r="G53" s="3">
        <f>G37*EXP( (5.92714-6.09648/G48-1.28862*LN(G48)+0.169347*(G48^6) )+G40*(15.2518-15.6875/G48-13.4721*LN(G48)+0.43577*(G48^6)) )</f>
        <v>2.8657845524951743E-3</v>
      </c>
    </row>
    <row r="83" spans="8:26" x14ac:dyDescent="0.25">
      <c r="H83" s="28"/>
      <c r="I83" s="28"/>
      <c r="J83" s="28">
        <f>SUMPRODUCT($H$88:$H$133,J88:J133)</f>
        <v>2.86E-2</v>
      </c>
      <c r="K83" s="28">
        <f t="shared" ref="K83:Z83" si="0">SUMPRODUCT($H$88:$H$133,K88:K133)</f>
        <v>1.0400000000000001E-2</v>
      </c>
      <c r="L83" s="28">
        <f t="shared" si="0"/>
        <v>392</v>
      </c>
      <c r="M83" s="28">
        <f t="shared" si="0"/>
        <v>275.86</v>
      </c>
      <c r="N83" s="28">
        <f t="shared" si="0"/>
        <v>139.08000000000001</v>
      </c>
      <c r="O83" s="28">
        <f t="shared" si="0"/>
        <v>109.58</v>
      </c>
      <c r="P83" s="28">
        <f t="shared" si="0"/>
        <v>198.5</v>
      </c>
      <c r="Q83" s="28">
        <f t="shared" si="0"/>
        <v>-33.620000000000005</v>
      </c>
      <c r="R83" s="28">
        <f t="shared" si="0"/>
        <v>0.66120000000000001</v>
      </c>
      <c r="S83" s="28">
        <f t="shared" si="0"/>
        <v>-2.9712E-4</v>
      </c>
      <c r="T83" s="28">
        <f t="shared" si="0"/>
        <v>8.3999999999999958E-9</v>
      </c>
      <c r="U83" s="28">
        <f>SUMPRODUCT($H$88:$H$133,U88:U133)</f>
        <v>13.596</v>
      </c>
      <c r="V83" s="28">
        <f t="shared" si="0"/>
        <v>26.47</v>
      </c>
      <c r="W83" s="28">
        <f t="shared" si="0"/>
        <v>1585.7199999999998</v>
      </c>
      <c r="X83" s="28">
        <f t="shared" si="0"/>
        <v>-3.7919999999999998</v>
      </c>
      <c r="Y83" s="28">
        <f t="shared" si="0"/>
        <v>128.17052000000001</v>
      </c>
      <c r="Z83" s="28">
        <f t="shared" si="0"/>
        <v>18</v>
      </c>
    </row>
    <row r="84" spans="8:26" ht="18" x14ac:dyDescent="0.25">
      <c r="H84" s="28"/>
      <c r="I84" s="29" t="s">
        <v>0</v>
      </c>
      <c r="J84" s="30" t="s">
        <v>1</v>
      </c>
      <c r="K84" s="30" t="s">
        <v>2</v>
      </c>
      <c r="L84" s="30" t="s">
        <v>3</v>
      </c>
      <c r="M84" s="30" t="s">
        <v>4</v>
      </c>
      <c r="N84" s="30" t="s">
        <v>5</v>
      </c>
      <c r="O84" s="30" t="s">
        <v>6</v>
      </c>
      <c r="P84" s="30" t="s">
        <v>7</v>
      </c>
      <c r="Q84" s="30" t="s">
        <v>8</v>
      </c>
      <c r="R84" s="30" t="s">
        <v>9</v>
      </c>
      <c r="S84" s="30" t="s">
        <v>10</v>
      </c>
      <c r="T84" s="30" t="s">
        <v>11</v>
      </c>
      <c r="U84" s="30" t="s">
        <v>12</v>
      </c>
      <c r="V84" s="30" t="s">
        <v>13</v>
      </c>
      <c r="W84" s="30" t="s">
        <v>8</v>
      </c>
      <c r="X84" s="30" t="s">
        <v>9</v>
      </c>
      <c r="Y84" s="30" t="s">
        <v>74</v>
      </c>
      <c r="Z84" s="30" t="s">
        <v>72</v>
      </c>
    </row>
    <row r="85" spans="8:26" x14ac:dyDescent="0.25">
      <c r="H85" s="28"/>
      <c r="I85" s="43"/>
      <c r="J85" s="44" t="s">
        <v>14</v>
      </c>
      <c r="K85" s="44"/>
      <c r="L85" s="44"/>
      <c r="M85" s="44" t="s">
        <v>15</v>
      </c>
      <c r="N85" s="44"/>
      <c r="O85" s="44" t="s">
        <v>17</v>
      </c>
      <c r="P85" s="44"/>
      <c r="Q85" s="44" t="s">
        <v>19</v>
      </c>
      <c r="R85" s="44"/>
      <c r="S85" s="44"/>
      <c r="T85" s="44"/>
      <c r="U85" s="44" t="s">
        <v>20</v>
      </c>
      <c r="V85" s="44"/>
      <c r="W85" s="44" t="s">
        <v>21</v>
      </c>
      <c r="X85" s="44"/>
      <c r="Y85" s="30" t="s">
        <v>75</v>
      </c>
      <c r="Z85" s="30" t="s">
        <v>73</v>
      </c>
    </row>
    <row r="86" spans="8:26" x14ac:dyDescent="0.25">
      <c r="H86" s="28"/>
      <c r="I86" s="43"/>
      <c r="J86" s="44"/>
      <c r="K86" s="44"/>
      <c r="L86" s="44"/>
      <c r="M86" s="44" t="s">
        <v>16</v>
      </c>
      <c r="N86" s="44"/>
      <c r="O86" s="44" t="s">
        <v>18</v>
      </c>
      <c r="P86" s="44"/>
      <c r="Q86" s="44"/>
      <c r="R86" s="44"/>
      <c r="S86" s="44"/>
      <c r="T86" s="44"/>
      <c r="U86" s="44" t="s">
        <v>16</v>
      </c>
      <c r="V86" s="44"/>
      <c r="W86" s="44"/>
      <c r="X86" s="44"/>
      <c r="Y86" s="28"/>
      <c r="Z86" s="28"/>
    </row>
    <row r="87" spans="8:26" x14ac:dyDescent="0.25">
      <c r="H87" s="28"/>
      <c r="I87" s="31" t="s">
        <v>22</v>
      </c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8:26" ht="18" x14ac:dyDescent="0.25">
      <c r="H88" s="28">
        <f>C8</f>
        <v>0</v>
      </c>
      <c r="I88" s="32" t="s">
        <v>63</v>
      </c>
      <c r="J88" s="33">
        <v>1.41E-2</v>
      </c>
      <c r="K88" s="33">
        <v>-1.1999999999999999E-3</v>
      </c>
      <c r="L88" s="33">
        <v>65</v>
      </c>
      <c r="M88" s="33">
        <v>23.58</v>
      </c>
      <c r="N88" s="33">
        <v>-5.0999999999999996</v>
      </c>
      <c r="O88" s="33">
        <v>-76.45</v>
      </c>
      <c r="P88" s="33">
        <v>-43.96</v>
      </c>
      <c r="Q88" s="34">
        <v>19.5</v>
      </c>
      <c r="R88" s="34">
        <v>-8.0800000000000004E-3</v>
      </c>
      <c r="S88" s="34">
        <v>1.5300000000000001E-4</v>
      </c>
      <c r="T88" s="34">
        <v>-9.6699999999999999E-8</v>
      </c>
      <c r="U88" s="33">
        <v>0.90800000000000003</v>
      </c>
      <c r="V88" s="33">
        <v>2.3730000000000002</v>
      </c>
      <c r="W88" s="33">
        <v>548.29</v>
      </c>
      <c r="X88" s="33">
        <v>-1.7190000000000001</v>
      </c>
      <c r="Y88" s="35">
        <v>15.034520000000001</v>
      </c>
      <c r="Z88" s="28">
        <v>4</v>
      </c>
    </row>
    <row r="89" spans="8:26" ht="18" x14ac:dyDescent="0.25">
      <c r="H89" s="28">
        <f t="shared" ref="H89:H97" si="1">C9</f>
        <v>0</v>
      </c>
      <c r="I89" s="36" t="s">
        <v>23</v>
      </c>
      <c r="J89" s="33">
        <v>1.89E-2</v>
      </c>
      <c r="K89" s="33">
        <v>0</v>
      </c>
      <c r="L89" s="33">
        <v>56</v>
      </c>
      <c r="M89" s="33">
        <v>22.88</v>
      </c>
      <c r="N89" s="33">
        <v>11.27</v>
      </c>
      <c r="O89" s="33">
        <v>-20.64</v>
      </c>
      <c r="P89" s="33">
        <v>8.42</v>
      </c>
      <c r="Q89" s="34">
        <v>-0.90900000000000003</v>
      </c>
      <c r="R89" s="34">
        <v>9.5000000000000001E-2</v>
      </c>
      <c r="S89" s="34">
        <v>-5.4400000000000001E-5</v>
      </c>
      <c r="T89" s="34">
        <v>1.1900000000000001E-8</v>
      </c>
      <c r="U89" s="33">
        <v>2.59</v>
      </c>
      <c r="V89" s="33">
        <v>2.226</v>
      </c>
      <c r="W89" s="33">
        <v>94.16</v>
      </c>
      <c r="X89" s="33">
        <v>-0.19900000000000001</v>
      </c>
      <c r="Y89" s="28">
        <v>14.026579999999999</v>
      </c>
      <c r="Z89" s="28">
        <v>3</v>
      </c>
    </row>
    <row r="90" spans="8:26" x14ac:dyDescent="0.25">
      <c r="H90" s="28">
        <f t="shared" si="1"/>
        <v>0</v>
      </c>
      <c r="I90" s="36" t="s">
        <v>24</v>
      </c>
      <c r="J90" s="33">
        <v>1.6400000000000001E-2</v>
      </c>
      <c r="K90" s="33">
        <v>2E-3</v>
      </c>
      <c r="L90" s="33">
        <v>41</v>
      </c>
      <c r="M90" s="33">
        <v>21.74</v>
      </c>
      <c r="N90" s="33">
        <v>12.64</v>
      </c>
      <c r="O90" s="33">
        <v>29.89</v>
      </c>
      <c r="P90" s="33">
        <v>58.36</v>
      </c>
      <c r="Q90" s="34">
        <v>-23</v>
      </c>
      <c r="R90" s="34">
        <v>0.20399999999999999</v>
      </c>
      <c r="S90" s="34">
        <v>-2.6499999999999999E-4</v>
      </c>
      <c r="T90" s="34">
        <v>1.1999999999999999E-7</v>
      </c>
      <c r="U90" s="33">
        <v>0.749</v>
      </c>
      <c r="V90" s="33">
        <v>1.6910000000000001</v>
      </c>
      <c r="W90" s="33">
        <v>-322.14999999999998</v>
      </c>
      <c r="X90" s="33">
        <v>1.1870000000000001</v>
      </c>
      <c r="Y90" s="28">
        <v>13.01864</v>
      </c>
      <c r="Z90" s="28">
        <v>2</v>
      </c>
    </row>
    <row r="91" spans="8:26" x14ac:dyDescent="0.25">
      <c r="H91" s="28">
        <f t="shared" si="1"/>
        <v>0</v>
      </c>
      <c r="I91" s="36" t="s">
        <v>25</v>
      </c>
      <c r="J91" s="33">
        <v>6.7000000000000002E-3</v>
      </c>
      <c r="K91" s="33">
        <v>4.3E-3</v>
      </c>
      <c r="L91" s="33">
        <v>27</v>
      </c>
      <c r="M91" s="33">
        <v>18.25</v>
      </c>
      <c r="N91" s="33">
        <v>46.43</v>
      </c>
      <c r="O91" s="33">
        <v>82.23</v>
      </c>
      <c r="P91" s="33">
        <v>116.02</v>
      </c>
      <c r="Q91" s="34">
        <v>-66.2</v>
      </c>
      <c r="R91" s="34">
        <v>0.42699999999999999</v>
      </c>
      <c r="S91" s="34">
        <v>-6.4099999999999997E-4</v>
      </c>
      <c r="T91" s="34">
        <v>3.0100000000000001E-7</v>
      </c>
      <c r="U91" s="33">
        <v>-1.46</v>
      </c>
      <c r="V91" s="33">
        <v>0.63600000000000001</v>
      </c>
      <c r="W91" s="33">
        <v>-573.55999999999995</v>
      </c>
      <c r="X91" s="33">
        <v>2.3069999999999999</v>
      </c>
      <c r="Y91" s="28">
        <v>12.0107</v>
      </c>
      <c r="Z91" s="28">
        <v>1</v>
      </c>
    </row>
    <row r="92" spans="8:26" ht="18" x14ac:dyDescent="0.25">
      <c r="H92" s="28">
        <f t="shared" si="1"/>
        <v>0</v>
      </c>
      <c r="I92" s="32" t="s">
        <v>114</v>
      </c>
      <c r="J92" s="33">
        <v>1.1299999999999999E-2</v>
      </c>
      <c r="K92" s="33">
        <v>-2.8E-3</v>
      </c>
      <c r="L92" s="33">
        <v>56</v>
      </c>
      <c r="M92" s="33">
        <v>18.18</v>
      </c>
      <c r="N92" s="33">
        <v>-4.32</v>
      </c>
      <c r="O92" s="33">
        <v>-9.6300000000000008</v>
      </c>
      <c r="P92" s="33">
        <v>3.77</v>
      </c>
      <c r="Q92" s="34">
        <v>23.6</v>
      </c>
      <c r="R92" s="34">
        <v>-3.8100000000000002E-2</v>
      </c>
      <c r="S92" s="34">
        <v>1.7200000000000001E-4</v>
      </c>
      <c r="T92" s="34">
        <v>-1.03E-7</v>
      </c>
      <c r="U92" s="33">
        <v>-0.47299999999999998</v>
      </c>
      <c r="V92" s="33">
        <v>1.724</v>
      </c>
      <c r="W92" s="33">
        <v>495.01</v>
      </c>
      <c r="X92" s="33">
        <v>-1.5389999999999999</v>
      </c>
      <c r="Y92" s="28">
        <v>14.026579999999999</v>
      </c>
      <c r="Z92" s="28">
        <v>3</v>
      </c>
    </row>
    <row r="93" spans="8:26" x14ac:dyDescent="0.25">
      <c r="H93" s="28">
        <f t="shared" si="1"/>
        <v>0</v>
      </c>
      <c r="I93" s="36" t="s">
        <v>26</v>
      </c>
      <c r="J93" s="41">
        <v>1.29E-2</v>
      </c>
      <c r="K93" s="33">
        <v>-5.9999999999999995E-4</v>
      </c>
      <c r="L93" s="33">
        <v>46</v>
      </c>
      <c r="M93" s="33">
        <v>24.96</v>
      </c>
      <c r="N93" s="33">
        <v>8.73</v>
      </c>
      <c r="O93" s="33">
        <v>37.97</v>
      </c>
      <c r="P93" s="33">
        <v>48.53</v>
      </c>
      <c r="Q93" s="33">
        <v>-8</v>
      </c>
      <c r="R93" s="34">
        <v>0.105</v>
      </c>
      <c r="S93" s="34">
        <v>-9.6299999999999996E-5</v>
      </c>
      <c r="T93" s="34">
        <v>3.5600000000000001E-8</v>
      </c>
      <c r="U93" s="33">
        <v>2.6909999999999998</v>
      </c>
      <c r="V93" s="33">
        <v>2.2050000000000001</v>
      </c>
      <c r="W93" s="33">
        <v>82.28</v>
      </c>
      <c r="X93" s="33">
        <v>-0.24199999999999999</v>
      </c>
      <c r="Y93" s="28">
        <v>13.01864</v>
      </c>
      <c r="Z93" s="28">
        <v>2</v>
      </c>
    </row>
    <row r="94" spans="8:26" x14ac:dyDescent="0.25">
      <c r="H94" s="28">
        <f t="shared" si="1"/>
        <v>0</v>
      </c>
      <c r="I94" s="36" t="s">
        <v>27</v>
      </c>
      <c r="J94" s="33">
        <v>1.17E-2</v>
      </c>
      <c r="K94" s="33">
        <v>1.1000000000000001E-3</v>
      </c>
      <c r="L94" s="33">
        <v>38</v>
      </c>
      <c r="M94" s="33">
        <v>24.14</v>
      </c>
      <c r="N94" s="33">
        <v>11.14</v>
      </c>
      <c r="O94" s="33">
        <v>83.99</v>
      </c>
      <c r="P94" s="33">
        <v>92.36</v>
      </c>
      <c r="Q94" s="34">
        <v>-28.1</v>
      </c>
      <c r="R94" s="34">
        <v>0.20799999999999999</v>
      </c>
      <c r="S94" s="34">
        <v>-3.0600000000000001E-4</v>
      </c>
      <c r="T94" s="34">
        <v>1.4600000000000001E-7</v>
      </c>
      <c r="U94" s="33">
        <v>3.0630000000000002</v>
      </c>
      <c r="V94" s="33">
        <v>2.1379999999999999</v>
      </c>
      <c r="W94" s="33" t="s">
        <v>28</v>
      </c>
      <c r="X94" s="33" t="s">
        <v>28</v>
      </c>
      <c r="Y94" s="28">
        <v>12.0107</v>
      </c>
      <c r="Z94" s="28">
        <v>1</v>
      </c>
    </row>
    <row r="95" spans="8:26" x14ac:dyDescent="0.25">
      <c r="H95" s="28">
        <f t="shared" si="1"/>
        <v>0</v>
      </c>
      <c r="I95" s="36" t="s">
        <v>29</v>
      </c>
      <c r="J95" s="33">
        <v>2.5999999999999999E-3</v>
      </c>
      <c r="K95" s="33">
        <v>2.8E-3</v>
      </c>
      <c r="L95" s="33">
        <v>36</v>
      </c>
      <c r="M95" s="33">
        <v>26.15</v>
      </c>
      <c r="N95" s="33">
        <v>17.78</v>
      </c>
      <c r="O95" s="33">
        <v>142.13999999999999</v>
      </c>
      <c r="P95" s="33">
        <v>136.69999999999999</v>
      </c>
      <c r="Q95" s="34">
        <v>27.4</v>
      </c>
      <c r="R95" s="34">
        <v>-5.57E-2</v>
      </c>
      <c r="S95" s="34">
        <v>1.01E-4</v>
      </c>
      <c r="T95" s="34">
        <v>-5.02E-8</v>
      </c>
      <c r="U95" s="33">
        <v>4.72</v>
      </c>
      <c r="V95" s="33">
        <v>2.661</v>
      </c>
      <c r="W95" s="33" t="s">
        <v>28</v>
      </c>
      <c r="X95" s="33" t="s">
        <v>28</v>
      </c>
      <c r="Y95" s="28">
        <v>12.0107</v>
      </c>
      <c r="Z95" s="28">
        <v>1</v>
      </c>
    </row>
    <row r="96" spans="8:26" x14ac:dyDescent="0.25">
      <c r="H96" s="28">
        <f t="shared" si="1"/>
        <v>0</v>
      </c>
      <c r="I96" s="36" t="s">
        <v>30</v>
      </c>
      <c r="J96" s="33">
        <v>2.7000000000000001E-3</v>
      </c>
      <c r="K96" s="33">
        <v>-8.0000000000000004E-4</v>
      </c>
      <c r="L96" s="33">
        <v>46</v>
      </c>
      <c r="M96" s="33">
        <v>9.1999999999999993</v>
      </c>
      <c r="N96" s="33">
        <v>-11.18</v>
      </c>
      <c r="O96" s="33">
        <v>79.3</v>
      </c>
      <c r="P96" s="33">
        <v>77.709999999999994</v>
      </c>
      <c r="Q96" s="34">
        <v>24.5</v>
      </c>
      <c r="R96" s="34">
        <v>-2.7099999999999999E-2</v>
      </c>
      <c r="S96" s="34">
        <v>1.11E-4</v>
      </c>
      <c r="T96" s="34">
        <v>-6.7799999999999998E-8</v>
      </c>
      <c r="U96" s="33">
        <v>2.3220000000000001</v>
      </c>
      <c r="V96" s="33">
        <v>1.155</v>
      </c>
      <c r="W96" s="33" t="s">
        <v>28</v>
      </c>
      <c r="X96" s="33" t="s">
        <v>28</v>
      </c>
      <c r="Y96" s="28">
        <v>13.01864</v>
      </c>
      <c r="Z96" s="28">
        <v>2</v>
      </c>
    </row>
    <row r="97" spans="8:26" x14ac:dyDescent="0.25">
      <c r="H97" s="28">
        <f t="shared" si="1"/>
        <v>0</v>
      </c>
      <c r="I97" s="36" t="s">
        <v>31</v>
      </c>
      <c r="J97" s="33">
        <v>2E-3</v>
      </c>
      <c r="K97" s="33">
        <v>1.6000000000000001E-3</v>
      </c>
      <c r="L97" s="33">
        <v>37</v>
      </c>
      <c r="M97" s="33">
        <v>27.38</v>
      </c>
      <c r="N97" s="33">
        <v>64.319999999999993</v>
      </c>
      <c r="O97" s="33">
        <v>115.51</v>
      </c>
      <c r="P97" s="33">
        <v>109.82</v>
      </c>
      <c r="Q97" s="33">
        <v>7.87</v>
      </c>
      <c r="R97" s="34">
        <v>2.01E-2</v>
      </c>
      <c r="S97" s="34">
        <v>-8.3299999999999999E-6</v>
      </c>
      <c r="T97" s="34">
        <v>1.39E-9</v>
      </c>
      <c r="U97" s="33">
        <v>4.1509999999999998</v>
      </c>
      <c r="V97" s="33">
        <v>3.302</v>
      </c>
      <c r="W97" s="33" t="s">
        <v>28</v>
      </c>
      <c r="X97" s="33" t="s">
        <v>28</v>
      </c>
      <c r="Y97" s="28">
        <v>12.0107</v>
      </c>
      <c r="Z97" s="28">
        <v>1</v>
      </c>
    </row>
    <row r="98" spans="8:26" x14ac:dyDescent="0.25">
      <c r="H98" s="28"/>
      <c r="I98" s="31" t="s">
        <v>32</v>
      </c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8:26" ht="18" x14ac:dyDescent="0.25">
      <c r="H99" s="28">
        <f>C19</f>
        <v>0</v>
      </c>
      <c r="I99" s="36" t="s">
        <v>23</v>
      </c>
      <c r="J99" s="33">
        <v>0.01</v>
      </c>
      <c r="K99" s="33">
        <v>2.5000000000000001E-3</v>
      </c>
      <c r="L99" s="33">
        <v>48</v>
      </c>
      <c r="M99" s="33">
        <v>27.15</v>
      </c>
      <c r="N99" s="33">
        <v>7.75</v>
      </c>
      <c r="O99" s="33">
        <v>-26.8</v>
      </c>
      <c r="P99" s="33">
        <v>-3.68</v>
      </c>
      <c r="Q99" s="33">
        <v>-6.03</v>
      </c>
      <c r="R99" s="34">
        <v>8.5400000000000004E-2</v>
      </c>
      <c r="S99" s="34">
        <v>-7.9999999999999996E-6</v>
      </c>
      <c r="T99" s="34">
        <v>-1.7999999999999999E-8</v>
      </c>
      <c r="U99" s="33">
        <v>0.49</v>
      </c>
      <c r="V99" s="33">
        <v>2.3980000000000001</v>
      </c>
      <c r="W99" s="33">
        <v>307.52999999999997</v>
      </c>
      <c r="X99" s="33">
        <v>-0.79800000000000004</v>
      </c>
      <c r="Y99" s="28">
        <v>14.026579999999999</v>
      </c>
      <c r="Z99" s="28">
        <v>3</v>
      </c>
    </row>
    <row r="100" spans="8:26" x14ac:dyDescent="0.25">
      <c r="H100" s="28">
        <f t="shared" ref="H100:H103" si="2">C20</f>
        <v>0</v>
      </c>
      <c r="I100" s="36" t="s">
        <v>24</v>
      </c>
      <c r="J100" s="33">
        <v>1.2200000000000001E-2</v>
      </c>
      <c r="K100" s="33">
        <v>4.0000000000000002E-4</v>
      </c>
      <c r="L100" s="33">
        <v>38</v>
      </c>
      <c r="M100" s="33">
        <v>21.78</v>
      </c>
      <c r="N100" s="33">
        <v>19.88</v>
      </c>
      <c r="O100" s="33">
        <v>8.67</v>
      </c>
      <c r="P100" s="33">
        <v>40.99</v>
      </c>
      <c r="Q100" s="34">
        <v>-20.5</v>
      </c>
      <c r="R100" s="34">
        <v>0.16200000000000001</v>
      </c>
      <c r="S100" s="34">
        <v>-1.6000000000000001E-4</v>
      </c>
      <c r="T100" s="34">
        <v>6.2400000000000003E-8</v>
      </c>
      <c r="U100" s="33">
        <v>3.2429999999999999</v>
      </c>
      <c r="V100" s="33">
        <v>1.9419999999999999</v>
      </c>
      <c r="W100" s="33">
        <v>-394.29</v>
      </c>
      <c r="X100" s="33">
        <v>1.2509999999999999</v>
      </c>
      <c r="Y100" s="28">
        <v>13.01864</v>
      </c>
      <c r="Z100" s="28">
        <v>2</v>
      </c>
    </row>
    <row r="101" spans="8:26" x14ac:dyDescent="0.25">
      <c r="H101" s="28">
        <f t="shared" si="2"/>
        <v>0</v>
      </c>
      <c r="I101" s="36" t="s">
        <v>25</v>
      </c>
      <c r="J101" s="33">
        <v>4.1999999999999997E-3</v>
      </c>
      <c r="K101" s="33">
        <v>6.1000000000000004E-3</v>
      </c>
      <c r="L101" s="33">
        <v>27</v>
      </c>
      <c r="M101" s="33">
        <v>21.32</v>
      </c>
      <c r="N101" s="33">
        <v>60.15</v>
      </c>
      <c r="O101" s="33">
        <v>79.72</v>
      </c>
      <c r="P101" s="33">
        <v>87.88</v>
      </c>
      <c r="Q101" s="34">
        <v>-90.9</v>
      </c>
      <c r="R101" s="34">
        <v>0.55700000000000005</v>
      </c>
      <c r="S101" s="34">
        <v>-8.9999999999999998E-4</v>
      </c>
      <c r="T101" s="34">
        <v>4.6899999999999998E-7</v>
      </c>
      <c r="U101" s="33">
        <v>-1.373</v>
      </c>
      <c r="V101" s="33">
        <v>0.64400000000000002</v>
      </c>
      <c r="W101" s="33" t="s">
        <v>28</v>
      </c>
      <c r="X101" s="33" t="s">
        <v>28</v>
      </c>
      <c r="Y101" s="28">
        <v>12.0107</v>
      </c>
      <c r="Z101" s="28">
        <v>1</v>
      </c>
    </row>
    <row r="102" spans="8:26" x14ac:dyDescent="0.25">
      <c r="H102" s="28">
        <f t="shared" si="2"/>
        <v>8</v>
      </c>
      <c r="I102" s="36" t="s">
        <v>26</v>
      </c>
      <c r="J102" s="33" t="s">
        <v>33</v>
      </c>
      <c r="K102" s="33">
        <v>1.1000000000000001E-3</v>
      </c>
      <c r="L102" s="33">
        <v>41</v>
      </c>
      <c r="M102" s="33">
        <v>26.73</v>
      </c>
      <c r="N102" s="33">
        <v>8.1300000000000008</v>
      </c>
      <c r="O102" s="33">
        <v>2.09</v>
      </c>
      <c r="P102" s="33">
        <v>11.3</v>
      </c>
      <c r="Q102" s="33">
        <v>-2.14</v>
      </c>
      <c r="R102" s="34">
        <v>5.74E-2</v>
      </c>
      <c r="S102" s="34">
        <v>-1.64E-6</v>
      </c>
      <c r="T102" s="34">
        <v>-1.59E-8</v>
      </c>
      <c r="U102" s="33">
        <v>1.101</v>
      </c>
      <c r="V102" s="33">
        <v>2.544</v>
      </c>
      <c r="W102" s="33">
        <v>259.64999999999998</v>
      </c>
      <c r="X102" s="33">
        <v>-0.70199999999999996</v>
      </c>
      <c r="Y102" s="28">
        <v>13.01864</v>
      </c>
      <c r="Z102" s="28">
        <v>2</v>
      </c>
    </row>
    <row r="103" spans="8:26" x14ac:dyDescent="0.25">
      <c r="H103" s="28">
        <f t="shared" si="2"/>
        <v>2</v>
      </c>
      <c r="I103" s="36" t="s">
        <v>27</v>
      </c>
      <c r="J103" s="33">
        <v>1.43E-2</v>
      </c>
      <c r="K103" s="33">
        <v>8.0000000000000004E-4</v>
      </c>
      <c r="L103" s="33">
        <v>32</v>
      </c>
      <c r="M103" s="33">
        <v>31.01</v>
      </c>
      <c r="N103" s="33">
        <v>37.020000000000003</v>
      </c>
      <c r="O103" s="33">
        <v>46.43</v>
      </c>
      <c r="P103" s="33">
        <v>54.05</v>
      </c>
      <c r="Q103" s="33">
        <v>-8.25</v>
      </c>
      <c r="R103" s="34">
        <v>0.10100000000000001</v>
      </c>
      <c r="S103" s="34">
        <v>-1.4200000000000001E-4</v>
      </c>
      <c r="T103" s="34">
        <v>6.7799999999999998E-8</v>
      </c>
      <c r="U103" s="33">
        <v>2.3940000000000001</v>
      </c>
      <c r="V103" s="33">
        <v>3.0590000000000002</v>
      </c>
      <c r="W103" s="33">
        <v>-245.74</v>
      </c>
      <c r="X103" s="33">
        <v>0.91200000000000003</v>
      </c>
      <c r="Y103" s="28">
        <v>12.0107</v>
      </c>
      <c r="Z103" s="28">
        <v>1</v>
      </c>
    </row>
    <row r="104" spans="8:26" x14ac:dyDescent="0.25">
      <c r="H104" s="28"/>
      <c r="I104" s="31" t="s">
        <v>34</v>
      </c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8:26" x14ac:dyDescent="0.25">
      <c r="H105" s="28">
        <f>C25</f>
        <v>0</v>
      </c>
      <c r="I105" s="36" t="s">
        <v>35</v>
      </c>
      <c r="J105" s="33">
        <v>1.11E-2</v>
      </c>
      <c r="K105" s="33">
        <v>-5.7000000000000002E-3</v>
      </c>
      <c r="L105" s="33">
        <v>27</v>
      </c>
      <c r="M105" s="33">
        <v>-0.03</v>
      </c>
      <c r="N105" s="33">
        <v>-15.78</v>
      </c>
      <c r="O105" s="33">
        <v>-251.92</v>
      </c>
      <c r="P105" s="33">
        <v>-247.19</v>
      </c>
      <c r="Q105" s="34">
        <v>26.5</v>
      </c>
      <c r="R105" s="34">
        <v>-9.1300000000000006E-2</v>
      </c>
      <c r="S105" s="34">
        <v>1.9100000000000001E-4</v>
      </c>
      <c r="T105" s="34">
        <v>-1.03E-7</v>
      </c>
      <c r="U105" s="33">
        <v>1.3979999999999999</v>
      </c>
      <c r="V105" s="33">
        <v>-0.67</v>
      </c>
      <c r="W105" s="33" t="s">
        <v>28</v>
      </c>
      <c r="X105" s="33" t="s">
        <v>28</v>
      </c>
      <c r="Y105" s="37">
        <v>18.998403199999998</v>
      </c>
      <c r="Z105" s="28">
        <v>1</v>
      </c>
    </row>
    <row r="106" spans="8:26" x14ac:dyDescent="0.25">
      <c r="H106" s="28">
        <f t="shared" ref="H106:H108" si="3">C26</f>
        <v>0</v>
      </c>
      <c r="I106" s="36" t="s">
        <v>36</v>
      </c>
      <c r="J106" s="33">
        <v>1.0500000000000001E-2</v>
      </c>
      <c r="K106" s="33">
        <v>-4.8999999999999998E-3</v>
      </c>
      <c r="L106" s="33">
        <v>58</v>
      </c>
      <c r="M106" s="33">
        <v>38.130000000000003</v>
      </c>
      <c r="N106" s="33">
        <v>13.55</v>
      </c>
      <c r="O106" s="33">
        <v>-71.55</v>
      </c>
      <c r="P106" s="33">
        <v>-64.31</v>
      </c>
      <c r="Q106" s="34">
        <v>33.299999999999997</v>
      </c>
      <c r="R106" s="34">
        <v>-9.6299999999999997E-2</v>
      </c>
      <c r="S106" s="34">
        <v>1.8699999999999999E-4</v>
      </c>
      <c r="T106" s="34">
        <v>-9.9600000000000005E-8</v>
      </c>
      <c r="U106" s="33">
        <v>2.5150000000000001</v>
      </c>
      <c r="V106" s="33">
        <v>4.532</v>
      </c>
      <c r="W106" s="33">
        <v>625.45000000000005</v>
      </c>
      <c r="X106" s="33">
        <v>-1.8140000000000001</v>
      </c>
      <c r="Y106" s="28">
        <v>35.453000000000003</v>
      </c>
      <c r="Z106" s="28">
        <v>1</v>
      </c>
    </row>
    <row r="107" spans="8:26" x14ac:dyDescent="0.25">
      <c r="H107" s="28">
        <f t="shared" si="3"/>
        <v>0</v>
      </c>
      <c r="I107" s="36" t="s">
        <v>37</v>
      </c>
      <c r="J107" s="33">
        <v>1.3299999999999999E-2</v>
      </c>
      <c r="K107" s="33">
        <v>5.7000000000000002E-3</v>
      </c>
      <c r="L107" s="33">
        <v>71</v>
      </c>
      <c r="M107" s="33">
        <v>66.86</v>
      </c>
      <c r="N107" s="33">
        <v>43.43</v>
      </c>
      <c r="O107" s="33">
        <v>-29.48</v>
      </c>
      <c r="P107" s="33">
        <v>-38.06</v>
      </c>
      <c r="Q107" s="34">
        <v>28.6</v>
      </c>
      <c r="R107" s="34">
        <v>-6.4899999999999999E-2</v>
      </c>
      <c r="S107" s="34">
        <v>1.36E-4</v>
      </c>
      <c r="T107" s="34">
        <v>-7.4499999999999999E-8</v>
      </c>
      <c r="U107" s="33">
        <v>3.6030000000000002</v>
      </c>
      <c r="V107" s="33">
        <v>6.5819999999999999</v>
      </c>
      <c r="W107" s="33">
        <v>738.91</v>
      </c>
      <c r="X107" s="33">
        <v>-2.0379999999999998</v>
      </c>
      <c r="Y107" s="28">
        <v>79.903999999999996</v>
      </c>
      <c r="Z107" s="28">
        <v>1</v>
      </c>
    </row>
    <row r="108" spans="8:26" x14ac:dyDescent="0.25">
      <c r="H108" s="28">
        <f t="shared" si="3"/>
        <v>0</v>
      </c>
      <c r="I108" s="36" t="s">
        <v>38</v>
      </c>
      <c r="J108" s="33">
        <v>6.7999999999999996E-3</v>
      </c>
      <c r="K108" s="33">
        <v>-3.3999999999999998E-3</v>
      </c>
      <c r="L108" s="33">
        <v>97</v>
      </c>
      <c r="M108" s="33">
        <v>93.84</v>
      </c>
      <c r="N108" s="33">
        <v>41.69</v>
      </c>
      <c r="O108" s="33">
        <v>21.06</v>
      </c>
      <c r="P108" s="33">
        <v>5.74</v>
      </c>
      <c r="Q108" s="34">
        <v>32.1</v>
      </c>
      <c r="R108" s="34">
        <v>-6.4100000000000004E-2</v>
      </c>
      <c r="S108" s="34">
        <v>1.26E-4</v>
      </c>
      <c r="T108" s="34">
        <v>-6.87E-8</v>
      </c>
      <c r="U108" s="33">
        <v>2.7240000000000002</v>
      </c>
      <c r="V108" s="33">
        <v>9.52</v>
      </c>
      <c r="W108" s="33">
        <v>809.55</v>
      </c>
      <c r="X108" s="33">
        <v>-2.2240000000000002</v>
      </c>
      <c r="Y108" s="28">
        <v>126.90447</v>
      </c>
      <c r="Z108" s="28">
        <v>1</v>
      </c>
    </row>
    <row r="109" spans="8:26" x14ac:dyDescent="0.25">
      <c r="H109" s="28"/>
      <c r="I109" s="31" t="s">
        <v>39</v>
      </c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8:26" x14ac:dyDescent="0.25">
      <c r="H110" s="28">
        <f>G8</f>
        <v>0</v>
      </c>
      <c r="I110" s="36" t="s">
        <v>40</v>
      </c>
      <c r="J110" s="33">
        <v>7.4099999999999999E-2</v>
      </c>
      <c r="K110" s="33">
        <v>1.12E-2</v>
      </c>
      <c r="L110" s="33">
        <v>28</v>
      </c>
      <c r="M110" s="33">
        <v>92.88</v>
      </c>
      <c r="N110" s="33">
        <v>44.45</v>
      </c>
      <c r="O110" s="33">
        <v>-208.04</v>
      </c>
      <c r="P110" s="33">
        <v>-189.2</v>
      </c>
      <c r="Q110" s="34">
        <v>25.7</v>
      </c>
      <c r="R110" s="34">
        <v>-6.9099999999999995E-2</v>
      </c>
      <c r="S110" s="34">
        <v>1.7699999999999999E-4</v>
      </c>
      <c r="T110" s="34">
        <v>-9.8799999999999998E-8</v>
      </c>
      <c r="U110" s="33">
        <v>2.4060000000000001</v>
      </c>
      <c r="V110" s="33">
        <v>16.826000000000001</v>
      </c>
      <c r="W110" s="33">
        <v>2173.7199999999998</v>
      </c>
      <c r="X110" s="33">
        <v>-5.0570000000000004</v>
      </c>
      <c r="Y110" s="28">
        <v>17.007339999999999</v>
      </c>
      <c r="Z110" s="28">
        <v>2</v>
      </c>
    </row>
    <row r="111" spans="8:26" x14ac:dyDescent="0.25">
      <c r="H111" s="28">
        <f t="shared" ref="H111:H119" si="4">G9</f>
        <v>0</v>
      </c>
      <c r="I111" s="36" t="s">
        <v>41</v>
      </c>
      <c r="J111" s="33">
        <v>2.4E-2</v>
      </c>
      <c r="K111" s="33">
        <v>1.84E-2</v>
      </c>
      <c r="L111" s="33">
        <v>-25</v>
      </c>
      <c r="M111" s="33">
        <v>76.34</v>
      </c>
      <c r="N111" s="33">
        <v>82.83</v>
      </c>
      <c r="O111" s="33">
        <v>-221.65</v>
      </c>
      <c r="P111" s="33">
        <v>-197.37</v>
      </c>
      <c r="Q111" s="33">
        <v>-2.81</v>
      </c>
      <c r="R111" s="34">
        <v>0.111</v>
      </c>
      <c r="S111" s="34">
        <v>-1.16E-4</v>
      </c>
      <c r="T111" s="34">
        <v>4.9399999999999999E-8</v>
      </c>
      <c r="U111" s="33">
        <v>4.49</v>
      </c>
      <c r="V111" s="33">
        <v>12.499000000000001</v>
      </c>
      <c r="W111" s="33">
        <v>3018.17</v>
      </c>
      <c r="X111" s="33">
        <v>-7.3140000000000001</v>
      </c>
      <c r="Y111" s="28">
        <v>17.007339999999999</v>
      </c>
      <c r="Z111" s="28">
        <v>2</v>
      </c>
    </row>
    <row r="112" spans="8:26" x14ac:dyDescent="0.25">
      <c r="H112" s="28">
        <f t="shared" si="4"/>
        <v>0</v>
      </c>
      <c r="I112" s="36" t="s">
        <v>42</v>
      </c>
      <c r="J112" s="33">
        <v>1.6799999999999999E-2</v>
      </c>
      <c r="K112" s="33">
        <v>1.5E-3</v>
      </c>
      <c r="L112" s="33">
        <v>18</v>
      </c>
      <c r="M112" s="33">
        <v>22.42</v>
      </c>
      <c r="N112" s="33">
        <v>22.23</v>
      </c>
      <c r="O112" s="33">
        <v>-132.22</v>
      </c>
      <c r="P112" s="33">
        <v>-105</v>
      </c>
      <c r="Q112" s="34">
        <v>25.5</v>
      </c>
      <c r="R112" s="34">
        <v>-6.3200000000000006E-2</v>
      </c>
      <c r="S112" s="34">
        <v>1.11E-4</v>
      </c>
      <c r="T112" s="34">
        <v>-5.4800000000000001E-8</v>
      </c>
      <c r="U112" s="33">
        <v>1.1879999999999999</v>
      </c>
      <c r="V112" s="33">
        <v>2.41</v>
      </c>
      <c r="W112" s="33">
        <v>122.09</v>
      </c>
      <c r="X112" s="33">
        <v>-0.38600000000000001</v>
      </c>
      <c r="Y112" s="28">
        <v>15.9994</v>
      </c>
      <c r="Z112" s="28">
        <v>1</v>
      </c>
    </row>
    <row r="113" spans="8:26" x14ac:dyDescent="0.25">
      <c r="H113" s="28">
        <f t="shared" si="4"/>
        <v>0</v>
      </c>
      <c r="I113" s="36" t="s">
        <v>43</v>
      </c>
      <c r="J113" s="33">
        <v>9.7999999999999997E-3</v>
      </c>
      <c r="K113" s="33">
        <v>4.7999999999999996E-3</v>
      </c>
      <c r="L113" s="33">
        <v>13</v>
      </c>
      <c r="M113" s="33">
        <v>31.22</v>
      </c>
      <c r="N113" s="33">
        <v>23.05</v>
      </c>
      <c r="O113" s="33">
        <v>-138.16</v>
      </c>
      <c r="P113" s="33">
        <v>-98.22</v>
      </c>
      <c r="Q113" s="34">
        <v>12.2</v>
      </c>
      <c r="R113" s="34">
        <v>-1.26E-2</v>
      </c>
      <c r="S113" s="34">
        <v>6.0300000000000002E-5</v>
      </c>
      <c r="T113" s="34">
        <v>-3.8600000000000002E-8</v>
      </c>
      <c r="U113" s="33">
        <v>5.8789999999999996</v>
      </c>
      <c r="V113" s="33">
        <v>4.6820000000000004</v>
      </c>
      <c r="W113" s="33">
        <v>440.24</v>
      </c>
      <c r="X113" s="33">
        <v>-0.95299999999999996</v>
      </c>
      <c r="Y113" s="28">
        <v>15.9994</v>
      </c>
      <c r="Z113" s="28">
        <v>1</v>
      </c>
    </row>
    <row r="114" spans="8:26" x14ac:dyDescent="0.25">
      <c r="H114" s="28">
        <f t="shared" si="4"/>
        <v>0</v>
      </c>
      <c r="I114" s="36" t="s">
        <v>44</v>
      </c>
      <c r="J114" s="33">
        <v>3.7999999999999999E-2</v>
      </c>
      <c r="K114" s="33">
        <v>3.0999999999999999E-3</v>
      </c>
      <c r="L114" s="33">
        <v>62</v>
      </c>
      <c r="M114" s="33">
        <v>76.75</v>
      </c>
      <c r="N114" s="33">
        <v>61.2</v>
      </c>
      <c r="O114" s="33">
        <v>-133.22</v>
      </c>
      <c r="P114" s="33">
        <v>-120.5</v>
      </c>
      <c r="Q114" s="33">
        <v>6.45</v>
      </c>
      <c r="R114" s="34">
        <v>6.7000000000000004E-2</v>
      </c>
      <c r="S114" s="34">
        <v>-3.57E-5</v>
      </c>
      <c r="T114" s="34">
        <v>2.86E-9</v>
      </c>
      <c r="U114" s="33">
        <v>4.1890000000000001</v>
      </c>
      <c r="V114" s="33">
        <v>8.9719999999999995</v>
      </c>
      <c r="W114" s="33">
        <v>340.35</v>
      </c>
      <c r="X114" s="33">
        <v>-0.35</v>
      </c>
      <c r="Y114" s="28">
        <v>28.010100000000001</v>
      </c>
      <c r="Z114" s="28">
        <v>2</v>
      </c>
    </row>
    <row r="115" spans="8:26" x14ac:dyDescent="0.25">
      <c r="H115" s="28">
        <f t="shared" si="4"/>
        <v>0</v>
      </c>
      <c r="I115" s="36" t="s">
        <v>45</v>
      </c>
      <c r="J115" s="33">
        <v>2.8400000000000002E-2</v>
      </c>
      <c r="K115" s="33">
        <v>2.8E-3</v>
      </c>
      <c r="L115" s="33">
        <v>55</v>
      </c>
      <c r="M115" s="33">
        <v>94.97</v>
      </c>
      <c r="N115" s="33">
        <v>75.97</v>
      </c>
      <c r="O115" s="33">
        <v>-164.5</v>
      </c>
      <c r="P115" s="33">
        <v>-126.27</v>
      </c>
      <c r="Q115" s="34">
        <v>30.4</v>
      </c>
      <c r="R115" s="34">
        <v>-8.2900000000000001E-2</v>
      </c>
      <c r="S115" s="34">
        <v>2.3599999999999999E-4</v>
      </c>
      <c r="T115" s="34">
        <v>-1.31E-7</v>
      </c>
      <c r="U115" s="33">
        <v>0</v>
      </c>
      <c r="V115" s="33">
        <v>6.6449999999999996</v>
      </c>
      <c r="W115" s="33" t="s">
        <v>28</v>
      </c>
      <c r="X115" s="33" t="s">
        <v>28</v>
      </c>
      <c r="Y115" s="28">
        <v>28.010100000000001</v>
      </c>
      <c r="Z115" s="28">
        <v>2</v>
      </c>
    </row>
    <row r="116" spans="8:26" x14ac:dyDescent="0.25">
      <c r="H116" s="28">
        <f t="shared" si="4"/>
        <v>0</v>
      </c>
      <c r="I116" s="36" t="s">
        <v>46</v>
      </c>
      <c r="J116" s="33">
        <v>3.7900000000000003E-2</v>
      </c>
      <c r="K116" s="33">
        <v>3.0000000000000001E-3</v>
      </c>
      <c r="L116" s="33">
        <v>82</v>
      </c>
      <c r="M116" s="33">
        <v>72.239999999999995</v>
      </c>
      <c r="N116" s="33">
        <v>36.9</v>
      </c>
      <c r="O116" s="33">
        <v>-162.03</v>
      </c>
      <c r="P116" s="33">
        <v>-143.47999999999999</v>
      </c>
      <c r="Q116" s="34">
        <v>30.9</v>
      </c>
      <c r="R116" s="34">
        <v>-3.3599999999999998E-2</v>
      </c>
      <c r="S116" s="34">
        <v>1.6000000000000001E-4</v>
      </c>
      <c r="T116" s="34">
        <v>-9.8799999999999998E-8</v>
      </c>
      <c r="U116" s="33">
        <v>3.1970000000000001</v>
      </c>
      <c r="V116" s="33">
        <v>9.093</v>
      </c>
      <c r="W116" s="33">
        <v>740.92</v>
      </c>
      <c r="X116" s="33">
        <v>-1.7130000000000001</v>
      </c>
      <c r="Y116" s="28">
        <v>29.018040000000003</v>
      </c>
      <c r="Z116" s="28">
        <v>3</v>
      </c>
    </row>
    <row r="117" spans="8:26" x14ac:dyDescent="0.25">
      <c r="H117" s="28">
        <f t="shared" si="4"/>
        <v>0</v>
      </c>
      <c r="I117" s="36" t="s">
        <v>47</v>
      </c>
      <c r="J117" s="33">
        <v>7.9100000000000004E-2</v>
      </c>
      <c r="K117" s="33">
        <v>7.7000000000000002E-3</v>
      </c>
      <c r="L117" s="33">
        <v>89</v>
      </c>
      <c r="M117" s="33">
        <v>169.09</v>
      </c>
      <c r="N117" s="33">
        <v>155.5</v>
      </c>
      <c r="O117" s="33">
        <v>-426.72</v>
      </c>
      <c r="P117" s="33">
        <v>-387.87</v>
      </c>
      <c r="Q117" s="34">
        <v>24.1</v>
      </c>
      <c r="R117" s="34">
        <v>4.2700000000000002E-2</v>
      </c>
      <c r="S117" s="34">
        <v>8.0400000000000003E-5</v>
      </c>
      <c r="T117" s="34">
        <v>-6.87E-8</v>
      </c>
      <c r="U117" s="33">
        <v>11.051</v>
      </c>
      <c r="V117" s="33">
        <v>19.536999999999999</v>
      </c>
      <c r="W117" s="33">
        <v>1317.23</v>
      </c>
      <c r="X117" s="33">
        <v>-2.5779999999999998</v>
      </c>
      <c r="Y117" s="28">
        <v>45.017440000000001</v>
      </c>
      <c r="Z117" s="28">
        <v>4</v>
      </c>
    </row>
    <row r="118" spans="8:26" x14ac:dyDescent="0.25">
      <c r="H118" s="28">
        <f t="shared" si="4"/>
        <v>0</v>
      </c>
      <c r="I118" s="36" t="s">
        <v>48</v>
      </c>
      <c r="J118" s="33">
        <v>4.8099999999999997E-2</v>
      </c>
      <c r="K118" s="33">
        <v>5.0000000000000001E-4</v>
      </c>
      <c r="L118" s="33">
        <v>82</v>
      </c>
      <c r="M118" s="33">
        <v>81.099999999999994</v>
      </c>
      <c r="N118" s="33">
        <v>53.6</v>
      </c>
      <c r="O118" s="33">
        <v>-337.92</v>
      </c>
      <c r="P118" s="33">
        <v>-301.95</v>
      </c>
      <c r="Q118" s="34">
        <v>24.5</v>
      </c>
      <c r="R118" s="34">
        <v>4.02E-2</v>
      </c>
      <c r="S118" s="34">
        <v>4.0200000000000001E-5</v>
      </c>
      <c r="T118" s="34">
        <v>-4.5200000000000001E-8</v>
      </c>
      <c r="U118" s="33">
        <v>6.9589999999999996</v>
      </c>
      <c r="V118" s="33">
        <v>9.6329999999999991</v>
      </c>
      <c r="W118" s="33">
        <v>483.88</v>
      </c>
      <c r="X118" s="33">
        <v>-0.96599999999999997</v>
      </c>
      <c r="Y118" s="28">
        <v>44.009500000000003</v>
      </c>
      <c r="Z118" s="28">
        <v>3</v>
      </c>
    </row>
    <row r="119" spans="8:26" x14ac:dyDescent="0.25">
      <c r="H119" s="28">
        <f t="shared" si="4"/>
        <v>0</v>
      </c>
      <c r="I119" s="32" t="s">
        <v>61</v>
      </c>
      <c r="J119" s="33" t="s">
        <v>49</v>
      </c>
      <c r="K119" s="33">
        <v>1.01E-2</v>
      </c>
      <c r="L119" s="33">
        <v>36</v>
      </c>
      <c r="M119" s="33">
        <v>-10.5</v>
      </c>
      <c r="N119" s="33">
        <v>2.08</v>
      </c>
      <c r="O119" s="33">
        <v>-247.61</v>
      </c>
      <c r="P119" s="33">
        <v>-250.83</v>
      </c>
      <c r="Q119" s="33">
        <v>6.82</v>
      </c>
      <c r="R119" s="34">
        <v>1.9599999999999999E-2</v>
      </c>
      <c r="S119" s="34">
        <v>1.27E-5</v>
      </c>
      <c r="T119" s="34">
        <v>-1.7800000000000001E-8</v>
      </c>
      <c r="U119" s="33">
        <v>3.6240000000000001</v>
      </c>
      <c r="V119" s="33">
        <v>5.9089999999999998</v>
      </c>
      <c r="W119" s="33">
        <v>675.24</v>
      </c>
      <c r="X119" s="33">
        <v>-1.34</v>
      </c>
      <c r="Y119" s="28">
        <v>15.9994</v>
      </c>
      <c r="Z119" s="28">
        <v>1</v>
      </c>
    </row>
    <row r="120" spans="8:26" x14ac:dyDescent="0.25">
      <c r="H120" s="28"/>
      <c r="I120" s="31" t="s">
        <v>50</v>
      </c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8:26" x14ac:dyDescent="0.25">
      <c r="H121" s="28">
        <f>G19</f>
        <v>0</v>
      </c>
      <c r="I121" s="32" t="s">
        <v>64</v>
      </c>
      <c r="J121" s="33">
        <v>2.4299999999999999E-2</v>
      </c>
      <c r="K121" s="33">
        <v>1.09E-2</v>
      </c>
      <c r="L121" s="33">
        <v>38</v>
      </c>
      <c r="M121" s="33">
        <v>73.23</v>
      </c>
      <c r="N121" s="33">
        <v>66.89</v>
      </c>
      <c r="O121" s="33">
        <v>-22.02</v>
      </c>
      <c r="P121" s="33">
        <v>14.07</v>
      </c>
      <c r="Q121" s="34">
        <v>26.9</v>
      </c>
      <c r="R121" s="34">
        <v>-4.1200000000000001E-2</v>
      </c>
      <c r="S121" s="34">
        <v>1.64E-4</v>
      </c>
      <c r="T121" s="34">
        <v>-9.76E-8</v>
      </c>
      <c r="U121" s="33">
        <v>3.5150000000000001</v>
      </c>
      <c r="V121" s="33">
        <v>10.788</v>
      </c>
      <c r="W121" s="33"/>
      <c r="X121" s="33"/>
      <c r="Y121" s="28">
        <v>16.022580000000001</v>
      </c>
      <c r="Z121" s="28">
        <v>3</v>
      </c>
    </row>
    <row r="122" spans="8:26" x14ac:dyDescent="0.25">
      <c r="H122" s="28">
        <f t="shared" ref="H122:H129" si="5">G20</f>
        <v>0</v>
      </c>
      <c r="I122" s="36" t="s">
        <v>51</v>
      </c>
      <c r="J122" s="33">
        <v>2.9499999999999998E-2</v>
      </c>
      <c r="K122" s="33">
        <v>7.7000000000000002E-3</v>
      </c>
      <c r="L122" s="33">
        <v>35</v>
      </c>
      <c r="M122" s="33">
        <v>50.17</v>
      </c>
      <c r="N122" s="33">
        <v>52.66</v>
      </c>
      <c r="O122" s="33">
        <v>53.47</v>
      </c>
      <c r="P122" s="33">
        <v>89.39</v>
      </c>
      <c r="Q122" s="33">
        <v>-1.21</v>
      </c>
      <c r="R122" s="34">
        <v>7.6200000000000004E-2</v>
      </c>
      <c r="S122" s="34">
        <v>-4.8600000000000002E-5</v>
      </c>
      <c r="T122" s="34">
        <v>1.05E-8</v>
      </c>
      <c r="U122" s="33">
        <v>5.0990000000000002</v>
      </c>
      <c r="V122" s="33">
        <v>6.4359999999999999</v>
      </c>
      <c r="W122" s="33"/>
      <c r="X122" s="33"/>
      <c r="Y122" s="28">
        <v>15.01464</v>
      </c>
      <c r="Z122" s="28">
        <v>2</v>
      </c>
    </row>
    <row r="123" spans="8:26" x14ac:dyDescent="0.25">
      <c r="H123" s="28">
        <f t="shared" si="5"/>
        <v>0</v>
      </c>
      <c r="I123" s="36" t="s">
        <v>52</v>
      </c>
      <c r="J123" s="33">
        <v>1.2999999999999999E-2</v>
      </c>
      <c r="K123" s="33">
        <v>1.14E-2</v>
      </c>
      <c r="L123" s="33">
        <v>29</v>
      </c>
      <c r="M123" s="33">
        <v>52.82</v>
      </c>
      <c r="N123" s="33">
        <v>101.51</v>
      </c>
      <c r="O123" s="33">
        <v>31.65</v>
      </c>
      <c r="P123" s="33">
        <v>75.61</v>
      </c>
      <c r="Q123" s="34">
        <v>11.8</v>
      </c>
      <c r="R123" s="34">
        <v>-2.3E-2</v>
      </c>
      <c r="S123" s="34">
        <v>1.07E-4</v>
      </c>
      <c r="T123" s="34">
        <v>-6.2800000000000006E-8</v>
      </c>
      <c r="U123" s="33">
        <v>7.49</v>
      </c>
      <c r="V123" s="33">
        <v>6.93</v>
      </c>
      <c r="W123" s="33"/>
      <c r="X123" s="33"/>
      <c r="Y123" s="28">
        <v>15.01464</v>
      </c>
      <c r="Z123" s="28">
        <v>2</v>
      </c>
    </row>
    <row r="124" spans="8:26" x14ac:dyDescent="0.25">
      <c r="H124" s="28">
        <f t="shared" si="5"/>
        <v>0</v>
      </c>
      <c r="I124" s="36" t="s">
        <v>53</v>
      </c>
      <c r="J124" s="33">
        <v>1.6899999999999998E-2</v>
      </c>
      <c r="K124" s="33">
        <v>7.4000000000000003E-3</v>
      </c>
      <c r="L124" s="33">
        <v>9</v>
      </c>
      <c r="M124" s="33">
        <v>11.74</v>
      </c>
      <c r="N124" s="33">
        <v>48.84</v>
      </c>
      <c r="O124" s="33">
        <v>123.34</v>
      </c>
      <c r="P124" s="33">
        <v>163.16</v>
      </c>
      <c r="Q124" s="34">
        <v>-31.1</v>
      </c>
      <c r="R124" s="34">
        <v>0.22700000000000001</v>
      </c>
      <c r="S124" s="34">
        <v>-3.2000000000000003E-4</v>
      </c>
      <c r="T124" s="34">
        <v>1.4600000000000001E-7</v>
      </c>
      <c r="U124" s="33">
        <v>4.7030000000000003</v>
      </c>
      <c r="V124" s="33">
        <v>1.8959999999999999</v>
      </c>
      <c r="W124" s="33"/>
      <c r="X124" s="33"/>
      <c r="Y124" s="28">
        <v>14.0067</v>
      </c>
      <c r="Z124" s="28">
        <v>1</v>
      </c>
    </row>
    <row r="125" spans="8:26" x14ac:dyDescent="0.25">
      <c r="H125" s="28">
        <f t="shared" si="5"/>
        <v>0</v>
      </c>
      <c r="I125" s="36" t="s">
        <v>54</v>
      </c>
      <c r="J125" s="33">
        <v>2.5499999999999998E-2</v>
      </c>
      <c r="K125" s="33">
        <v>-9.9000000000000008E-3</v>
      </c>
      <c r="L125" s="33"/>
      <c r="M125" s="33">
        <v>74.599999999999994</v>
      </c>
      <c r="N125" s="33"/>
      <c r="O125" s="33">
        <v>23.61</v>
      </c>
      <c r="P125" s="33"/>
      <c r="Q125" s="33"/>
      <c r="R125" s="33"/>
      <c r="S125" s="33"/>
      <c r="T125" s="33"/>
      <c r="U125" s="33"/>
      <c r="V125" s="33">
        <v>3.335</v>
      </c>
      <c r="W125" s="33"/>
      <c r="X125" s="33"/>
      <c r="Y125" s="28">
        <v>14.0067</v>
      </c>
      <c r="Z125" s="28">
        <v>1</v>
      </c>
    </row>
    <row r="126" spans="8:26" x14ac:dyDescent="0.25">
      <c r="H126" s="28">
        <f t="shared" si="5"/>
        <v>0</v>
      </c>
      <c r="I126" s="36" t="s">
        <v>55</v>
      </c>
      <c r="J126" s="33">
        <v>8.5000000000000006E-3</v>
      </c>
      <c r="K126" s="33">
        <v>7.6E-3</v>
      </c>
      <c r="L126" s="33">
        <v>34</v>
      </c>
      <c r="M126" s="33">
        <v>57.55</v>
      </c>
      <c r="N126" s="33">
        <v>68.400000000000006</v>
      </c>
      <c r="O126" s="33">
        <v>55.52</v>
      </c>
      <c r="P126" s="33">
        <v>79.930000000000007</v>
      </c>
      <c r="Q126" s="33">
        <v>8.83</v>
      </c>
      <c r="R126" s="34">
        <v>-3.8400000000000001E-3</v>
      </c>
      <c r="S126" s="34">
        <v>4.35E-5</v>
      </c>
      <c r="T126" s="34">
        <v>-2.6000000000000001E-8</v>
      </c>
      <c r="U126" s="33">
        <v>3.649</v>
      </c>
      <c r="V126" s="33">
        <v>6.5279999999999996</v>
      </c>
      <c r="W126" s="33"/>
      <c r="X126" s="33"/>
      <c r="Y126" s="28">
        <v>14.0067</v>
      </c>
      <c r="Z126" s="28">
        <v>1</v>
      </c>
    </row>
    <row r="127" spans="8:26" x14ac:dyDescent="0.25">
      <c r="H127" s="28">
        <f t="shared" si="5"/>
        <v>0</v>
      </c>
      <c r="I127" s="32" t="s">
        <v>62</v>
      </c>
      <c r="J127" s="33"/>
      <c r="K127" s="33"/>
      <c r="L127" s="33"/>
      <c r="M127" s="33">
        <v>83.08</v>
      </c>
      <c r="N127" s="33">
        <v>68.91</v>
      </c>
      <c r="O127" s="33">
        <v>93.7</v>
      </c>
      <c r="P127" s="33">
        <v>119.66</v>
      </c>
      <c r="Q127" s="33">
        <v>5.69</v>
      </c>
      <c r="R127" s="34">
        <v>-4.1200000000000004E-3</v>
      </c>
      <c r="S127" s="34">
        <v>1.2799999999999999E-4</v>
      </c>
      <c r="T127" s="34">
        <v>-8.8800000000000001E-8</v>
      </c>
      <c r="U127" s="33" t="s">
        <v>28</v>
      </c>
      <c r="V127" s="33">
        <v>12.169</v>
      </c>
      <c r="W127" s="33"/>
      <c r="X127" s="33"/>
      <c r="Y127" s="28">
        <v>15.01464</v>
      </c>
      <c r="Z127" s="28">
        <v>2</v>
      </c>
    </row>
    <row r="128" spans="8:26" x14ac:dyDescent="0.25">
      <c r="H128" s="28">
        <f t="shared" si="5"/>
        <v>0</v>
      </c>
      <c r="I128" s="36" t="s">
        <v>56</v>
      </c>
      <c r="J128" s="33">
        <v>4.9599999999999998E-2</v>
      </c>
      <c r="K128" s="33">
        <v>-1.01E-2</v>
      </c>
      <c r="L128" s="33">
        <v>91</v>
      </c>
      <c r="M128" s="33">
        <v>125.66</v>
      </c>
      <c r="N128" s="33">
        <v>59.89</v>
      </c>
      <c r="O128" s="33">
        <v>88.43</v>
      </c>
      <c r="P128" s="33">
        <v>89.22</v>
      </c>
      <c r="Q128" s="34">
        <v>36.5</v>
      </c>
      <c r="R128" s="34">
        <v>-7.3300000000000004E-2</v>
      </c>
      <c r="S128" s="34">
        <v>1.84E-4</v>
      </c>
      <c r="T128" s="34">
        <v>-1.03E-7</v>
      </c>
      <c r="U128" s="33">
        <v>2.4140000000000001</v>
      </c>
      <c r="V128" s="33">
        <v>12.851000000000001</v>
      </c>
      <c r="W128" s="33"/>
      <c r="X128" s="33"/>
      <c r="Y128" s="28">
        <v>26.017400000000002</v>
      </c>
      <c r="Z128" s="28">
        <v>2</v>
      </c>
    </row>
    <row r="129" spans="8:26" x14ac:dyDescent="0.25">
      <c r="H129" s="28">
        <f t="shared" si="5"/>
        <v>0</v>
      </c>
      <c r="I129" s="32" t="s">
        <v>65</v>
      </c>
      <c r="J129" s="33">
        <v>4.3700000000000003E-2</v>
      </c>
      <c r="K129" s="33">
        <v>6.4000000000000003E-3</v>
      </c>
      <c r="L129" s="33">
        <v>91</v>
      </c>
      <c r="M129" s="33">
        <v>152.54</v>
      </c>
      <c r="N129" s="33">
        <v>127.24</v>
      </c>
      <c r="O129" s="33">
        <v>-66.569999999999993</v>
      </c>
      <c r="P129" s="33">
        <v>-16.829999999999998</v>
      </c>
      <c r="Q129" s="34">
        <v>25.9</v>
      </c>
      <c r="R129" s="34">
        <v>-3.7399999999999998E-3</v>
      </c>
      <c r="S129" s="34">
        <v>1.2899999999999999E-4</v>
      </c>
      <c r="T129" s="34">
        <v>-8.8800000000000001E-8</v>
      </c>
      <c r="U129" s="33">
        <v>9.6790000000000003</v>
      </c>
      <c r="V129" s="33">
        <v>16.738</v>
      </c>
      <c r="W129" s="33"/>
      <c r="X129" s="33"/>
      <c r="Y129" s="28">
        <v>46.005499999999998</v>
      </c>
      <c r="Z129" s="28">
        <v>3</v>
      </c>
    </row>
    <row r="130" spans="8:26" x14ac:dyDescent="0.25">
      <c r="H130" s="28"/>
      <c r="I130" s="31" t="s">
        <v>57</v>
      </c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8:26" x14ac:dyDescent="0.25">
      <c r="H131" s="28">
        <f>G29</f>
        <v>0</v>
      </c>
      <c r="I131" s="36" t="s">
        <v>58</v>
      </c>
      <c r="J131" s="33">
        <v>3.0999999999999999E-3</v>
      </c>
      <c r="K131" s="33">
        <v>8.3999999999999995E-3</v>
      </c>
      <c r="L131" s="33">
        <v>63</v>
      </c>
      <c r="M131" s="33">
        <v>63.56</v>
      </c>
      <c r="N131" s="33">
        <v>20.09</v>
      </c>
      <c r="O131" s="33">
        <v>-17.329999999999998</v>
      </c>
      <c r="P131" s="33">
        <v>-22.99</v>
      </c>
      <c r="Q131" s="34">
        <v>35.299999999999997</v>
      </c>
      <c r="R131" s="34">
        <v>-7.5800000000000006E-2</v>
      </c>
      <c r="S131" s="34">
        <v>1.85E-4</v>
      </c>
      <c r="T131" s="34">
        <v>-1.03E-7</v>
      </c>
      <c r="U131" s="33">
        <v>2.36</v>
      </c>
      <c r="V131" s="33">
        <v>6.8840000000000003</v>
      </c>
      <c r="W131" s="33"/>
      <c r="X131" s="33"/>
      <c r="Y131" s="28">
        <v>33.072939999999996</v>
      </c>
      <c r="Z131" s="28">
        <v>2</v>
      </c>
    </row>
    <row r="132" spans="8:26" x14ac:dyDescent="0.25">
      <c r="H132" s="28">
        <f t="shared" ref="H132:H133" si="6">G30</f>
        <v>0</v>
      </c>
      <c r="I132" s="36" t="s">
        <v>59</v>
      </c>
      <c r="J132" s="33">
        <v>1.1900000000000001E-2</v>
      </c>
      <c r="K132" s="33">
        <v>4.8999999999999998E-3</v>
      </c>
      <c r="L132" s="33">
        <v>54</v>
      </c>
      <c r="M132" s="33">
        <v>68.78</v>
      </c>
      <c r="N132" s="33">
        <v>34.4</v>
      </c>
      <c r="O132" s="33">
        <v>41.87</v>
      </c>
      <c r="P132" s="33">
        <v>33.119999999999997</v>
      </c>
      <c r="Q132" s="34">
        <v>19.600000000000001</v>
      </c>
      <c r="R132" s="34">
        <v>-5.6100000000000004E-3</v>
      </c>
      <c r="S132" s="34">
        <v>4.0200000000000001E-5</v>
      </c>
      <c r="T132" s="34">
        <v>-2.7599999999999999E-8</v>
      </c>
      <c r="U132" s="33">
        <v>4.13</v>
      </c>
      <c r="V132" s="33">
        <v>6.8170000000000002</v>
      </c>
      <c r="W132" s="33"/>
      <c r="X132" s="33"/>
      <c r="Y132" s="28">
        <v>32.064999999999998</v>
      </c>
      <c r="Z132" s="28">
        <v>1</v>
      </c>
    </row>
    <row r="133" spans="8:26" x14ac:dyDescent="0.25">
      <c r="H133" s="28">
        <f t="shared" si="6"/>
        <v>0</v>
      </c>
      <c r="I133" s="36" t="s">
        <v>60</v>
      </c>
      <c r="J133" s="33">
        <v>1.9E-3</v>
      </c>
      <c r="K133" s="33">
        <v>5.1000000000000004E-3</v>
      </c>
      <c r="L133" s="33">
        <v>38</v>
      </c>
      <c r="M133" s="33">
        <v>52.1</v>
      </c>
      <c r="N133" s="33">
        <v>79.930000000000007</v>
      </c>
      <c r="O133" s="33">
        <v>39.1</v>
      </c>
      <c r="P133" s="33">
        <v>27.76</v>
      </c>
      <c r="Q133" s="34">
        <v>16.7</v>
      </c>
      <c r="R133" s="34">
        <v>4.81E-3</v>
      </c>
      <c r="S133" s="34">
        <v>2.7699999999999999E-5</v>
      </c>
      <c r="T133" s="34">
        <v>-2.11E-8</v>
      </c>
      <c r="U133" s="33">
        <v>1.5569999999999999</v>
      </c>
      <c r="V133" s="33">
        <v>5.984</v>
      </c>
      <c r="W133" s="33"/>
      <c r="X133" s="33"/>
      <c r="Y133" s="28">
        <v>32.064999999999998</v>
      </c>
      <c r="Z133" s="28">
        <v>1</v>
      </c>
    </row>
    <row r="136" spans="8:26" x14ac:dyDescent="0.25">
      <c r="I136" s="11" t="s">
        <v>96</v>
      </c>
    </row>
    <row r="137" spans="8:26" x14ac:dyDescent="0.25">
      <c r="I137" t="s">
        <v>68</v>
      </c>
      <c r="J137">
        <f>G37*0.98692327</f>
        <v>38.455491419121849</v>
      </c>
      <c r="K137" t="s">
        <v>87</v>
      </c>
    </row>
    <row r="138" spans="8:26" x14ac:dyDescent="0.25">
      <c r="I138" t="s">
        <v>88</v>
      </c>
      <c r="J138">
        <f>G35/G36</f>
        <v>0.61078104</v>
      </c>
    </row>
    <row r="139" spans="8:26" x14ac:dyDescent="0.25">
      <c r="I139" s="16" t="s">
        <v>89</v>
      </c>
      <c r="J139" s="17">
        <f>(-1*LN(J137)-5.92714+6.09648/J138 + 1.28862*LN(J138)-0.169347*(J138^6) )/(15.2518 - 15.6875/J138-13.4721*LN(J138)+0.43577*(J138^6) )</f>
        <v>6.3508438621439442E-2</v>
      </c>
    </row>
    <row r="141" spans="8:26" x14ac:dyDescent="0.25">
      <c r="I141" s="6" t="s">
        <v>97</v>
      </c>
    </row>
    <row r="142" spans="8:26" x14ac:dyDescent="0.25">
      <c r="I142" t="s">
        <v>98</v>
      </c>
      <c r="J142" s="15">
        <f>Q83-37.93</f>
        <v>-71.550000000000011</v>
      </c>
    </row>
    <row r="143" spans="8:26" x14ac:dyDescent="0.25">
      <c r="I143" t="s">
        <v>99</v>
      </c>
      <c r="J143" s="15">
        <f>R83+0.21</f>
        <v>0.87119999999999997</v>
      </c>
    </row>
    <row r="144" spans="8:26" x14ac:dyDescent="0.25">
      <c r="I144" t="s">
        <v>66</v>
      </c>
      <c r="J144" s="4">
        <f>S83-0.000391</f>
        <v>-6.8811999999999996E-4</v>
      </c>
    </row>
    <row r="145" spans="9:10" x14ac:dyDescent="0.25">
      <c r="I145" t="s">
        <v>100</v>
      </c>
      <c r="J145">
        <f>T83+0.000000206</f>
        <v>2.1439999999999999E-7</v>
      </c>
    </row>
    <row r="147" spans="9:10" x14ac:dyDescent="0.25">
      <c r="I147" s="6" t="s">
        <v>106</v>
      </c>
    </row>
    <row r="148" spans="9:10" x14ac:dyDescent="0.25">
      <c r="I148" t="s">
        <v>98</v>
      </c>
      <c r="J148">
        <f>W83-597.82</f>
        <v>987.89999999999975</v>
      </c>
    </row>
    <row r="149" spans="9:10" x14ac:dyDescent="0.25">
      <c r="I149" t="s">
        <v>99</v>
      </c>
      <c r="J149">
        <f>X83-11.202</f>
        <v>-14.994</v>
      </c>
    </row>
  </sheetData>
  <mergeCells count="18">
    <mergeCell ref="W85:X86"/>
    <mergeCell ref="M86:N86"/>
    <mergeCell ref="O86:P86"/>
    <mergeCell ref="U86:V86"/>
    <mergeCell ref="Q85:T86"/>
    <mergeCell ref="U85:V85"/>
    <mergeCell ref="B2:G2"/>
    <mergeCell ref="B7:C7"/>
    <mergeCell ref="E7:G7"/>
    <mergeCell ref="E18:G18"/>
    <mergeCell ref="B18:C18"/>
    <mergeCell ref="B24:C24"/>
    <mergeCell ref="I85:I86"/>
    <mergeCell ref="J85:L86"/>
    <mergeCell ref="M85:N85"/>
    <mergeCell ref="O85:P85"/>
    <mergeCell ref="E28:G28"/>
    <mergeCell ref="B33:G33"/>
  </mergeCells>
  <hyperlinks>
    <hyperlink ref="B4" r:id="rId1" xr:uid="{00000000-0004-0000-0000-000000000000}"/>
  </hyperlinks>
  <pageMargins left="0.25" right="0.25" top="0.75" bottom="0.75" header="0.3" footer="0.3"/>
  <pageSetup paperSize="9" scale="97" orientation="portrait" horizontalDpi="4294967293" vertic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Calculation</vt:lpstr>
      <vt:lpstr>Calculation!Print_Area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Aarav</dc:creator>
  <cp:lastModifiedBy>Mustafa Anıl Öz</cp:lastModifiedBy>
  <cp:lastPrinted>2017-04-24T15:57:20Z</cp:lastPrinted>
  <dcterms:created xsi:type="dcterms:W3CDTF">2017-03-28T17:09:26Z</dcterms:created>
  <dcterms:modified xsi:type="dcterms:W3CDTF">2022-03-22T17:15:27Z</dcterms:modified>
</cp:coreProperties>
</file>